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725C9168-CCB8-4D43-934B-AD9BB70F9215}" xr6:coauthVersionLast="47" xr6:coauthVersionMax="47" xr10:uidLastSave="{00000000-0000-0000-0000-000000000000}"/>
  <bookViews>
    <workbookView xWindow="-28920" yWindow="-120" windowWidth="29040" windowHeight="15840" xr2:uid="{6BD6FE0B-693C-48F7-B20C-C6987A884956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42" i="1" l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<sst xmlns="http://schemas.openxmlformats.org/spreadsheetml/2006/main" count="15" uniqueCount="15">
  <si>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MODEL\SCENARIOS\2022\Parameterstudy_perm_storV_dT\perm100_V200_dt30.sr3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</si>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</sst>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7DFFEB-1F2F-4145-85C6-0F7090F4DC76}" name="Table1" displayName="Table1" ref="A3:N1642" totalsRowShown="0">
  <autoFilter ref="A3:N1642" xr:uid="{B87DFFEB-1F2F-4145-85C6-0F7090F4DC76}"/>
  <tableColumns count="14">
    <tableColumn id="1" xr3:uid="{41815DA5-5E19-4537-9A87-FF4909661048}" name="Time (day)"/>
    <tableColumn id="2" xr3:uid="{033F77FC-3050-4848-9F14-50E1E31839C5}" name="Date" dataDxfId="0"/>
    <tableColumn id="3" xr3:uid="{30E93FCE-7D96-4205-A9A6-C35FE2D86258}" name="Hot well INJ-Well bottom hole temperature (C)"/>
    <tableColumn id="4" xr3:uid="{CE0A9AF8-27FF-4FE7-9A77-B14E0097AAF3}" name="Hot well PROD-Well bottom hole temperature (C)"/>
    <tableColumn id="5" xr3:uid="{1C4E1970-8306-48BE-AAC6-F663E860784E}" name="Warm well INJ-Well bottom hole temperature (C)"/>
    <tableColumn id="6" xr3:uid="{594278BE-0942-4F90-ACD2-4C0E5FC4A557}" name="Warm well PROD-Well bottom hole temperature (C)"/>
    <tableColumn id="7" xr3:uid="{BC0DDC10-C478-4FB9-9F88-A49F5BA5160C}" name="Hot well INJ-Well Bottom-hole Pressure (kPa)"/>
    <tableColumn id="8" xr3:uid="{FA424663-A5D7-435B-A268-CC0719C49660}" name="Hot well PROD-Well Bottom-hole Pressure (kPa)"/>
    <tableColumn id="9" xr3:uid="{6FB343DB-5A0A-416C-8352-1AA107CA5171}" name="Warm well INJ-Well Bottom-hole Pressure (kPa)"/>
    <tableColumn id="10" xr3:uid="{4763D590-E7A3-4681-9CB6-871E3E98339C}" name="Warm well PROD-Well Bottom-hole Pressure (kPa)"/>
    <tableColumn id="11" xr3:uid="{22BD3160-855F-4F68-BCC1-586413A7B705}" name="Hot well INJ-Fluid Rate SC (m³/day)"/>
    <tableColumn id="12" xr3:uid="{2548014F-2E7F-46DC-A11D-9C9495841918}" name="Hot well PROD-Fluid Rate SC (m³/day)"/>
    <tableColumn id="13" xr3:uid="{231795AE-3E60-4CDF-ABBA-A47BF7444614}" name="Warm well INJ-Fluid Rate SC (m³/day)"/>
    <tableColumn id="14" xr3:uid="{08331BF8-442B-4330-BD84-C3101B9CECCC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0294-DB04-481A-B298-F63FE00EC757}">
  <dimension ref="A1:N1642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15.000025749000001</v>
      </c>
      <c r="E4">
        <v>50</v>
      </c>
      <c r="F4">
        <v>14.999991417</v>
      </c>
      <c r="G4">
        <v>1330.3986815999999</v>
      </c>
      <c r="H4">
        <v>1329.4954834</v>
      </c>
      <c r="I4">
        <v>1329.3240966999999</v>
      </c>
      <c r="J4">
        <v>1328.4202881000001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15.00009346</v>
      </c>
      <c r="E5">
        <v>50</v>
      </c>
      <c r="F5">
        <v>14.999973297</v>
      </c>
      <c r="G5">
        <v>1330.5692139</v>
      </c>
      <c r="H5">
        <v>1329.6660156</v>
      </c>
      <c r="I5">
        <v>1329.1542969</v>
      </c>
      <c r="J5">
        <v>1328.2504882999999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15.00026989</v>
      </c>
      <c r="E6">
        <v>50</v>
      </c>
      <c r="F6">
        <v>14.999948502000001</v>
      </c>
      <c r="G6">
        <v>1330.8126221</v>
      </c>
      <c r="H6">
        <v>1329.9093018000001</v>
      </c>
      <c r="I6">
        <v>1328.9118652</v>
      </c>
      <c r="J6">
        <v>1328.0081786999999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15.000750542</v>
      </c>
      <c r="E7">
        <v>50</v>
      </c>
      <c r="F7">
        <v>14.999921798999999</v>
      </c>
      <c r="G7">
        <v>1331.0771483999999</v>
      </c>
      <c r="H7">
        <v>1330.1738281</v>
      </c>
      <c r="I7">
        <v>1328.6485596</v>
      </c>
      <c r="J7">
        <v>1327.7448730000001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15.002138137999999</v>
      </c>
      <c r="E8">
        <v>50</v>
      </c>
      <c r="F8">
        <v>14.999895095999999</v>
      </c>
      <c r="G8">
        <v>1331.3360596</v>
      </c>
      <c r="H8">
        <v>1330.4327393000001</v>
      </c>
      <c r="I8">
        <v>1328.390625</v>
      </c>
      <c r="J8">
        <v>1327.4870605000001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15.006245613000001</v>
      </c>
      <c r="E9">
        <v>50</v>
      </c>
      <c r="F9">
        <v>14.999871254</v>
      </c>
      <c r="G9">
        <v>1331.5678711</v>
      </c>
      <c r="H9">
        <v>1330.6645507999999</v>
      </c>
      <c r="I9">
        <v>1328.1600341999999</v>
      </c>
      <c r="J9">
        <v>1327.2563477000001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15.018509865</v>
      </c>
      <c r="E10">
        <v>50</v>
      </c>
      <c r="F10">
        <v>14.999855042</v>
      </c>
      <c r="G10">
        <v>1331.7316894999999</v>
      </c>
      <c r="H10">
        <v>1330.8286132999999</v>
      </c>
      <c r="I10">
        <v>1327.9974365</v>
      </c>
      <c r="J10">
        <v>1327.09375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15.055250168000001</v>
      </c>
      <c r="E11">
        <v>50</v>
      </c>
      <c r="F11">
        <v>14.999846458</v>
      </c>
      <c r="G11">
        <v>1331.8166504000001</v>
      </c>
      <c r="H11">
        <v>1330.9143065999999</v>
      </c>
      <c r="I11">
        <v>1327.9141846</v>
      </c>
      <c r="J11">
        <v>1327.0106201000001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15.165324211</v>
      </c>
      <c r="E12">
        <v>50</v>
      </c>
      <c r="F12">
        <v>14.999843597</v>
      </c>
      <c r="G12">
        <v>1331.8475341999999</v>
      </c>
      <c r="H12">
        <v>1330.9472656</v>
      </c>
      <c r="I12">
        <v>1327.8863524999999</v>
      </c>
      <c r="J12">
        <v>1326.9827881000001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15.494423866</v>
      </c>
      <c r="E13">
        <v>50</v>
      </c>
      <c r="F13">
        <v>14.999843597</v>
      </c>
      <c r="G13">
        <v>1331.8480225000001</v>
      </c>
      <c r="H13">
        <v>1330.9542236</v>
      </c>
      <c r="I13">
        <v>1327.8828125</v>
      </c>
      <c r="J13">
        <v>1326.979126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16.473075866999999</v>
      </c>
      <c r="E14">
        <v>50</v>
      </c>
      <c r="F14">
        <v>14.999844551000001</v>
      </c>
      <c r="G14">
        <v>1331.8265381000001</v>
      </c>
      <c r="H14">
        <v>1330.9509277</v>
      </c>
      <c r="I14">
        <v>1327.8831786999999</v>
      </c>
      <c r="J14">
        <v>1326.9794922000001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0.118742</v>
      </c>
      <c r="B15" s="1">
        <f>DATE(2010,5,1) + TIME(2,50,59)</f>
        <v>40299.118738425925</v>
      </c>
      <c r="C15">
        <v>80</v>
      </c>
      <c r="D15">
        <v>16.978069304999998</v>
      </c>
      <c r="E15">
        <v>50</v>
      </c>
      <c r="F15">
        <v>14.999844551000001</v>
      </c>
      <c r="G15">
        <v>1331.8448486</v>
      </c>
      <c r="H15">
        <v>1330.9661865</v>
      </c>
      <c r="I15">
        <v>1327.8836670000001</v>
      </c>
      <c r="J15">
        <v>1326.9796143000001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0.178482</v>
      </c>
      <c r="B16" s="1">
        <f>DATE(2010,5,1) + TIME(4,17,0)</f>
        <v>40299.178472222222</v>
      </c>
      <c r="C16">
        <v>80</v>
      </c>
      <c r="D16">
        <v>17.972490311000001</v>
      </c>
      <c r="E16">
        <v>50</v>
      </c>
      <c r="F16">
        <v>14.999845505</v>
      </c>
      <c r="G16">
        <v>1331.8317870999999</v>
      </c>
      <c r="H16">
        <v>1330.9674072</v>
      </c>
      <c r="I16">
        <v>1327.8841553</v>
      </c>
      <c r="J16">
        <v>1326.9798584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0.20852000000000001</v>
      </c>
      <c r="B17" s="1">
        <f>DATE(2010,5,1) + TIME(5,0,16)</f>
        <v>40299.208518518521</v>
      </c>
      <c r="C17">
        <v>80</v>
      </c>
      <c r="D17">
        <v>18.478427886999999</v>
      </c>
      <c r="E17">
        <v>50</v>
      </c>
      <c r="F17">
        <v>14.999845505</v>
      </c>
      <c r="G17">
        <v>1331.8548584</v>
      </c>
      <c r="H17">
        <v>1330.9853516000001</v>
      </c>
      <c r="I17">
        <v>1327.8846435999999</v>
      </c>
      <c r="J17">
        <v>1326.9799805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0.26789099999999999</v>
      </c>
      <c r="B18" s="1">
        <f>DATE(2010,5,1) + TIME(6,25,45)</f>
        <v>40299.267881944441</v>
      </c>
      <c r="C18">
        <v>80</v>
      </c>
      <c r="D18">
        <v>19.473651885999999</v>
      </c>
      <c r="E18">
        <v>50</v>
      </c>
      <c r="F18">
        <v>14.999846458</v>
      </c>
      <c r="G18">
        <v>1331.8458252</v>
      </c>
      <c r="H18">
        <v>1330.9887695</v>
      </c>
      <c r="I18">
        <v>1327.8851318</v>
      </c>
      <c r="J18">
        <v>1326.9801024999999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0.29771799999999998</v>
      </c>
      <c r="B19" s="1">
        <f>DATE(2010,5,1) + TIME(7,8,42)</f>
        <v>40299.297708333332</v>
      </c>
      <c r="C19">
        <v>80</v>
      </c>
      <c r="D19">
        <v>19.980205536</v>
      </c>
      <c r="E19">
        <v>50</v>
      </c>
      <c r="F19">
        <v>14.999847411999999</v>
      </c>
      <c r="G19">
        <v>1331.8726807</v>
      </c>
      <c r="H19">
        <v>1331.0091553</v>
      </c>
      <c r="I19">
        <v>1327.8857422000001</v>
      </c>
      <c r="J19">
        <v>1326.9802245999999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0.35660199999999997</v>
      </c>
      <c r="B20" s="1">
        <f>DATE(2010,5,1) + TIME(8,33,30)</f>
        <v>40299.35659722222</v>
      </c>
      <c r="C20">
        <v>80</v>
      </c>
      <c r="D20">
        <v>20.976924896</v>
      </c>
      <c r="E20">
        <v>50</v>
      </c>
      <c r="F20">
        <v>14.999848366</v>
      </c>
      <c r="G20">
        <v>1331.8671875</v>
      </c>
      <c r="H20">
        <v>1331.0146483999999</v>
      </c>
      <c r="I20">
        <v>1327.8861084</v>
      </c>
      <c r="J20">
        <v>1326.9803466999999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0.38614100000000001</v>
      </c>
      <c r="B21" s="1">
        <f>DATE(2010,5,1) + TIME(9,16,2)</f>
        <v>40299.386134259257</v>
      </c>
      <c r="C21">
        <v>80</v>
      </c>
      <c r="D21">
        <v>21.483991623000001</v>
      </c>
      <c r="E21">
        <v>50</v>
      </c>
      <c r="F21">
        <v>14.999848366</v>
      </c>
      <c r="G21">
        <v>1331.8974608999999</v>
      </c>
      <c r="H21">
        <v>1331.0371094</v>
      </c>
      <c r="I21">
        <v>1327.8867187999999</v>
      </c>
      <c r="J21">
        <v>1326.9804687999999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0.44439600000000001</v>
      </c>
      <c r="B22" s="1">
        <f>DATE(2010,5,1) + TIME(10,39,55)</f>
        <v>40299.444386574076</v>
      </c>
      <c r="C22">
        <v>80</v>
      </c>
      <c r="D22">
        <v>22.480314255</v>
      </c>
      <c r="E22">
        <v>50</v>
      </c>
      <c r="F22">
        <v>14.999849319000001</v>
      </c>
      <c r="G22">
        <v>1331.8950195</v>
      </c>
      <c r="H22">
        <v>1331.0443115</v>
      </c>
      <c r="I22">
        <v>1327.887207</v>
      </c>
      <c r="J22">
        <v>1326.9807129000001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0.47363</v>
      </c>
      <c r="B23" s="1">
        <f>DATE(2010,5,1) + TIME(11,22,1)</f>
        <v>40299.473622685182</v>
      </c>
      <c r="C23">
        <v>80</v>
      </c>
      <c r="D23">
        <v>22.987726211999998</v>
      </c>
      <c r="E23">
        <v>50</v>
      </c>
      <c r="F23">
        <v>14.999849319000001</v>
      </c>
      <c r="G23">
        <v>1331.9282227000001</v>
      </c>
      <c r="H23">
        <v>1331.0687256000001</v>
      </c>
      <c r="I23">
        <v>1327.8878173999999</v>
      </c>
      <c r="J23">
        <v>1326.9808350000001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0.53124499999999997</v>
      </c>
      <c r="B24" s="1">
        <f>DATE(2010,5,1) + TIME(12,44,59)</f>
        <v>40299.531238425923</v>
      </c>
      <c r="C24">
        <v>80</v>
      </c>
      <c r="D24">
        <v>23.984312057</v>
      </c>
      <c r="E24">
        <v>50</v>
      </c>
      <c r="F24">
        <v>14.999850273</v>
      </c>
      <c r="G24">
        <v>1331.9287108999999</v>
      </c>
      <c r="H24">
        <v>1331.0776367000001</v>
      </c>
      <c r="I24">
        <v>1327.8883057</v>
      </c>
      <c r="J24">
        <v>1326.980957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0.56015199999999998</v>
      </c>
      <c r="B25" s="1">
        <f>DATE(2010,5,1) + TIME(13,26,37)</f>
        <v>40299.560150462959</v>
      </c>
      <c r="C25">
        <v>80</v>
      </c>
      <c r="D25">
        <v>24.491971970000002</v>
      </c>
      <c r="E25">
        <v>50</v>
      </c>
      <c r="F25">
        <v>14.999851227000001</v>
      </c>
      <c r="G25">
        <v>1331.9643555</v>
      </c>
      <c r="H25">
        <v>1331.1036377</v>
      </c>
      <c r="I25">
        <v>1327.8889160000001</v>
      </c>
      <c r="J25">
        <v>1326.980957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0.61709199999999997</v>
      </c>
      <c r="B26" s="1">
        <f>DATE(2010,5,1) + TIME(14,48,36)</f>
        <v>40299.617083333331</v>
      </c>
      <c r="C26">
        <v>80</v>
      </c>
      <c r="D26">
        <v>25.488981247000002</v>
      </c>
      <c r="E26">
        <v>50</v>
      </c>
      <c r="F26">
        <v>14.999851227000001</v>
      </c>
      <c r="G26">
        <v>1331.9672852000001</v>
      </c>
      <c r="H26">
        <v>1331.1141356999999</v>
      </c>
      <c r="I26">
        <v>1327.8894043</v>
      </c>
      <c r="J26">
        <v>1326.9810791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0.645648</v>
      </c>
      <c r="B27" s="1">
        <f>DATE(2010,5,1) + TIME(15,29,43)</f>
        <v>40299.645636574074</v>
      </c>
      <c r="C27">
        <v>80</v>
      </c>
      <c r="D27">
        <v>25.996961593999998</v>
      </c>
      <c r="E27">
        <v>50</v>
      </c>
      <c r="F27">
        <v>14.99985218</v>
      </c>
      <c r="G27">
        <v>1332.0051269999999</v>
      </c>
      <c r="H27">
        <v>1331.1416016000001</v>
      </c>
      <c r="I27">
        <v>1327.8901367000001</v>
      </c>
      <c r="J27">
        <v>1326.9812012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0.70186099999999996</v>
      </c>
      <c r="B28" s="1">
        <f>DATE(2010,5,1) + TIME(16,50,40)</f>
        <v>40299.701851851853</v>
      </c>
      <c r="C28">
        <v>80</v>
      </c>
      <c r="D28">
        <v>26.993598938000002</v>
      </c>
      <c r="E28">
        <v>50</v>
      </c>
      <c r="F28">
        <v>14.99985218</v>
      </c>
      <c r="G28">
        <v>1332.0102539</v>
      </c>
      <c r="H28">
        <v>1331.1533202999999</v>
      </c>
      <c r="I28">
        <v>1327.890625</v>
      </c>
      <c r="J28">
        <v>1326.9813231999999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0.73006300000000002</v>
      </c>
      <c r="B29" s="1">
        <f>DATE(2010,5,1) + TIME(17,31,17)</f>
        <v>40299.730057870373</v>
      </c>
      <c r="C29">
        <v>80</v>
      </c>
      <c r="D29">
        <v>27.501459122</v>
      </c>
      <c r="E29">
        <v>50</v>
      </c>
      <c r="F29">
        <v>14.999853134</v>
      </c>
      <c r="G29">
        <v>1332.0500488</v>
      </c>
      <c r="H29">
        <v>1331.1821289</v>
      </c>
      <c r="I29">
        <v>1327.8913574000001</v>
      </c>
      <c r="J29">
        <v>1326.9814452999999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0.78559400000000001</v>
      </c>
      <c r="B30" s="1">
        <f>DATE(2010,5,1) + TIME(18,51,15)</f>
        <v>40299.785590277781</v>
      </c>
      <c r="C30">
        <v>80</v>
      </c>
      <c r="D30">
        <v>28.497875214</v>
      </c>
      <c r="E30">
        <v>50</v>
      </c>
      <c r="F30">
        <v>14.999854087999999</v>
      </c>
      <c r="G30">
        <v>1332.0570068</v>
      </c>
      <c r="H30">
        <v>1331.1950684000001</v>
      </c>
      <c r="I30">
        <v>1327.8918457</v>
      </c>
      <c r="J30">
        <v>1326.9815673999999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0.81345900000000004</v>
      </c>
      <c r="B31" s="1">
        <f>DATE(2010,5,1) + TIME(19,31,22)</f>
        <v>40299.813449074078</v>
      </c>
      <c r="C31">
        <v>80</v>
      </c>
      <c r="D31">
        <v>29.005706787000001</v>
      </c>
      <c r="E31">
        <v>50</v>
      </c>
      <c r="F31">
        <v>14.999854087999999</v>
      </c>
      <c r="G31">
        <v>1332.0983887</v>
      </c>
      <c r="H31">
        <v>1331.2249756000001</v>
      </c>
      <c r="I31">
        <v>1327.8925781</v>
      </c>
      <c r="J31">
        <v>1326.9815673999999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0.86833000000000005</v>
      </c>
      <c r="B32" s="1">
        <f>DATE(2010,5,1) + TIME(20,50,23)</f>
        <v>40299.868321759262</v>
      </c>
      <c r="C32">
        <v>80</v>
      </c>
      <c r="D32">
        <v>30.001771927</v>
      </c>
      <c r="E32">
        <v>50</v>
      </c>
      <c r="F32">
        <v>14.999855042</v>
      </c>
      <c r="G32">
        <v>1332.1070557</v>
      </c>
      <c r="H32">
        <v>1331.2390137</v>
      </c>
      <c r="I32">
        <v>1327.8930664</v>
      </c>
      <c r="J32">
        <v>1326.9816894999999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0.89587399999999995</v>
      </c>
      <c r="B33" s="1">
        <f>DATE(2010,5,1) + TIME(21,30,3)</f>
        <v>40299.895868055559</v>
      </c>
      <c r="C33">
        <v>80</v>
      </c>
      <c r="D33">
        <v>30.509618758999999</v>
      </c>
      <c r="E33">
        <v>50</v>
      </c>
      <c r="F33">
        <v>14.999855042</v>
      </c>
      <c r="G33">
        <v>1332.1499022999999</v>
      </c>
      <c r="H33">
        <v>1331.2698975000001</v>
      </c>
      <c r="I33">
        <v>1327.8937988</v>
      </c>
      <c r="J33">
        <v>1326.9818115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0.95011000000000001</v>
      </c>
      <c r="B34" s="1">
        <f>DATE(2010,5,1) + TIME(22,48,9)</f>
        <v>40299.950104166666</v>
      </c>
      <c r="C34">
        <v>80</v>
      </c>
      <c r="D34">
        <v>31.505224227999999</v>
      </c>
      <c r="E34">
        <v>50</v>
      </c>
      <c r="F34">
        <v>14.999855995000001</v>
      </c>
      <c r="G34">
        <v>1332.1599120999999</v>
      </c>
      <c r="H34">
        <v>1331.2849120999999</v>
      </c>
      <c r="I34">
        <v>1327.8942870999999</v>
      </c>
      <c r="J34">
        <v>1326.9818115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0.97734799999999999</v>
      </c>
      <c r="B35" s="1">
        <f>DATE(2010,5,1) + TIME(23,27,22)</f>
        <v>40299.977337962962</v>
      </c>
      <c r="C35">
        <v>80</v>
      </c>
      <c r="D35">
        <v>32.012798308999997</v>
      </c>
      <c r="E35">
        <v>50</v>
      </c>
      <c r="F35">
        <v>14.999855995000001</v>
      </c>
      <c r="G35">
        <v>1332.2039795000001</v>
      </c>
      <c r="H35">
        <v>1331.3166504000001</v>
      </c>
      <c r="I35">
        <v>1327.8950195</v>
      </c>
      <c r="J35">
        <v>1326.9819336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1.0310109999999999</v>
      </c>
      <c r="B36" s="1">
        <f>DATE(2010,5,2) + TIME(0,44,39)</f>
        <v>40300.031006944446</v>
      </c>
      <c r="C36">
        <v>80</v>
      </c>
      <c r="D36">
        <v>33.007820129000002</v>
      </c>
      <c r="E36">
        <v>50</v>
      </c>
      <c r="F36">
        <v>14.999856949</v>
      </c>
      <c r="G36">
        <v>1332.215332</v>
      </c>
      <c r="H36">
        <v>1331.3325195</v>
      </c>
      <c r="I36">
        <v>1327.8955077999999</v>
      </c>
      <c r="J36">
        <v>1326.9820557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1.0579769999999999</v>
      </c>
      <c r="B37" s="1">
        <f>DATE(2010,5,2) + TIME(1,23,29)</f>
        <v>40300.057974537034</v>
      </c>
      <c r="C37">
        <v>80</v>
      </c>
      <c r="D37">
        <v>33.515186309999997</v>
      </c>
      <c r="E37">
        <v>50</v>
      </c>
      <c r="F37">
        <v>14.999856949</v>
      </c>
      <c r="G37">
        <v>1332.260376</v>
      </c>
      <c r="H37">
        <v>1331.3649902</v>
      </c>
      <c r="I37">
        <v>1327.8962402</v>
      </c>
      <c r="J37">
        <v>1326.9820557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1.1111260000000001</v>
      </c>
      <c r="B38" s="1">
        <f>DATE(2010,5,2) + TIME(2,40,1)</f>
        <v>40300.111122685186</v>
      </c>
      <c r="C38">
        <v>80</v>
      </c>
      <c r="D38">
        <v>34.509521483999997</v>
      </c>
      <c r="E38">
        <v>50</v>
      </c>
      <c r="F38">
        <v>14.999857903000001</v>
      </c>
      <c r="G38">
        <v>1332.2728271000001</v>
      </c>
      <c r="H38">
        <v>1331.3815918</v>
      </c>
      <c r="I38">
        <v>1327.8968506000001</v>
      </c>
      <c r="J38">
        <v>1326.9821777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1.1378520000000001</v>
      </c>
      <c r="B39" s="1">
        <f>DATE(2010,5,2) + TIME(3,18,30)</f>
        <v>40300.13784722222</v>
      </c>
      <c r="C39">
        <v>80</v>
      </c>
      <c r="D39">
        <v>35.016635895</v>
      </c>
      <c r="E39">
        <v>50</v>
      </c>
      <c r="F39">
        <v>14.999857903000001</v>
      </c>
      <c r="G39">
        <v>1332.3188477000001</v>
      </c>
      <c r="H39">
        <v>1331.4146728999999</v>
      </c>
      <c r="I39">
        <v>1327.8975829999999</v>
      </c>
      <c r="J39">
        <v>1326.9821777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1.190553</v>
      </c>
      <c r="B40" s="1">
        <f>DATE(2010,5,2) + TIME(4,34,23)</f>
        <v>40300.19054398148</v>
      </c>
      <c r="C40">
        <v>80</v>
      </c>
      <c r="D40">
        <v>36.010196686</v>
      </c>
      <c r="E40">
        <v>50</v>
      </c>
      <c r="F40">
        <v>14.999858855999999</v>
      </c>
      <c r="G40">
        <v>1332.3322754000001</v>
      </c>
      <c r="H40">
        <v>1331.4320068</v>
      </c>
      <c r="I40">
        <v>1327.8980713000001</v>
      </c>
      <c r="J40">
        <v>1326.9822998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1.217074</v>
      </c>
      <c r="B41" s="1">
        <f>DATE(2010,5,2) + TIME(5,12,35)</f>
        <v>40300.21707175926</v>
      </c>
      <c r="C41">
        <v>80</v>
      </c>
      <c r="D41">
        <v>36.517024994000003</v>
      </c>
      <c r="E41">
        <v>50</v>
      </c>
      <c r="F41">
        <v>14.999858855999999</v>
      </c>
      <c r="G41">
        <v>1332.3789062000001</v>
      </c>
      <c r="H41">
        <v>1331.4656981999999</v>
      </c>
      <c r="I41">
        <v>1327.8988036999999</v>
      </c>
      <c r="J41">
        <v>1326.9822998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1.2694019999999999</v>
      </c>
      <c r="B42" s="1">
        <f>DATE(2010,5,2) + TIME(6,27,56)</f>
        <v>40300.26939814815</v>
      </c>
      <c r="C42">
        <v>80</v>
      </c>
      <c r="D42">
        <v>37.509716034</v>
      </c>
      <c r="E42">
        <v>50</v>
      </c>
      <c r="F42">
        <v>14.99985981</v>
      </c>
      <c r="G42">
        <v>1332.3933105000001</v>
      </c>
      <c r="H42">
        <v>1331.4836425999999</v>
      </c>
      <c r="I42">
        <v>1327.8994141000001</v>
      </c>
      <c r="J42">
        <v>1326.9824219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1.2957590000000001</v>
      </c>
      <c r="B43" s="1">
        <f>DATE(2010,5,2) + TIME(7,5,53)</f>
        <v>40300.295752314814</v>
      </c>
      <c r="C43">
        <v>80</v>
      </c>
      <c r="D43">
        <v>38.016227721999996</v>
      </c>
      <c r="E43">
        <v>50</v>
      </c>
      <c r="F43">
        <v>14.99985981</v>
      </c>
      <c r="G43">
        <v>1332.4406738</v>
      </c>
      <c r="H43">
        <v>1331.5178223</v>
      </c>
      <c r="I43">
        <v>1327.9001464999999</v>
      </c>
      <c r="J43">
        <v>1326.9824219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1.3477950000000001</v>
      </c>
      <c r="B44" s="1">
        <f>DATE(2010,5,2) + TIME(8,20,49)</f>
        <v>40300.34778935185</v>
      </c>
      <c r="C44">
        <v>80</v>
      </c>
      <c r="D44">
        <v>39.007968902999998</v>
      </c>
      <c r="E44">
        <v>50</v>
      </c>
      <c r="F44">
        <v>14.999860763999999</v>
      </c>
      <c r="G44">
        <v>1332.4558105000001</v>
      </c>
      <c r="H44">
        <v>1331.5362548999999</v>
      </c>
      <c r="I44">
        <v>1327.9006348</v>
      </c>
      <c r="J44">
        <v>1326.9825439000001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1.3740300000000001</v>
      </c>
      <c r="B45" s="1">
        <f>DATE(2010,5,2) + TIME(8,58,36)</f>
        <v>40300.374027777776</v>
      </c>
      <c r="C45">
        <v>80</v>
      </c>
      <c r="D45">
        <v>39.514133452999999</v>
      </c>
      <c r="E45">
        <v>50</v>
      </c>
      <c r="F45">
        <v>14.999860763999999</v>
      </c>
      <c r="G45">
        <v>1332.5036620999999</v>
      </c>
      <c r="H45">
        <v>1331.5710449000001</v>
      </c>
      <c r="I45">
        <v>1327.9013672000001</v>
      </c>
      <c r="J45">
        <v>1326.9825439000001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1.425859</v>
      </c>
      <c r="B46" s="1">
        <f>DATE(2010,5,2) + TIME(10,13,14)</f>
        <v>40300.425856481481</v>
      </c>
      <c r="C46">
        <v>80</v>
      </c>
      <c r="D46">
        <v>40.504955291999998</v>
      </c>
      <c r="E46">
        <v>50</v>
      </c>
      <c r="F46">
        <v>14.999861717</v>
      </c>
      <c r="G46">
        <v>1332.5195312000001</v>
      </c>
      <c r="H46">
        <v>1331.5898437999999</v>
      </c>
      <c r="I46">
        <v>1327.9019774999999</v>
      </c>
      <c r="J46">
        <v>1326.9826660000001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1.4520139999999999</v>
      </c>
      <c r="B47" s="1">
        <f>DATE(2010,5,2) + TIME(10,50,54)</f>
        <v>40300.452013888891</v>
      </c>
      <c r="C47">
        <v>80</v>
      </c>
      <c r="D47">
        <v>41.010810851999999</v>
      </c>
      <c r="E47">
        <v>50</v>
      </c>
      <c r="F47">
        <v>14.999861717</v>
      </c>
      <c r="G47">
        <v>1332.5678711</v>
      </c>
      <c r="H47">
        <v>1331.625</v>
      </c>
      <c r="I47">
        <v>1327.9027100000001</v>
      </c>
      <c r="J47">
        <v>1326.9826660000001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1.503719</v>
      </c>
      <c r="B48" s="1">
        <f>DATE(2010,5,2) + TIME(12,5,21)</f>
        <v>40300.50371527778</v>
      </c>
      <c r="C48">
        <v>80</v>
      </c>
      <c r="D48">
        <v>42.000408172999997</v>
      </c>
      <c r="E48">
        <v>50</v>
      </c>
      <c r="F48">
        <v>14.999862671000001</v>
      </c>
      <c r="G48">
        <v>1332.5843506000001</v>
      </c>
      <c r="H48">
        <v>1331.6444091999999</v>
      </c>
      <c r="I48">
        <v>1327.9033202999999</v>
      </c>
      <c r="J48">
        <v>1326.9827881000001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1.5559670000000001</v>
      </c>
      <c r="B49" s="1">
        <f>DATE(2010,5,2) + TIME(13,20,35)</f>
        <v>40300.555960648147</v>
      </c>
      <c r="C49">
        <v>80</v>
      </c>
      <c r="D49">
        <v>42.999824523999997</v>
      </c>
      <c r="E49">
        <v>50</v>
      </c>
      <c r="F49">
        <v>14.999863625</v>
      </c>
      <c r="G49">
        <v>1332.6278076000001</v>
      </c>
      <c r="H49">
        <v>1331.6809082</v>
      </c>
      <c r="I49">
        <v>1327.9041748</v>
      </c>
      <c r="J49">
        <v>1326.9827881000001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1.6082449999999999</v>
      </c>
      <c r="B50" s="1">
        <f>DATE(2010,5,2) + TIME(14,35,52)</f>
        <v>40300.608240740738</v>
      </c>
      <c r="C50">
        <v>80</v>
      </c>
      <c r="D50">
        <v>43.998531342</v>
      </c>
      <c r="E50">
        <v>50</v>
      </c>
      <c r="F50">
        <v>14.999863625</v>
      </c>
      <c r="G50">
        <v>1332.6722411999999</v>
      </c>
      <c r="H50">
        <v>1331.7181396000001</v>
      </c>
      <c r="I50">
        <v>1327.9050293</v>
      </c>
      <c r="J50">
        <v>1326.9829102000001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1.6605920000000001</v>
      </c>
      <c r="B51" s="1">
        <f>DATE(2010,5,2) + TIME(15,51,15)</f>
        <v>40300.660590277781</v>
      </c>
      <c r="C51">
        <v>80</v>
      </c>
      <c r="D51">
        <v>44.996269226000003</v>
      </c>
      <c r="E51">
        <v>50</v>
      </c>
      <c r="F51">
        <v>14.999864578</v>
      </c>
      <c r="G51">
        <v>1332.7170410000001</v>
      </c>
      <c r="H51">
        <v>1331.7556152</v>
      </c>
      <c r="I51">
        <v>1327.9058838000001</v>
      </c>
      <c r="J51">
        <v>1326.9829102000001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1.7130570000000001</v>
      </c>
      <c r="B52" s="1">
        <f>DATE(2010,5,2) + TIME(17,6,48)</f>
        <v>40300.713055555556</v>
      </c>
      <c r="C52">
        <v>80</v>
      </c>
      <c r="D52">
        <v>45.992992401000002</v>
      </c>
      <c r="E52">
        <v>50</v>
      </c>
      <c r="F52">
        <v>14.999865531999999</v>
      </c>
      <c r="G52">
        <v>1332.7623291</v>
      </c>
      <c r="H52">
        <v>1331.793457</v>
      </c>
      <c r="I52">
        <v>1327.9068603999999</v>
      </c>
      <c r="J52">
        <v>1326.9830322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1.7656940000000001</v>
      </c>
      <c r="B53" s="1">
        <f>DATE(2010,5,2) + TIME(18,22,35)</f>
        <v>40300.765682870369</v>
      </c>
      <c r="C53">
        <v>80</v>
      </c>
      <c r="D53">
        <v>46.988658905000001</v>
      </c>
      <c r="E53">
        <v>50</v>
      </c>
      <c r="F53">
        <v>14.999865531999999</v>
      </c>
      <c r="G53">
        <v>1332.8078613</v>
      </c>
      <c r="H53">
        <v>1331.831543</v>
      </c>
      <c r="I53">
        <v>1327.9077147999999</v>
      </c>
      <c r="J53">
        <v>1326.9830322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1.81856</v>
      </c>
      <c r="B54" s="1">
        <f>DATE(2010,5,2) + TIME(19,38,43)</f>
        <v>40300.818553240744</v>
      </c>
      <c r="C54">
        <v>80</v>
      </c>
      <c r="D54">
        <v>47.983215332</v>
      </c>
      <c r="E54">
        <v>50</v>
      </c>
      <c r="F54">
        <v>14.999866486</v>
      </c>
      <c r="G54">
        <v>1332.8537598</v>
      </c>
      <c r="H54">
        <v>1331.8698730000001</v>
      </c>
      <c r="I54">
        <v>1327.9085693</v>
      </c>
      <c r="J54">
        <v>1326.9831543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1.8717159999999999</v>
      </c>
      <c r="B55" s="1">
        <f>DATE(2010,5,2) + TIME(20,55,16)</f>
        <v>40300.871712962966</v>
      </c>
      <c r="C55">
        <v>80</v>
      </c>
      <c r="D55">
        <v>48.976619720000002</v>
      </c>
      <c r="E55">
        <v>50</v>
      </c>
      <c r="F55">
        <v>14.999866486</v>
      </c>
      <c r="G55">
        <v>1332.9000243999999</v>
      </c>
      <c r="H55">
        <v>1331.9083252</v>
      </c>
      <c r="I55">
        <v>1327.9095459</v>
      </c>
      <c r="J55">
        <v>1326.9831543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1.925225</v>
      </c>
      <c r="B56" s="1">
        <f>DATE(2010,5,2) + TIME(22,12,19)</f>
        <v>40300.925219907411</v>
      </c>
      <c r="C56">
        <v>80</v>
      </c>
      <c r="D56">
        <v>49.968811035000002</v>
      </c>
      <c r="E56">
        <v>50</v>
      </c>
      <c r="F56">
        <v>14.999867439000001</v>
      </c>
      <c r="G56">
        <v>1332.9465332</v>
      </c>
      <c r="H56">
        <v>1331.9471435999999</v>
      </c>
      <c r="I56">
        <v>1327.9104004000001</v>
      </c>
      <c r="J56">
        <v>1326.9831543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1.979155</v>
      </c>
      <c r="B57" s="1">
        <f>DATE(2010,5,2) + TIME(23,29,58)</f>
        <v>40300.979143518518</v>
      </c>
      <c r="C57">
        <v>80</v>
      </c>
      <c r="D57">
        <v>50.959278107000003</v>
      </c>
      <c r="E57">
        <v>50</v>
      </c>
      <c r="F57">
        <v>14.999868393</v>
      </c>
      <c r="G57">
        <v>1332.9934082</v>
      </c>
      <c r="H57">
        <v>1331.9862060999999</v>
      </c>
      <c r="I57">
        <v>1327.9113769999999</v>
      </c>
      <c r="J57">
        <v>1326.9832764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2.0336029999999998</v>
      </c>
      <c r="B58" s="1">
        <f>DATE(2010,5,3) + TIME(0,48,23)</f>
        <v>40301.033599537041</v>
      </c>
      <c r="C58">
        <v>80</v>
      </c>
      <c r="D58">
        <v>51.948818207000002</v>
      </c>
      <c r="E58">
        <v>50</v>
      </c>
      <c r="F58">
        <v>14.999868393</v>
      </c>
      <c r="G58">
        <v>1333.0405272999999</v>
      </c>
      <c r="H58">
        <v>1332.0253906</v>
      </c>
      <c r="I58">
        <v>1327.9122314000001</v>
      </c>
      <c r="J58">
        <v>1326.9832764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2.0886279999999999</v>
      </c>
      <c r="B59" s="1">
        <f>DATE(2010,5,3) + TIME(2,7,37)</f>
        <v>40301.088622685187</v>
      </c>
      <c r="C59">
        <v>80</v>
      </c>
      <c r="D59">
        <v>52.936954497999999</v>
      </c>
      <c r="E59">
        <v>50</v>
      </c>
      <c r="F59">
        <v>14.999869347000001</v>
      </c>
      <c r="G59">
        <v>1333.0878906</v>
      </c>
      <c r="H59">
        <v>1332.0646973</v>
      </c>
      <c r="I59">
        <v>1327.9132079999999</v>
      </c>
      <c r="J59">
        <v>1326.9833983999999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2.1443129999999999</v>
      </c>
      <c r="B60" s="1">
        <f>DATE(2010,5,3) + TIME(3,27,48)</f>
        <v>40301.144305555557</v>
      </c>
      <c r="C60">
        <v>80</v>
      </c>
      <c r="D60">
        <v>53.923614502</v>
      </c>
      <c r="E60">
        <v>50</v>
      </c>
      <c r="F60">
        <v>14.9998703</v>
      </c>
      <c r="G60">
        <v>1333.1354980000001</v>
      </c>
      <c r="H60">
        <v>1332.1042480000001</v>
      </c>
      <c r="I60">
        <v>1327.9140625</v>
      </c>
      <c r="J60">
        <v>1326.9833983999999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2.2007509999999999</v>
      </c>
      <c r="B61" s="1">
        <f>DATE(2010,5,3) + TIME(4,49,4)</f>
        <v>40301.200740740744</v>
      </c>
      <c r="C61">
        <v>80</v>
      </c>
      <c r="D61">
        <v>54.908699036000002</v>
      </c>
      <c r="E61">
        <v>50</v>
      </c>
      <c r="F61">
        <v>14.9998703</v>
      </c>
      <c r="G61">
        <v>1333.1834716999999</v>
      </c>
      <c r="H61">
        <v>1332.144043</v>
      </c>
      <c r="I61">
        <v>1327.9150391000001</v>
      </c>
      <c r="J61">
        <v>1326.9833983999999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2.2580429999999998</v>
      </c>
      <c r="B62" s="1">
        <f>DATE(2010,5,3) + TIME(6,11,34)</f>
        <v>40301.258032407408</v>
      </c>
      <c r="C62">
        <v>80</v>
      </c>
      <c r="D62">
        <v>55.892124176000003</v>
      </c>
      <c r="E62">
        <v>50</v>
      </c>
      <c r="F62">
        <v>14.999871254</v>
      </c>
      <c r="G62">
        <v>1333.2318115</v>
      </c>
      <c r="H62">
        <v>1332.1839600000001</v>
      </c>
      <c r="I62">
        <v>1327.9158935999999</v>
      </c>
      <c r="J62">
        <v>1326.9833983999999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2.3163019999999999</v>
      </c>
      <c r="B63" s="1">
        <f>DATE(2010,5,3) + TIME(7,35,28)</f>
        <v>40301.316296296296</v>
      </c>
      <c r="C63">
        <v>80</v>
      </c>
      <c r="D63">
        <v>56.873752594000003</v>
      </c>
      <c r="E63">
        <v>50</v>
      </c>
      <c r="F63">
        <v>14.999872207999999</v>
      </c>
      <c r="G63">
        <v>1333.2802733999999</v>
      </c>
      <c r="H63">
        <v>1332.223999</v>
      </c>
      <c r="I63">
        <v>1327.9168701000001</v>
      </c>
      <c r="J63">
        <v>1326.9835204999999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2.3756499999999998</v>
      </c>
      <c r="B64" s="1">
        <f>DATE(2010,5,3) + TIME(9,0,56)</f>
        <v>40301.375648148147</v>
      </c>
      <c r="C64">
        <v>80</v>
      </c>
      <c r="D64">
        <v>57.853057861000003</v>
      </c>
      <c r="E64">
        <v>50</v>
      </c>
      <c r="F64">
        <v>14.999872207999999</v>
      </c>
      <c r="G64">
        <v>1333.3271483999999</v>
      </c>
      <c r="H64">
        <v>1332.2628173999999</v>
      </c>
      <c r="I64">
        <v>1327.9177245999999</v>
      </c>
      <c r="J64">
        <v>1326.9835204999999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2.4362529999999998</v>
      </c>
      <c r="B65" s="1">
        <f>DATE(2010,5,3) + TIME(10,28,12)</f>
        <v>40301.436249999999</v>
      </c>
      <c r="C65">
        <v>80</v>
      </c>
      <c r="D65">
        <v>58.830238342000001</v>
      </c>
      <c r="E65">
        <v>50</v>
      </c>
      <c r="F65">
        <v>14.999873161</v>
      </c>
      <c r="G65">
        <v>1333.3737793</v>
      </c>
      <c r="H65">
        <v>1332.3012695</v>
      </c>
      <c r="I65">
        <v>1327.9187012</v>
      </c>
      <c r="J65">
        <v>1326.9835204999999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2.4982709999999999</v>
      </c>
      <c r="B66" s="1">
        <f>DATE(2010,5,3) + TIME(11,57,30)</f>
        <v>40301.498263888891</v>
      </c>
      <c r="C66">
        <v>80</v>
      </c>
      <c r="D66">
        <v>59.805240630999997</v>
      </c>
      <c r="E66">
        <v>50</v>
      </c>
      <c r="F66">
        <v>14.999874115000001</v>
      </c>
      <c r="G66">
        <v>1333.4207764</v>
      </c>
      <c r="H66">
        <v>1332.3399658000001</v>
      </c>
      <c r="I66">
        <v>1327.9195557</v>
      </c>
      <c r="J66">
        <v>1326.9836425999999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2.5618789999999998</v>
      </c>
      <c r="B67" s="1">
        <f>DATE(2010,5,3) + TIME(13,29,6)</f>
        <v>40301.561874999999</v>
      </c>
      <c r="C67">
        <v>80</v>
      </c>
      <c r="D67">
        <v>60.777336120999998</v>
      </c>
      <c r="E67">
        <v>50</v>
      </c>
      <c r="F67">
        <v>14.999874115000001</v>
      </c>
      <c r="G67">
        <v>1333.4681396000001</v>
      </c>
      <c r="H67">
        <v>1332.3789062000001</v>
      </c>
      <c r="I67">
        <v>1327.9204102000001</v>
      </c>
      <c r="J67">
        <v>1326.9836425999999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2.6273119999999999</v>
      </c>
      <c r="B68" s="1">
        <f>DATE(2010,5,3) + TIME(15,3,19)</f>
        <v>40301.627303240741</v>
      </c>
      <c r="C68">
        <v>80</v>
      </c>
      <c r="D68">
        <v>61.747261047000002</v>
      </c>
      <c r="E68">
        <v>50</v>
      </c>
      <c r="F68">
        <v>14.999875069</v>
      </c>
      <c r="G68">
        <v>1333.5158690999999</v>
      </c>
      <c r="H68">
        <v>1332.4179687999999</v>
      </c>
      <c r="I68">
        <v>1327.9213867000001</v>
      </c>
      <c r="J68">
        <v>1326.9836425999999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2.6947749999999999</v>
      </c>
      <c r="B69" s="1">
        <f>DATE(2010,5,3) + TIME(16,40,28)</f>
        <v>40301.694768518515</v>
      </c>
      <c r="C69">
        <v>80</v>
      </c>
      <c r="D69">
        <v>62.713897705000001</v>
      </c>
      <c r="E69">
        <v>50</v>
      </c>
      <c r="F69">
        <v>14.999876022</v>
      </c>
      <c r="G69">
        <v>1333.5607910000001</v>
      </c>
      <c r="H69">
        <v>1332.4549560999999</v>
      </c>
      <c r="I69">
        <v>1327.9221190999999</v>
      </c>
      <c r="J69">
        <v>1326.9837646000001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2.7645659999999999</v>
      </c>
      <c r="B70" s="1">
        <f>DATE(2010,5,3) + TIME(18,20,58)</f>
        <v>40301.764560185184</v>
      </c>
      <c r="C70">
        <v>80</v>
      </c>
      <c r="D70">
        <v>63.677398682000003</v>
      </c>
      <c r="E70">
        <v>50</v>
      </c>
      <c r="F70">
        <v>14.999876022</v>
      </c>
      <c r="G70">
        <v>1333.6057129000001</v>
      </c>
      <c r="H70">
        <v>1332.4915771000001</v>
      </c>
      <c r="I70">
        <v>1327.9229736</v>
      </c>
      <c r="J70">
        <v>1326.9837646000001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2.8370009999999999</v>
      </c>
      <c r="B71" s="1">
        <f>DATE(2010,5,3) + TIME(20,5,16)</f>
        <v>40301.83699074074</v>
      </c>
      <c r="C71">
        <v>80</v>
      </c>
      <c r="D71">
        <v>64.637550353999998</v>
      </c>
      <c r="E71">
        <v>50</v>
      </c>
      <c r="F71">
        <v>14.999876975999999</v>
      </c>
      <c r="G71">
        <v>1333.651001</v>
      </c>
      <c r="H71">
        <v>1332.5284423999999</v>
      </c>
      <c r="I71">
        <v>1327.9238281</v>
      </c>
      <c r="J71">
        <v>1326.9837646000001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2.912442</v>
      </c>
      <c r="B72" s="1">
        <f>DATE(2010,5,3) + TIME(21,53,55)</f>
        <v>40301.912442129629</v>
      </c>
      <c r="C72">
        <v>80</v>
      </c>
      <c r="D72">
        <v>65.594139099000003</v>
      </c>
      <c r="E72">
        <v>50</v>
      </c>
      <c r="F72">
        <v>14.99987793</v>
      </c>
      <c r="G72">
        <v>1333.6966553</v>
      </c>
      <c r="H72">
        <v>1332.5654297000001</v>
      </c>
      <c r="I72">
        <v>1327.9246826000001</v>
      </c>
      <c r="J72">
        <v>1326.9837646000001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2.9913069999999999</v>
      </c>
      <c r="B73" s="1">
        <f>DATE(2010,5,3) + TIME(23,47,28)</f>
        <v>40301.991296296299</v>
      </c>
      <c r="C73">
        <v>80</v>
      </c>
      <c r="D73">
        <v>66.546554564999994</v>
      </c>
      <c r="E73">
        <v>50</v>
      </c>
      <c r="F73">
        <v>14.99987793</v>
      </c>
      <c r="G73">
        <v>1333.7429199000001</v>
      </c>
      <c r="H73">
        <v>1332.6027832</v>
      </c>
      <c r="I73">
        <v>1327.9255370999999</v>
      </c>
      <c r="J73">
        <v>1326.9838867000001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3.0309059999999999</v>
      </c>
      <c r="B74" s="1">
        <f>DATE(2010,5,4) + TIME(0,44,30)</f>
        <v>40302.030902777777</v>
      </c>
      <c r="C74">
        <v>80</v>
      </c>
      <c r="D74">
        <v>67.017295837000006</v>
      </c>
      <c r="E74">
        <v>50</v>
      </c>
      <c r="F74">
        <v>14.999878882999999</v>
      </c>
      <c r="G74">
        <v>1333.7915039</v>
      </c>
      <c r="H74">
        <v>1332.6359863</v>
      </c>
      <c r="I74">
        <v>1327.9262695</v>
      </c>
      <c r="J74">
        <v>1326.9838867000001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3.0705049999999998</v>
      </c>
      <c r="B75" s="1">
        <f>DATE(2010,5,4) + TIME(1,41,31)</f>
        <v>40302.070497685185</v>
      </c>
      <c r="C75">
        <v>80</v>
      </c>
      <c r="D75">
        <v>67.475517272999994</v>
      </c>
      <c r="E75">
        <v>50</v>
      </c>
      <c r="F75">
        <v>14.999878882999999</v>
      </c>
      <c r="G75">
        <v>1333.8123779</v>
      </c>
      <c r="H75">
        <v>1332.6525879000001</v>
      </c>
      <c r="I75">
        <v>1327.9266356999999</v>
      </c>
      <c r="J75">
        <v>1326.9838867000001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3.1100110000000001</v>
      </c>
      <c r="B76" s="1">
        <f>DATE(2010,5,4) + TIME(2,38,24)</f>
        <v>40302.11</v>
      </c>
      <c r="C76">
        <v>80</v>
      </c>
      <c r="D76">
        <v>67.920303344999994</v>
      </c>
      <c r="E76">
        <v>50</v>
      </c>
      <c r="F76">
        <v>14.999879837</v>
      </c>
      <c r="G76">
        <v>1333.8328856999999</v>
      </c>
      <c r="H76">
        <v>1332.6689452999999</v>
      </c>
      <c r="I76">
        <v>1327.9270019999999</v>
      </c>
      <c r="J76">
        <v>1326.9840088000001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3.1491730000000002</v>
      </c>
      <c r="B77" s="1">
        <f>DATE(2010,5,4) + TIME(3,34,48)</f>
        <v>40302.14916666667</v>
      </c>
      <c r="C77">
        <v>80</v>
      </c>
      <c r="D77">
        <v>68.349174500000004</v>
      </c>
      <c r="E77">
        <v>50</v>
      </c>
      <c r="F77">
        <v>14.999879837</v>
      </c>
      <c r="G77">
        <v>1333.8529053</v>
      </c>
      <c r="H77">
        <v>1332.6848144999999</v>
      </c>
      <c r="I77">
        <v>1327.9273682</v>
      </c>
      <c r="J77">
        <v>1326.9840088000001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3.188024</v>
      </c>
      <c r="B78" s="1">
        <f>DATE(2010,5,4) + TIME(4,30,45)</f>
        <v>40302.188020833331</v>
      </c>
      <c r="C78">
        <v>80</v>
      </c>
      <c r="D78">
        <v>68.762870789000004</v>
      </c>
      <c r="E78">
        <v>50</v>
      </c>
      <c r="F78">
        <v>14.999879837</v>
      </c>
      <c r="G78">
        <v>1333.8725586</v>
      </c>
      <c r="H78">
        <v>1332.7003173999999</v>
      </c>
      <c r="I78">
        <v>1327.9277344</v>
      </c>
      <c r="J78">
        <v>1326.9840088000001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3.226594</v>
      </c>
      <c r="B79" s="1">
        <f>DATE(2010,5,4) + TIME(5,26,17)</f>
        <v>40302.226585648146</v>
      </c>
      <c r="C79">
        <v>80</v>
      </c>
      <c r="D79">
        <v>69.162094116000006</v>
      </c>
      <c r="E79">
        <v>50</v>
      </c>
      <c r="F79">
        <v>14.999880791000001</v>
      </c>
      <c r="G79">
        <v>1333.8916016000001</v>
      </c>
      <c r="H79">
        <v>1332.715332</v>
      </c>
      <c r="I79">
        <v>1327.9281006000001</v>
      </c>
      <c r="J79">
        <v>1326.9840088000001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3.2649140000000001</v>
      </c>
      <c r="B80" s="1">
        <f>DATE(2010,5,4) + TIME(6,21,28)</f>
        <v>40302.264907407407</v>
      </c>
      <c r="C80">
        <v>80</v>
      </c>
      <c r="D80">
        <v>69.547485351999995</v>
      </c>
      <c r="E80">
        <v>50</v>
      </c>
      <c r="F80">
        <v>14.999880791000001</v>
      </c>
      <c r="G80">
        <v>1333.9101562000001</v>
      </c>
      <c r="H80">
        <v>1332.7298584</v>
      </c>
      <c r="I80">
        <v>1327.9284668</v>
      </c>
      <c r="J80">
        <v>1326.9840088000001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3.3030110000000001</v>
      </c>
      <c r="B81" s="1">
        <f>DATE(2010,5,4) + TIME(7,16,20)</f>
        <v>40302.30300925926</v>
      </c>
      <c r="C81">
        <v>80</v>
      </c>
      <c r="D81">
        <v>69.919647217000005</v>
      </c>
      <c r="E81">
        <v>50</v>
      </c>
      <c r="F81">
        <v>14.999880791000001</v>
      </c>
      <c r="G81">
        <v>1333.9282227000001</v>
      </c>
      <c r="H81">
        <v>1332.7438964999999</v>
      </c>
      <c r="I81">
        <v>1327.9288329999999</v>
      </c>
      <c r="J81">
        <v>1326.9840088000001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3.3409119999999999</v>
      </c>
      <c r="B82" s="1">
        <f>DATE(2010,5,4) + TIME(8,10,54)</f>
        <v>40302.340902777774</v>
      </c>
      <c r="C82">
        <v>80</v>
      </c>
      <c r="D82">
        <v>70.278961182000003</v>
      </c>
      <c r="E82">
        <v>50</v>
      </c>
      <c r="F82">
        <v>14.999881744</v>
      </c>
      <c r="G82">
        <v>1333.9456786999999</v>
      </c>
      <c r="H82">
        <v>1332.7575684000001</v>
      </c>
      <c r="I82">
        <v>1327.9290771000001</v>
      </c>
      <c r="J82">
        <v>1326.9841309000001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3.3786420000000001</v>
      </c>
      <c r="B83" s="1">
        <f>DATE(2010,5,4) + TIME(9,5,14)</f>
        <v>40302.378634259258</v>
      </c>
      <c r="C83">
        <v>80</v>
      </c>
      <c r="D83">
        <v>70.626091002999999</v>
      </c>
      <c r="E83">
        <v>50</v>
      </c>
      <c r="F83">
        <v>14.999881744</v>
      </c>
      <c r="G83">
        <v>1333.9628906</v>
      </c>
      <c r="H83">
        <v>1332.770874</v>
      </c>
      <c r="I83">
        <v>1327.9294434000001</v>
      </c>
      <c r="J83">
        <v>1326.9841309000001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3.4162249999999998</v>
      </c>
      <c r="B84" s="1">
        <f>DATE(2010,5,4) + TIME(9,59,21)</f>
        <v>40302.416215277779</v>
      </c>
      <c r="C84">
        <v>80</v>
      </c>
      <c r="D84">
        <v>70.961585998999993</v>
      </c>
      <c r="E84">
        <v>50</v>
      </c>
      <c r="F84">
        <v>14.999881744</v>
      </c>
      <c r="G84">
        <v>1333.9796143000001</v>
      </c>
      <c r="H84">
        <v>1332.7836914</v>
      </c>
      <c r="I84">
        <v>1327.9298096</v>
      </c>
      <c r="J84">
        <v>1326.9841309000001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3.453684</v>
      </c>
      <c r="B85" s="1">
        <f>DATE(2010,5,4) + TIME(10,53,18)</f>
        <v>40302.453680555554</v>
      </c>
      <c r="C85">
        <v>80</v>
      </c>
      <c r="D85">
        <v>71.285919188999998</v>
      </c>
      <c r="E85">
        <v>50</v>
      </c>
      <c r="F85">
        <v>14.999882698</v>
      </c>
      <c r="G85">
        <v>1333.9958495999999</v>
      </c>
      <c r="H85">
        <v>1332.7962646000001</v>
      </c>
      <c r="I85">
        <v>1327.9300536999999</v>
      </c>
      <c r="J85">
        <v>1326.9841309000001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3.4910399999999999</v>
      </c>
      <c r="B86" s="1">
        <f>DATE(2010,5,4) + TIME(11,47,5)</f>
        <v>40302.491030092591</v>
      </c>
      <c r="C86">
        <v>80</v>
      </c>
      <c r="D86">
        <v>71.599517821999996</v>
      </c>
      <c r="E86">
        <v>50</v>
      </c>
      <c r="F86">
        <v>14.999882698</v>
      </c>
      <c r="G86">
        <v>1334.0115966999999</v>
      </c>
      <c r="H86">
        <v>1332.8083495999999</v>
      </c>
      <c r="I86">
        <v>1327.9304199000001</v>
      </c>
      <c r="J86">
        <v>1326.9841309000001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3.5283159999999998</v>
      </c>
      <c r="B87" s="1">
        <f>DATE(2010,5,4) + TIME(12,40,46)</f>
        <v>40302.528310185182</v>
      </c>
      <c r="C87">
        <v>80</v>
      </c>
      <c r="D87">
        <v>71.902671814000001</v>
      </c>
      <c r="E87">
        <v>50</v>
      </c>
      <c r="F87">
        <v>14.999882698</v>
      </c>
      <c r="G87">
        <v>1334.0249022999999</v>
      </c>
      <c r="H87">
        <v>1332.8186035000001</v>
      </c>
      <c r="I87">
        <v>1327.9306641000001</v>
      </c>
      <c r="J87">
        <v>1326.9841309000001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3.565547</v>
      </c>
      <c r="B88" s="1">
        <f>DATE(2010,5,4) + TIME(13,34,23)</f>
        <v>40302.56554398148</v>
      </c>
      <c r="C88">
        <v>80</v>
      </c>
      <c r="D88">
        <v>72.195915221999996</v>
      </c>
      <c r="E88">
        <v>50</v>
      </c>
      <c r="F88">
        <v>14.999883651999999</v>
      </c>
      <c r="G88">
        <v>1334.0378418</v>
      </c>
      <c r="H88">
        <v>1332.8283690999999</v>
      </c>
      <c r="I88">
        <v>1327.9309082</v>
      </c>
      <c r="J88">
        <v>1326.9842529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3.6027529999999999</v>
      </c>
      <c r="B89" s="1">
        <f>DATE(2010,5,4) + TIME(14,27,57)</f>
        <v>40302.602743055555</v>
      </c>
      <c r="C89">
        <v>80</v>
      </c>
      <c r="D89">
        <v>72.479598999000004</v>
      </c>
      <c r="E89">
        <v>50</v>
      </c>
      <c r="F89">
        <v>14.999883651999999</v>
      </c>
      <c r="G89">
        <v>1334.0505370999999</v>
      </c>
      <c r="H89">
        <v>1332.8380127</v>
      </c>
      <c r="I89">
        <v>1327.9311522999999</v>
      </c>
      <c r="J89">
        <v>1326.9842529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3.6399530000000002</v>
      </c>
      <c r="B90" s="1">
        <f>DATE(2010,5,4) + TIME(15,21,31)</f>
        <v>40302.63994212963</v>
      </c>
      <c r="C90">
        <v>80</v>
      </c>
      <c r="D90">
        <v>72.754089355000005</v>
      </c>
      <c r="E90">
        <v>50</v>
      </c>
      <c r="F90">
        <v>14.999883651999999</v>
      </c>
      <c r="G90">
        <v>1334.0628661999999</v>
      </c>
      <c r="H90">
        <v>1332.8474120999999</v>
      </c>
      <c r="I90">
        <v>1327.9313964999999</v>
      </c>
      <c r="J90">
        <v>1326.9842529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3.6771530000000001</v>
      </c>
      <c r="B91" s="1">
        <f>DATE(2010,5,4) + TIME(16,15,6)</f>
        <v>40302.677152777775</v>
      </c>
      <c r="C91">
        <v>80</v>
      </c>
      <c r="D91">
        <v>73.019622803000004</v>
      </c>
      <c r="E91">
        <v>50</v>
      </c>
      <c r="F91">
        <v>14.999884605</v>
      </c>
      <c r="G91">
        <v>1334.0749512</v>
      </c>
      <c r="H91">
        <v>1332.8564452999999</v>
      </c>
      <c r="I91">
        <v>1327.9316406</v>
      </c>
      <c r="J91">
        <v>1326.9842529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3.714353</v>
      </c>
      <c r="B92" s="1">
        <f>DATE(2010,5,4) + TIME(17,8,40)</f>
        <v>40302.71435185185</v>
      </c>
      <c r="C92">
        <v>80</v>
      </c>
      <c r="D92">
        <v>73.276397704999994</v>
      </c>
      <c r="E92">
        <v>50</v>
      </c>
      <c r="F92">
        <v>14.999884605</v>
      </c>
      <c r="G92">
        <v>1334.0867920000001</v>
      </c>
      <c r="H92">
        <v>1332.8653564000001</v>
      </c>
      <c r="I92">
        <v>1327.9318848</v>
      </c>
      <c r="J92">
        <v>1326.9842529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3.7515520000000002</v>
      </c>
      <c r="B93" s="1">
        <f>DATE(2010,5,4) + TIME(18,2,14)</f>
        <v>40302.751550925925</v>
      </c>
      <c r="C93">
        <v>80</v>
      </c>
      <c r="D93">
        <v>73.524627686000002</v>
      </c>
      <c r="E93">
        <v>50</v>
      </c>
      <c r="F93">
        <v>14.999884605</v>
      </c>
      <c r="G93">
        <v>1334.0982666</v>
      </c>
      <c r="H93">
        <v>1332.8739014</v>
      </c>
      <c r="I93">
        <v>1327.9321289</v>
      </c>
      <c r="J93">
        <v>1326.9842529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3.7887520000000001</v>
      </c>
      <c r="B94" s="1">
        <f>DATE(2010,5,4) + TIME(18,55,48)</f>
        <v>40302.78875</v>
      </c>
      <c r="C94">
        <v>80</v>
      </c>
      <c r="D94">
        <v>73.764511107999994</v>
      </c>
      <c r="E94">
        <v>50</v>
      </c>
      <c r="F94">
        <v>14.999884605</v>
      </c>
      <c r="G94">
        <v>1334.1096190999999</v>
      </c>
      <c r="H94">
        <v>1332.8823242000001</v>
      </c>
      <c r="I94">
        <v>1327.932251</v>
      </c>
      <c r="J94">
        <v>1326.984375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3.825952</v>
      </c>
      <c r="B95" s="1">
        <f>DATE(2010,5,4) + TIME(19,49,22)</f>
        <v>40302.825949074075</v>
      </c>
      <c r="C95">
        <v>80</v>
      </c>
      <c r="D95">
        <v>73.996246338000006</v>
      </c>
      <c r="E95">
        <v>50</v>
      </c>
      <c r="F95">
        <v>14.999885559000001</v>
      </c>
      <c r="G95">
        <v>1334.1206055</v>
      </c>
      <c r="H95">
        <v>1332.8903809000001</v>
      </c>
      <c r="I95">
        <v>1327.9324951000001</v>
      </c>
      <c r="J95">
        <v>1326.984375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3.8631519999999999</v>
      </c>
      <c r="B96" s="1">
        <f>DATE(2010,5,4) + TIME(20,42,56)</f>
        <v>40302.86314814815</v>
      </c>
      <c r="C96">
        <v>80</v>
      </c>
      <c r="D96">
        <v>74.220054626000007</v>
      </c>
      <c r="E96">
        <v>50</v>
      </c>
      <c r="F96">
        <v>14.999885559000001</v>
      </c>
      <c r="G96">
        <v>1334.1313477000001</v>
      </c>
      <c r="H96">
        <v>1332.8983154</v>
      </c>
      <c r="I96">
        <v>1327.9327393000001</v>
      </c>
      <c r="J96">
        <v>1326.984375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3.9003519999999998</v>
      </c>
      <c r="B97" s="1">
        <f>DATE(2010,5,4) + TIME(21,36,30)</f>
        <v>40302.900347222225</v>
      </c>
      <c r="C97">
        <v>80</v>
      </c>
      <c r="D97">
        <v>74.436126709000007</v>
      </c>
      <c r="E97">
        <v>50</v>
      </c>
      <c r="F97">
        <v>14.999885559000001</v>
      </c>
      <c r="G97">
        <v>1334.1418457</v>
      </c>
      <c r="H97">
        <v>1332.9060059000001</v>
      </c>
      <c r="I97">
        <v>1327.9329834</v>
      </c>
      <c r="J97">
        <v>1326.984375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3.9375520000000002</v>
      </c>
      <c r="B98" s="1">
        <f>DATE(2010,5,4) + TIME(22,30,4)</f>
        <v>40302.9375462963</v>
      </c>
      <c r="C98">
        <v>80</v>
      </c>
      <c r="D98">
        <v>74.644668578999998</v>
      </c>
      <c r="E98">
        <v>50</v>
      </c>
      <c r="F98">
        <v>14.999886513</v>
      </c>
      <c r="G98">
        <v>1334.1520995999999</v>
      </c>
      <c r="H98">
        <v>1332.9134521000001</v>
      </c>
      <c r="I98">
        <v>1327.9332274999999</v>
      </c>
      <c r="J98">
        <v>1326.984375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4.0119509999999998</v>
      </c>
      <c r="B99" s="1">
        <f>DATE(2010,5,5) + TIME(0,17,12)</f>
        <v>40303.011944444443</v>
      </c>
      <c r="C99">
        <v>80</v>
      </c>
      <c r="D99">
        <v>75.031425475999995</v>
      </c>
      <c r="E99">
        <v>50</v>
      </c>
      <c r="F99">
        <v>14.999886513</v>
      </c>
      <c r="G99">
        <v>1334.1600341999999</v>
      </c>
      <c r="H99">
        <v>1332.9217529</v>
      </c>
      <c r="I99">
        <v>1327.9334716999999</v>
      </c>
      <c r="J99">
        <v>1326.9844971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4.0864940000000001</v>
      </c>
      <c r="B100" s="1">
        <f>DATE(2010,5,5) + TIME(2,4,33)</f>
        <v>40303.086493055554</v>
      </c>
      <c r="C100">
        <v>80</v>
      </c>
      <c r="D100">
        <v>75.392097473000007</v>
      </c>
      <c r="E100">
        <v>50</v>
      </c>
      <c r="F100">
        <v>14.999887466000001</v>
      </c>
      <c r="G100">
        <v>1334.1789550999999</v>
      </c>
      <c r="H100">
        <v>1332.9351807</v>
      </c>
      <c r="I100">
        <v>1327.9338379000001</v>
      </c>
      <c r="J100">
        <v>1326.9844971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4.1618659999999998</v>
      </c>
      <c r="B101" s="1">
        <f>DATE(2010,5,5) + TIME(3,53,5)</f>
        <v>40303.161863425928</v>
      </c>
      <c r="C101">
        <v>80</v>
      </c>
      <c r="D101">
        <v>75.731109618999994</v>
      </c>
      <c r="E101">
        <v>50</v>
      </c>
      <c r="F101">
        <v>14.999887466000001</v>
      </c>
      <c r="G101">
        <v>1334.1968993999999</v>
      </c>
      <c r="H101">
        <v>1332.947876</v>
      </c>
      <c r="I101">
        <v>1327.9342041</v>
      </c>
      <c r="J101">
        <v>1326.9844971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4.238181</v>
      </c>
      <c r="B102" s="1">
        <f>DATE(2010,5,5) + TIME(5,42,58)</f>
        <v>40303.238171296296</v>
      </c>
      <c r="C102">
        <v>80</v>
      </c>
      <c r="D102">
        <v>76.049606323000006</v>
      </c>
      <c r="E102">
        <v>50</v>
      </c>
      <c r="F102">
        <v>14.99988842</v>
      </c>
      <c r="G102">
        <v>1334.2141113</v>
      </c>
      <c r="H102">
        <v>1332.9599608999999</v>
      </c>
      <c r="I102">
        <v>1327.9345702999999</v>
      </c>
      <c r="J102">
        <v>1326.9846190999999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4.3155710000000003</v>
      </c>
      <c r="B103" s="1">
        <f>DATE(2010,5,5) + TIME(7,34,25)</f>
        <v>40303.315567129626</v>
      </c>
      <c r="C103">
        <v>80</v>
      </c>
      <c r="D103">
        <v>76.348648071</v>
      </c>
      <c r="E103">
        <v>50</v>
      </c>
      <c r="F103">
        <v>14.99988842</v>
      </c>
      <c r="G103">
        <v>1334.2293701000001</v>
      </c>
      <c r="H103">
        <v>1332.9704589999999</v>
      </c>
      <c r="I103">
        <v>1327.9349365</v>
      </c>
      <c r="J103">
        <v>1326.9846190999999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4.3941929999999996</v>
      </c>
      <c r="B104" s="1">
        <f>DATE(2010,5,5) + TIME(9,27,38)</f>
        <v>40303.394189814811</v>
      </c>
      <c r="C104">
        <v>80</v>
      </c>
      <c r="D104">
        <v>76.629196167000003</v>
      </c>
      <c r="E104">
        <v>50</v>
      </c>
      <c r="F104">
        <v>14.999889374</v>
      </c>
      <c r="G104">
        <v>1334.2413329999999</v>
      </c>
      <c r="H104">
        <v>1332.9783935999999</v>
      </c>
      <c r="I104">
        <v>1327.9353027</v>
      </c>
      <c r="J104">
        <v>1326.9846190999999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4.4742329999999999</v>
      </c>
      <c r="B105" s="1">
        <f>DATE(2010,5,5) + TIME(11,22,53)</f>
        <v>40303.474224537036</v>
      </c>
      <c r="C105">
        <v>80</v>
      </c>
      <c r="D105">
        <v>76.892387389999996</v>
      </c>
      <c r="E105">
        <v>50</v>
      </c>
      <c r="F105">
        <v>14.999890326999999</v>
      </c>
      <c r="G105">
        <v>1334.2526855000001</v>
      </c>
      <c r="H105">
        <v>1332.9858397999999</v>
      </c>
      <c r="I105">
        <v>1327.9355469</v>
      </c>
      <c r="J105">
        <v>1326.9847411999999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4.5558639999999997</v>
      </c>
      <c r="B106" s="1">
        <f>DATE(2010,5,5) + TIME(13,20,26)</f>
        <v>40303.555856481478</v>
      </c>
      <c r="C106">
        <v>80</v>
      </c>
      <c r="D106">
        <v>77.139175414999997</v>
      </c>
      <c r="E106">
        <v>50</v>
      </c>
      <c r="F106">
        <v>14.999890326999999</v>
      </c>
      <c r="G106">
        <v>1334.2635498</v>
      </c>
      <c r="H106">
        <v>1332.9929199000001</v>
      </c>
      <c r="I106">
        <v>1327.9359131000001</v>
      </c>
      <c r="J106">
        <v>1326.9847411999999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4.6392490000000004</v>
      </c>
      <c r="B107" s="1">
        <f>DATE(2010,5,5) + TIME(15,20,31)</f>
        <v>40303.639247685183</v>
      </c>
      <c r="C107">
        <v>80</v>
      </c>
      <c r="D107">
        <v>77.370399474999999</v>
      </c>
      <c r="E107">
        <v>50</v>
      </c>
      <c r="F107">
        <v>14.999891281</v>
      </c>
      <c r="G107">
        <v>1334.2739257999999</v>
      </c>
      <c r="H107">
        <v>1332.9995117000001</v>
      </c>
      <c r="I107">
        <v>1327.9361572</v>
      </c>
      <c r="J107">
        <v>1326.9848632999999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4.7245509999999999</v>
      </c>
      <c r="B108" s="1">
        <f>DATE(2010,5,5) + TIME(17,23,21)</f>
        <v>40303.724548611113</v>
      </c>
      <c r="C108">
        <v>80</v>
      </c>
      <c r="D108">
        <v>77.586814880000006</v>
      </c>
      <c r="E108">
        <v>50</v>
      </c>
      <c r="F108">
        <v>14.999891281</v>
      </c>
      <c r="G108">
        <v>1334.2836914</v>
      </c>
      <c r="H108">
        <v>1333.0056152</v>
      </c>
      <c r="I108">
        <v>1327.9365233999999</v>
      </c>
      <c r="J108">
        <v>1326.9848632999999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4.8119610000000002</v>
      </c>
      <c r="B109" s="1">
        <f>DATE(2010,5,5) + TIME(19,29,13)</f>
        <v>40303.811956018515</v>
      </c>
      <c r="C109">
        <v>80</v>
      </c>
      <c r="D109">
        <v>77.789161682</v>
      </c>
      <c r="E109">
        <v>50</v>
      </c>
      <c r="F109">
        <v>14.999892235000001</v>
      </c>
      <c r="G109">
        <v>1334.2930908000001</v>
      </c>
      <c r="H109">
        <v>1333.0113524999999</v>
      </c>
      <c r="I109">
        <v>1327.9367675999999</v>
      </c>
      <c r="J109">
        <v>1326.9849853999999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4.9016890000000002</v>
      </c>
      <c r="B110" s="1">
        <f>DATE(2010,5,5) + TIME(21,38,25)</f>
        <v>40303.901678240742</v>
      </c>
      <c r="C110">
        <v>80</v>
      </c>
      <c r="D110">
        <v>77.978157042999996</v>
      </c>
      <c r="E110">
        <v>50</v>
      </c>
      <c r="F110">
        <v>14.999892235000001</v>
      </c>
      <c r="G110">
        <v>1334.3020019999999</v>
      </c>
      <c r="H110">
        <v>1333.0167236</v>
      </c>
      <c r="I110">
        <v>1327.9371338000001</v>
      </c>
      <c r="J110">
        <v>1326.9849853999999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4.9939660000000003</v>
      </c>
      <c r="B111" s="1">
        <f>DATE(2010,5,5) + TIME(23,51,18)</f>
        <v>40303.993958333333</v>
      </c>
      <c r="C111">
        <v>80</v>
      </c>
      <c r="D111">
        <v>78.154472350999995</v>
      </c>
      <c r="E111">
        <v>50</v>
      </c>
      <c r="F111">
        <v>14.999893188</v>
      </c>
      <c r="G111">
        <v>1334.3104248</v>
      </c>
      <c r="H111">
        <v>1333.0217285000001</v>
      </c>
      <c r="I111">
        <v>1327.9373779</v>
      </c>
      <c r="J111">
        <v>1326.9849853999999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5.0890469999999999</v>
      </c>
      <c r="B112" s="1">
        <f>DATE(2010,5,6) + TIME(2,8,13)</f>
        <v>40304.089039351849</v>
      </c>
      <c r="C112">
        <v>80</v>
      </c>
      <c r="D112">
        <v>78.318725585999999</v>
      </c>
      <c r="E112">
        <v>50</v>
      </c>
      <c r="F112">
        <v>14.999894142</v>
      </c>
      <c r="G112">
        <v>1334.3183594</v>
      </c>
      <c r="H112">
        <v>1333.0262451000001</v>
      </c>
      <c r="I112">
        <v>1327.9377440999999</v>
      </c>
      <c r="J112">
        <v>1326.9851074000001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5.1872109999999996</v>
      </c>
      <c r="B113" s="1">
        <f>DATE(2010,5,6) + TIME(4,29,35)</f>
        <v>40304.187210648146</v>
      </c>
      <c r="C113">
        <v>80</v>
      </c>
      <c r="D113">
        <v>78.471534728999998</v>
      </c>
      <c r="E113">
        <v>50</v>
      </c>
      <c r="F113">
        <v>14.999894142</v>
      </c>
      <c r="G113">
        <v>1334.3258057</v>
      </c>
      <c r="H113">
        <v>1333.0303954999999</v>
      </c>
      <c r="I113">
        <v>1327.9379882999999</v>
      </c>
      <c r="J113">
        <v>1326.9851074000001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5.2884349999999998</v>
      </c>
      <c r="B114" s="1">
        <f>DATE(2010,5,6) + TIME(6,55,20)</f>
        <v>40304.288425925923</v>
      </c>
      <c r="C114">
        <v>80</v>
      </c>
      <c r="D114">
        <v>78.613044739000003</v>
      </c>
      <c r="E114">
        <v>50</v>
      </c>
      <c r="F114">
        <v>14.999895095999999</v>
      </c>
      <c r="G114">
        <v>1334.3327637</v>
      </c>
      <c r="H114">
        <v>1333.0341797000001</v>
      </c>
      <c r="I114">
        <v>1327.9383545000001</v>
      </c>
      <c r="J114">
        <v>1326.9852295000001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5.3924599999999998</v>
      </c>
      <c r="B115" s="1">
        <f>DATE(2010,5,6) + TIME(9,25,8)</f>
        <v>40304.392453703702</v>
      </c>
      <c r="C115">
        <v>80</v>
      </c>
      <c r="D115">
        <v>78.743232727000006</v>
      </c>
      <c r="E115">
        <v>50</v>
      </c>
      <c r="F115">
        <v>14.999895095999999</v>
      </c>
      <c r="G115">
        <v>1334.3392334</v>
      </c>
      <c r="H115">
        <v>1333.0374756000001</v>
      </c>
      <c r="I115">
        <v>1327.9385986</v>
      </c>
      <c r="J115">
        <v>1326.9852295000001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5.4995760000000002</v>
      </c>
      <c r="B116" s="1">
        <f>DATE(2010,5,6) + TIME(11,59,23)</f>
        <v>40304.499571759261</v>
      </c>
      <c r="C116">
        <v>80</v>
      </c>
      <c r="D116">
        <v>78.862861632999994</v>
      </c>
      <c r="E116">
        <v>50</v>
      </c>
      <c r="F116">
        <v>14.999896049</v>
      </c>
      <c r="G116">
        <v>1334.3449707</v>
      </c>
      <c r="H116">
        <v>1333.0402832</v>
      </c>
      <c r="I116">
        <v>1327.9388428</v>
      </c>
      <c r="J116">
        <v>1326.9853516000001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5.610087</v>
      </c>
      <c r="B117" s="1">
        <f>DATE(2010,5,6) + TIME(14,38,31)</f>
        <v>40304.610081018516</v>
      </c>
      <c r="C117">
        <v>80</v>
      </c>
      <c r="D117">
        <v>78.972602843999994</v>
      </c>
      <c r="E117">
        <v>50</v>
      </c>
      <c r="F117">
        <v>14.999897002999999</v>
      </c>
      <c r="G117">
        <v>1334.3503418</v>
      </c>
      <c r="H117">
        <v>1333.0427245999999</v>
      </c>
      <c r="I117">
        <v>1327.9392089999999</v>
      </c>
      <c r="J117">
        <v>1326.9853516000001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5.7243269999999997</v>
      </c>
      <c r="B118" s="1">
        <f>DATE(2010,5,6) + TIME(17,23,1)</f>
        <v>40304.724317129629</v>
      </c>
      <c r="C118">
        <v>80</v>
      </c>
      <c r="D118">
        <v>79.073097228999998</v>
      </c>
      <c r="E118">
        <v>50</v>
      </c>
      <c r="F118">
        <v>14.999897002999999</v>
      </c>
      <c r="G118">
        <v>1334.3551024999999</v>
      </c>
      <c r="H118">
        <v>1333.0447998</v>
      </c>
      <c r="I118">
        <v>1327.9394531</v>
      </c>
      <c r="J118">
        <v>1326.9854736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5.84267</v>
      </c>
      <c r="B119" s="1">
        <f>DATE(2010,5,6) + TIME(20,13,26)</f>
        <v>40304.842662037037</v>
      </c>
      <c r="C119">
        <v>80</v>
      </c>
      <c r="D119">
        <v>79.164955139</v>
      </c>
      <c r="E119">
        <v>50</v>
      </c>
      <c r="F119">
        <v>14.999897957</v>
      </c>
      <c r="G119">
        <v>1334.3592529</v>
      </c>
      <c r="H119">
        <v>1333.0463867000001</v>
      </c>
      <c r="I119">
        <v>1327.9398193</v>
      </c>
      <c r="J119">
        <v>1326.9854736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5.9655399999999998</v>
      </c>
      <c r="B120" s="1">
        <f>DATE(2010,5,6) + TIME(23,10,22)</f>
        <v>40304.965532407405</v>
      </c>
      <c r="C120">
        <v>80</v>
      </c>
      <c r="D120">
        <v>79.248748778999996</v>
      </c>
      <c r="E120">
        <v>50</v>
      </c>
      <c r="F120">
        <v>14.999898911000001</v>
      </c>
      <c r="G120">
        <v>1334.3630370999999</v>
      </c>
      <c r="H120">
        <v>1333.0476074000001</v>
      </c>
      <c r="I120">
        <v>1327.9400635</v>
      </c>
      <c r="J120">
        <v>1326.9855957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6.0269950000000003</v>
      </c>
      <c r="B121" s="1">
        <f>DATE(2010,5,7) + TIME(0,38,52)</f>
        <v>40305.026990740742</v>
      </c>
      <c r="C121">
        <v>80</v>
      </c>
      <c r="D121">
        <v>79.288047790999997</v>
      </c>
      <c r="E121">
        <v>50</v>
      </c>
      <c r="F121">
        <v>14.999898911000001</v>
      </c>
      <c r="G121">
        <v>1334.3660889</v>
      </c>
      <c r="H121">
        <v>1333.0473632999999</v>
      </c>
      <c r="I121">
        <v>1327.9403076000001</v>
      </c>
      <c r="J121">
        <v>1326.9855957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6.0884489999999998</v>
      </c>
      <c r="B122" s="1">
        <f>DATE(2010,5,7) + TIME(2,7,22)</f>
        <v>40305.088449074072</v>
      </c>
      <c r="C122">
        <v>80</v>
      </c>
      <c r="D122">
        <v>79.324783324999999</v>
      </c>
      <c r="E122">
        <v>50</v>
      </c>
      <c r="F122">
        <v>14.999898911000001</v>
      </c>
      <c r="G122">
        <v>1334.3658447</v>
      </c>
      <c r="H122">
        <v>1333.0465088000001</v>
      </c>
      <c r="I122">
        <v>1327.9404297000001</v>
      </c>
      <c r="J122">
        <v>1326.9857178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6.1499040000000003</v>
      </c>
      <c r="B123" s="1">
        <f>DATE(2010,5,7) + TIME(3,35,51)</f>
        <v>40305.149895833332</v>
      </c>
      <c r="C123">
        <v>80</v>
      </c>
      <c r="D123">
        <v>79.359123229999994</v>
      </c>
      <c r="E123">
        <v>50</v>
      </c>
      <c r="F123">
        <v>14.999899864</v>
      </c>
      <c r="G123">
        <v>1334.3656006000001</v>
      </c>
      <c r="H123">
        <v>1333.0455322</v>
      </c>
      <c r="I123">
        <v>1327.9406738</v>
      </c>
      <c r="J123">
        <v>1326.9857178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6.2113589999999999</v>
      </c>
      <c r="B124" s="1">
        <f>DATE(2010,5,7) + TIME(5,4,21)</f>
        <v>40305.211354166669</v>
      </c>
      <c r="C124">
        <v>80</v>
      </c>
      <c r="D124">
        <v>79.391235351999995</v>
      </c>
      <c r="E124">
        <v>50</v>
      </c>
      <c r="F124">
        <v>14.999899864</v>
      </c>
      <c r="G124">
        <v>1334.3651123</v>
      </c>
      <c r="H124">
        <v>1333.0445557</v>
      </c>
      <c r="I124">
        <v>1327.9407959</v>
      </c>
      <c r="J124">
        <v>1326.9857178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6.2728130000000002</v>
      </c>
      <c r="B125" s="1">
        <f>DATE(2010,5,7) + TIME(6,32,51)</f>
        <v>40305.272812499999</v>
      </c>
      <c r="C125">
        <v>80</v>
      </c>
      <c r="D125">
        <v>79.421264648000005</v>
      </c>
      <c r="E125">
        <v>50</v>
      </c>
      <c r="F125">
        <v>14.999899864</v>
      </c>
      <c r="G125">
        <v>1334.364624</v>
      </c>
      <c r="H125">
        <v>1333.043457</v>
      </c>
      <c r="I125">
        <v>1327.940918</v>
      </c>
      <c r="J125">
        <v>1326.9858397999999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6.3342679999999998</v>
      </c>
      <c r="B126" s="1">
        <f>DATE(2010,5,7) + TIME(8,1,20)</f>
        <v>40305.33425925926</v>
      </c>
      <c r="C126">
        <v>80</v>
      </c>
      <c r="D126">
        <v>79.449348450000002</v>
      </c>
      <c r="E126">
        <v>50</v>
      </c>
      <c r="F126">
        <v>14.999900818</v>
      </c>
      <c r="G126">
        <v>1334.3641356999999</v>
      </c>
      <c r="H126">
        <v>1333.0423584</v>
      </c>
      <c r="I126">
        <v>1327.9410399999999</v>
      </c>
      <c r="J126">
        <v>1326.9858397999999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6.3957230000000003</v>
      </c>
      <c r="B127" s="1">
        <f>DATE(2010,5,7) + TIME(9,29,50)</f>
        <v>40305.39571759259</v>
      </c>
      <c r="C127">
        <v>80</v>
      </c>
      <c r="D127">
        <v>79.475624084000003</v>
      </c>
      <c r="E127">
        <v>50</v>
      </c>
      <c r="F127">
        <v>14.999900818</v>
      </c>
      <c r="G127">
        <v>1334.3635254000001</v>
      </c>
      <c r="H127">
        <v>1333.0412598</v>
      </c>
      <c r="I127">
        <v>1327.9411620999999</v>
      </c>
      <c r="J127">
        <v>1326.9858397999999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6.4571769999999997</v>
      </c>
      <c r="B128" s="1">
        <f>DATE(2010,5,7) + TIME(10,58,20)</f>
        <v>40305.457175925927</v>
      </c>
      <c r="C128">
        <v>80</v>
      </c>
      <c r="D128">
        <v>79.500213622999993</v>
      </c>
      <c r="E128">
        <v>50</v>
      </c>
      <c r="F128">
        <v>14.999900818</v>
      </c>
      <c r="G128">
        <v>1334.362793</v>
      </c>
      <c r="H128">
        <v>1333.0401611</v>
      </c>
      <c r="I128">
        <v>1327.9412841999999</v>
      </c>
      <c r="J128">
        <v>1326.9859618999999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6.5186320000000002</v>
      </c>
      <c r="B129" s="1">
        <f>DATE(2010,5,7) + TIME(12,26,49)</f>
        <v>40305.518622685187</v>
      </c>
      <c r="C129">
        <v>80</v>
      </c>
      <c r="D129">
        <v>79.523216247999997</v>
      </c>
      <c r="E129">
        <v>50</v>
      </c>
      <c r="F129">
        <v>14.999900818</v>
      </c>
      <c r="G129">
        <v>1334.3620605000001</v>
      </c>
      <c r="H129">
        <v>1333.0389404</v>
      </c>
      <c r="I129">
        <v>1327.9414062000001</v>
      </c>
      <c r="J129">
        <v>1326.9859618999999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6.5800869999999998</v>
      </c>
      <c r="B130" s="1">
        <f>DATE(2010,5,7) + TIME(13,55,19)</f>
        <v>40305.580081018517</v>
      </c>
      <c r="C130">
        <v>80</v>
      </c>
      <c r="D130">
        <v>79.544754028</v>
      </c>
      <c r="E130">
        <v>50</v>
      </c>
      <c r="F130">
        <v>14.999901771999999</v>
      </c>
      <c r="G130">
        <v>1334.3612060999999</v>
      </c>
      <c r="H130">
        <v>1333.0377197</v>
      </c>
      <c r="I130">
        <v>1327.9415283000001</v>
      </c>
      <c r="J130">
        <v>1326.9859618999999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6.7029959999999997</v>
      </c>
      <c r="B131" s="1">
        <f>DATE(2010,5,7) + TIME(16,52,18)</f>
        <v>40305.702986111108</v>
      </c>
      <c r="C131">
        <v>80</v>
      </c>
      <c r="D131">
        <v>79.582618713000002</v>
      </c>
      <c r="E131">
        <v>50</v>
      </c>
      <c r="F131">
        <v>14.999901771999999</v>
      </c>
      <c r="G131">
        <v>1334.3598632999999</v>
      </c>
      <c r="H131">
        <v>1333.0367432</v>
      </c>
      <c r="I131">
        <v>1327.9416504000001</v>
      </c>
      <c r="J131">
        <v>1326.9860839999999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6.8260019999999999</v>
      </c>
      <c r="B132" s="1">
        <f>DATE(2010,5,7) + TIME(19,49,26)</f>
        <v>40305.825995370367</v>
      </c>
      <c r="C132">
        <v>80</v>
      </c>
      <c r="D132">
        <v>79.616020203000005</v>
      </c>
      <c r="E132">
        <v>50</v>
      </c>
      <c r="F132">
        <v>14.999902725</v>
      </c>
      <c r="G132">
        <v>1334.3579102000001</v>
      </c>
      <c r="H132">
        <v>1333.0341797000001</v>
      </c>
      <c r="I132">
        <v>1327.9418945</v>
      </c>
      <c r="J132">
        <v>1326.9860839999999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6.9497949999999999</v>
      </c>
      <c r="B133" s="1">
        <f>DATE(2010,5,7) + TIME(22,47,42)</f>
        <v>40305.949791666666</v>
      </c>
      <c r="C133">
        <v>80</v>
      </c>
      <c r="D133">
        <v>79.645652771000002</v>
      </c>
      <c r="E133">
        <v>50</v>
      </c>
      <c r="F133">
        <v>14.999902725</v>
      </c>
      <c r="G133">
        <v>1334.3557129000001</v>
      </c>
      <c r="H133">
        <v>1333.0314940999999</v>
      </c>
      <c r="I133">
        <v>1327.9420166</v>
      </c>
      <c r="J133">
        <v>1326.9862060999999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7.0745849999999999</v>
      </c>
      <c r="B134" s="1">
        <f>DATE(2010,5,8) + TIME(1,47,24)</f>
        <v>40306.074583333335</v>
      </c>
      <c r="C134">
        <v>80</v>
      </c>
      <c r="D134">
        <v>79.671989440999994</v>
      </c>
      <c r="E134">
        <v>50</v>
      </c>
      <c r="F134">
        <v>14.999903679000001</v>
      </c>
      <c r="G134">
        <v>1334.3532714999999</v>
      </c>
      <c r="H134">
        <v>1333.0288086</v>
      </c>
      <c r="I134">
        <v>1327.9422606999999</v>
      </c>
      <c r="J134">
        <v>1326.9862060999999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7.2005710000000001</v>
      </c>
      <c r="B135" s="1">
        <f>DATE(2010,5,8) + TIME(4,48,49)</f>
        <v>40306.200567129628</v>
      </c>
      <c r="C135">
        <v>80</v>
      </c>
      <c r="D135">
        <v>79.695426940999994</v>
      </c>
      <c r="E135">
        <v>50</v>
      </c>
      <c r="F135">
        <v>14.999904633</v>
      </c>
      <c r="G135">
        <v>1334.3507079999999</v>
      </c>
      <c r="H135">
        <v>1333.026001</v>
      </c>
      <c r="I135">
        <v>1327.9425048999999</v>
      </c>
      <c r="J135">
        <v>1326.9863281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7.3279610000000002</v>
      </c>
      <c r="B136" s="1">
        <f>DATE(2010,5,8) + TIME(7,52,15)</f>
        <v>40306.327951388892</v>
      </c>
      <c r="C136">
        <v>80</v>
      </c>
      <c r="D136">
        <v>79.716308593999997</v>
      </c>
      <c r="E136">
        <v>50</v>
      </c>
      <c r="F136">
        <v>14.999904633</v>
      </c>
      <c r="G136">
        <v>1334.3480225000001</v>
      </c>
      <c r="H136">
        <v>1333.0230713000001</v>
      </c>
      <c r="I136">
        <v>1327.942749</v>
      </c>
      <c r="J136">
        <v>1326.9864502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7.4569619999999999</v>
      </c>
      <c r="B137" s="1">
        <f>DATE(2010,5,8) + TIME(10,58,1)</f>
        <v>40306.456956018519</v>
      </c>
      <c r="C137">
        <v>80</v>
      </c>
      <c r="D137">
        <v>79.734931946000003</v>
      </c>
      <c r="E137">
        <v>50</v>
      </c>
      <c r="F137">
        <v>14.999905586000001</v>
      </c>
      <c r="G137">
        <v>1334.3450928</v>
      </c>
      <c r="H137">
        <v>1333.0201416</v>
      </c>
      <c r="I137">
        <v>1327.9429932</v>
      </c>
      <c r="J137">
        <v>1326.9864502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7.5877929999999996</v>
      </c>
      <c r="B138" s="1">
        <f>DATE(2010,5,8) + TIME(14,6,25)</f>
        <v>40306.587789351855</v>
      </c>
      <c r="C138">
        <v>80</v>
      </c>
      <c r="D138">
        <v>79.751564025999997</v>
      </c>
      <c r="E138">
        <v>50</v>
      </c>
      <c r="F138">
        <v>14.999905586000001</v>
      </c>
      <c r="G138">
        <v>1334.3420410000001</v>
      </c>
      <c r="H138">
        <v>1333.0172118999999</v>
      </c>
      <c r="I138">
        <v>1327.9432373</v>
      </c>
      <c r="J138">
        <v>1326.9865723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7.7206780000000004</v>
      </c>
      <c r="B139" s="1">
        <f>DATE(2010,5,8) + TIME(17,17,46)</f>
        <v>40306.720671296294</v>
      </c>
      <c r="C139">
        <v>80</v>
      </c>
      <c r="D139">
        <v>79.766418457</v>
      </c>
      <c r="E139">
        <v>50</v>
      </c>
      <c r="F139">
        <v>14.99990654</v>
      </c>
      <c r="G139">
        <v>1334.3388672000001</v>
      </c>
      <c r="H139">
        <v>1333.0141602000001</v>
      </c>
      <c r="I139">
        <v>1327.9434814000001</v>
      </c>
      <c r="J139">
        <v>1326.9866943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7.8558529999999998</v>
      </c>
      <c r="B140" s="1">
        <f>DATE(2010,5,8) + TIME(20,32,25)</f>
        <v>40306.855844907404</v>
      </c>
      <c r="C140">
        <v>80</v>
      </c>
      <c r="D140">
        <v>79.779716492000006</v>
      </c>
      <c r="E140">
        <v>50</v>
      </c>
      <c r="F140">
        <v>14.99990654</v>
      </c>
      <c r="G140">
        <v>1334.3354492000001</v>
      </c>
      <c r="H140">
        <v>1333.0111084</v>
      </c>
      <c r="I140">
        <v>1327.9437256000001</v>
      </c>
      <c r="J140">
        <v>1326.9866943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7.9935679999999998</v>
      </c>
      <c r="B141" s="1">
        <f>DATE(2010,5,8) + TIME(23,50,44)</f>
        <v>40306.993564814817</v>
      </c>
      <c r="C141">
        <v>80</v>
      </c>
      <c r="D141">
        <v>79.791610718000001</v>
      </c>
      <c r="E141">
        <v>50</v>
      </c>
      <c r="F141">
        <v>14.999907494</v>
      </c>
      <c r="G141">
        <v>1334.3320312000001</v>
      </c>
      <c r="H141">
        <v>1333.0079346</v>
      </c>
      <c r="I141">
        <v>1327.9439697</v>
      </c>
      <c r="J141">
        <v>1326.9868164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8.1341300000000007</v>
      </c>
      <c r="B142" s="1">
        <f>DATE(2010,5,9) + TIME(3,13,8)</f>
        <v>40307.134120370371</v>
      </c>
      <c r="C142">
        <v>80</v>
      </c>
      <c r="D142">
        <v>79.802268982000001</v>
      </c>
      <c r="E142">
        <v>50</v>
      </c>
      <c r="F142">
        <v>14.999907494</v>
      </c>
      <c r="G142">
        <v>1334.3283690999999</v>
      </c>
      <c r="H142">
        <v>1333.0047606999999</v>
      </c>
      <c r="I142">
        <v>1327.9442139</v>
      </c>
      <c r="J142">
        <v>1326.9869385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8.2778170000000006</v>
      </c>
      <c r="B143" s="1">
        <f>DATE(2010,5,9) + TIME(6,40,3)</f>
        <v>40307.277812499997</v>
      </c>
      <c r="C143">
        <v>80</v>
      </c>
      <c r="D143">
        <v>79.811820983999993</v>
      </c>
      <c r="E143">
        <v>50</v>
      </c>
      <c r="F143">
        <v>14.999908446999999</v>
      </c>
      <c r="G143">
        <v>1334.3245850000001</v>
      </c>
      <c r="H143">
        <v>1333.0014647999999</v>
      </c>
      <c r="I143">
        <v>1327.9444579999999</v>
      </c>
      <c r="J143">
        <v>1326.9869385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8.4249159999999996</v>
      </c>
      <c r="B144" s="1">
        <f>DATE(2010,5,9) + TIME(10,11,52)</f>
        <v>40307.424907407411</v>
      </c>
      <c r="C144">
        <v>80</v>
      </c>
      <c r="D144">
        <v>79.820388793999996</v>
      </c>
      <c r="E144">
        <v>50</v>
      </c>
      <c r="F144">
        <v>14.999909401</v>
      </c>
      <c r="G144">
        <v>1334.3206786999999</v>
      </c>
      <c r="H144">
        <v>1332.9981689000001</v>
      </c>
      <c r="I144">
        <v>1327.9447021000001</v>
      </c>
      <c r="J144">
        <v>1326.9870605000001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8.5757670000000008</v>
      </c>
      <c r="B145" s="1">
        <f>DATE(2010,5,9) + TIME(13,49,6)</f>
        <v>40307.57576388889</v>
      </c>
      <c r="C145">
        <v>80</v>
      </c>
      <c r="D145">
        <v>79.828071593999994</v>
      </c>
      <c r="E145">
        <v>50</v>
      </c>
      <c r="F145">
        <v>14.999909401</v>
      </c>
      <c r="G145">
        <v>1334.3166504000001</v>
      </c>
      <c r="H145">
        <v>1332.9948730000001</v>
      </c>
      <c r="I145">
        <v>1327.9449463000001</v>
      </c>
      <c r="J145">
        <v>1326.9871826000001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8.7307439999999996</v>
      </c>
      <c r="B146" s="1">
        <f>DATE(2010,5,9) + TIME(17,32,16)</f>
        <v>40307.730740740742</v>
      </c>
      <c r="C146">
        <v>80</v>
      </c>
      <c r="D146">
        <v>79.834960937999995</v>
      </c>
      <c r="E146">
        <v>50</v>
      </c>
      <c r="F146">
        <v>14.999910355000001</v>
      </c>
      <c r="G146">
        <v>1334.3123779</v>
      </c>
      <c r="H146">
        <v>1332.9914550999999</v>
      </c>
      <c r="I146">
        <v>1327.9451904</v>
      </c>
      <c r="J146">
        <v>1326.9871826000001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8.889659</v>
      </c>
      <c r="B147" s="1">
        <f>DATE(2010,5,9) + TIME(21,21,6)</f>
        <v>40307.889652777776</v>
      </c>
      <c r="C147">
        <v>80</v>
      </c>
      <c r="D147">
        <v>79.841117858999993</v>
      </c>
      <c r="E147">
        <v>50</v>
      </c>
      <c r="F147">
        <v>14.999910355000001</v>
      </c>
      <c r="G147">
        <v>1334.3081055</v>
      </c>
      <c r="H147">
        <v>1332.9879149999999</v>
      </c>
      <c r="I147">
        <v>1327.9454346</v>
      </c>
      <c r="J147">
        <v>1326.9873047000001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9.0528969999999997</v>
      </c>
      <c r="B148" s="1">
        <f>DATE(2010,5,10) + TIME(1,16,10)</f>
        <v>40308.052893518521</v>
      </c>
      <c r="C148">
        <v>80</v>
      </c>
      <c r="D148">
        <v>79.846633910999998</v>
      </c>
      <c r="E148">
        <v>50</v>
      </c>
      <c r="F148">
        <v>14.999911308</v>
      </c>
      <c r="G148">
        <v>1334.3035889</v>
      </c>
      <c r="H148">
        <v>1332.984375</v>
      </c>
      <c r="I148">
        <v>1327.9458007999999</v>
      </c>
      <c r="J148">
        <v>1326.9874268000001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9.2208850000000009</v>
      </c>
      <c r="B149" s="1">
        <f>DATE(2010,5,10) + TIME(5,18,4)</f>
        <v>40308.220879629633</v>
      </c>
      <c r="C149">
        <v>80</v>
      </c>
      <c r="D149">
        <v>79.851570128999995</v>
      </c>
      <c r="E149">
        <v>50</v>
      </c>
      <c r="F149">
        <v>14.999911308</v>
      </c>
      <c r="G149">
        <v>1334.2989502</v>
      </c>
      <c r="H149">
        <v>1332.9808350000001</v>
      </c>
      <c r="I149">
        <v>1327.9460449000001</v>
      </c>
      <c r="J149">
        <v>1326.9875488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9.3940979999999996</v>
      </c>
      <c r="B150" s="1">
        <f>DATE(2010,5,10) + TIME(9,27,30)</f>
        <v>40308.394097222219</v>
      </c>
      <c r="C150">
        <v>80</v>
      </c>
      <c r="D150">
        <v>79.855987549000005</v>
      </c>
      <c r="E150">
        <v>50</v>
      </c>
      <c r="F150">
        <v>14.999912262</v>
      </c>
      <c r="G150">
        <v>1334.2941894999999</v>
      </c>
      <c r="H150">
        <v>1332.9771728999999</v>
      </c>
      <c r="I150">
        <v>1327.9462891000001</v>
      </c>
      <c r="J150">
        <v>1326.9876709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9.5726449999999996</v>
      </c>
      <c r="B151" s="1">
        <f>DATE(2010,5,10) + TIME(13,44,36)</f>
        <v>40308.572638888887</v>
      </c>
      <c r="C151">
        <v>80</v>
      </c>
      <c r="D151">
        <v>79.859931946000003</v>
      </c>
      <c r="E151">
        <v>50</v>
      </c>
      <c r="F151">
        <v>14.999913215999999</v>
      </c>
      <c r="G151">
        <v>1334.2893065999999</v>
      </c>
      <c r="H151">
        <v>1332.9733887</v>
      </c>
      <c r="I151">
        <v>1327.9466553</v>
      </c>
      <c r="J151">
        <v>1326.987793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9.6632809999999996</v>
      </c>
      <c r="B152" s="1">
        <f>DATE(2010,5,10) + TIME(15,55,7)</f>
        <v>40308.663275462961</v>
      </c>
      <c r="C152">
        <v>80</v>
      </c>
      <c r="D152">
        <v>79.861793517999999</v>
      </c>
      <c r="E152">
        <v>50</v>
      </c>
      <c r="F152">
        <v>14.999913215999999</v>
      </c>
      <c r="G152">
        <v>1334.2843018000001</v>
      </c>
      <c r="H152">
        <v>1332.9693603999999</v>
      </c>
      <c r="I152">
        <v>1327.9468993999999</v>
      </c>
      <c r="J152">
        <v>1326.987793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9.7539180000000005</v>
      </c>
      <c r="B153" s="1">
        <f>DATE(2010,5,10) + TIME(18,5,38)</f>
        <v>40308.753912037035</v>
      </c>
      <c r="C153">
        <v>80</v>
      </c>
      <c r="D153">
        <v>79.863510132000002</v>
      </c>
      <c r="E153">
        <v>50</v>
      </c>
      <c r="F153">
        <v>14.999913215999999</v>
      </c>
      <c r="G153">
        <v>1334.2817382999999</v>
      </c>
      <c r="H153">
        <v>1332.9675293</v>
      </c>
      <c r="I153">
        <v>1327.9471435999999</v>
      </c>
      <c r="J153">
        <v>1326.9879149999999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9.8445540000000005</v>
      </c>
      <c r="B154" s="1">
        <f>DATE(2010,5,10) + TIME(20,16,9)</f>
        <v>40308.844548611109</v>
      </c>
      <c r="C154">
        <v>80</v>
      </c>
      <c r="D154">
        <v>79.865112304999997</v>
      </c>
      <c r="E154">
        <v>50</v>
      </c>
      <c r="F154">
        <v>14.999914169</v>
      </c>
      <c r="G154">
        <v>1334.2791748</v>
      </c>
      <c r="H154">
        <v>1332.9655762</v>
      </c>
      <c r="I154">
        <v>1327.9472656</v>
      </c>
      <c r="J154">
        <v>1326.9879149999999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9.9351909999999997</v>
      </c>
      <c r="B155" s="1">
        <f>DATE(2010,5,10) + TIME(22,26,40)</f>
        <v>40308.935185185182</v>
      </c>
      <c r="C155">
        <v>80</v>
      </c>
      <c r="D155">
        <v>79.866607665999993</v>
      </c>
      <c r="E155">
        <v>50</v>
      </c>
      <c r="F155">
        <v>14.999914169</v>
      </c>
      <c r="G155">
        <v>1334.2766113</v>
      </c>
      <c r="H155">
        <v>1332.9637451000001</v>
      </c>
      <c r="I155">
        <v>1327.9473877</v>
      </c>
      <c r="J155">
        <v>1326.9880370999999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10.025827</v>
      </c>
      <c r="B156" s="1">
        <f>DATE(2010,5,11) + TIME(0,37,11)</f>
        <v>40309.025821759256</v>
      </c>
      <c r="C156">
        <v>80</v>
      </c>
      <c r="D156">
        <v>79.867988585999996</v>
      </c>
      <c r="E156">
        <v>50</v>
      </c>
      <c r="F156">
        <v>14.999914169</v>
      </c>
      <c r="G156">
        <v>1334.2740478999999</v>
      </c>
      <c r="H156">
        <v>1332.9617920000001</v>
      </c>
      <c r="I156">
        <v>1327.9475098</v>
      </c>
      <c r="J156">
        <v>1326.9880370999999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10.116464000000001</v>
      </c>
      <c r="B157" s="1">
        <f>DATE(2010,5,11) + TIME(2,47,42)</f>
        <v>40309.11645833333</v>
      </c>
      <c r="C157">
        <v>80</v>
      </c>
      <c r="D157">
        <v>79.869277953999998</v>
      </c>
      <c r="E157">
        <v>50</v>
      </c>
      <c r="F157">
        <v>14.999914169</v>
      </c>
      <c r="G157">
        <v>1334.2716064000001</v>
      </c>
      <c r="H157">
        <v>1332.9599608999999</v>
      </c>
      <c r="I157">
        <v>1327.9477539</v>
      </c>
      <c r="J157">
        <v>1326.9881591999999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10.207100000000001</v>
      </c>
      <c r="B158" s="1">
        <f>DATE(2010,5,11) + TIME(4,58,13)</f>
        <v>40309.207094907404</v>
      </c>
      <c r="C158">
        <v>80</v>
      </c>
      <c r="D158">
        <v>79.870483398000005</v>
      </c>
      <c r="E158">
        <v>50</v>
      </c>
      <c r="F158">
        <v>14.999915122999999</v>
      </c>
      <c r="G158">
        <v>1334.269043</v>
      </c>
      <c r="H158">
        <v>1332.9581298999999</v>
      </c>
      <c r="I158">
        <v>1327.947876</v>
      </c>
      <c r="J158">
        <v>1326.9881591999999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10.297737</v>
      </c>
      <c r="B159" s="1">
        <f>DATE(2010,5,11) + TIME(7,8,44)</f>
        <v>40309.297731481478</v>
      </c>
      <c r="C159">
        <v>80</v>
      </c>
      <c r="D159">
        <v>79.871604919000006</v>
      </c>
      <c r="E159">
        <v>50</v>
      </c>
      <c r="F159">
        <v>14.999915122999999</v>
      </c>
      <c r="G159">
        <v>1334.2666016000001</v>
      </c>
      <c r="H159">
        <v>1332.9562988</v>
      </c>
      <c r="I159">
        <v>1327.9479980000001</v>
      </c>
      <c r="J159">
        <v>1326.9881591999999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10.388373</v>
      </c>
      <c r="B160" s="1">
        <f>DATE(2010,5,11) + TIME(9,19,15)</f>
        <v>40309.388368055559</v>
      </c>
      <c r="C160">
        <v>80</v>
      </c>
      <c r="D160">
        <v>79.872650145999998</v>
      </c>
      <c r="E160">
        <v>50</v>
      </c>
      <c r="F160">
        <v>14.999915122999999</v>
      </c>
      <c r="G160">
        <v>1334.2640381000001</v>
      </c>
      <c r="H160">
        <v>1332.9544678</v>
      </c>
      <c r="I160">
        <v>1327.9481201000001</v>
      </c>
      <c r="J160">
        <v>1326.9882812000001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10.479010000000001</v>
      </c>
      <c r="B161" s="1">
        <f>DATE(2010,5,11) + TIME(11,29,46)</f>
        <v>40309.479004629633</v>
      </c>
      <c r="C161">
        <v>80</v>
      </c>
      <c r="D161">
        <v>79.873626709000007</v>
      </c>
      <c r="E161">
        <v>50</v>
      </c>
      <c r="F161">
        <v>14.999916077</v>
      </c>
      <c r="G161">
        <v>1334.2615966999999</v>
      </c>
      <c r="H161">
        <v>1332.9526367000001</v>
      </c>
      <c r="I161">
        <v>1327.9483643000001</v>
      </c>
      <c r="J161">
        <v>1326.9882812000001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10.569646000000001</v>
      </c>
      <c r="B162" s="1">
        <f>DATE(2010,5,11) + TIME(13,40,17)</f>
        <v>40309.569641203707</v>
      </c>
      <c r="C162">
        <v>80</v>
      </c>
      <c r="D162">
        <v>79.874542235999996</v>
      </c>
      <c r="E162">
        <v>50</v>
      </c>
      <c r="F162">
        <v>14.999916077</v>
      </c>
      <c r="G162">
        <v>1334.2590332</v>
      </c>
      <c r="H162">
        <v>1332.9506836</v>
      </c>
      <c r="I162">
        <v>1327.9484863</v>
      </c>
      <c r="J162">
        <v>1326.9884033000001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10.660283</v>
      </c>
      <c r="B163" s="1">
        <f>DATE(2010,5,11) + TIME(15,50,48)</f>
        <v>40309.660277777781</v>
      </c>
      <c r="C163">
        <v>80</v>
      </c>
      <c r="D163">
        <v>79.875396729000002</v>
      </c>
      <c r="E163">
        <v>50</v>
      </c>
      <c r="F163">
        <v>14.999916077</v>
      </c>
      <c r="G163">
        <v>1334.2565918</v>
      </c>
      <c r="H163">
        <v>1332.9488524999999</v>
      </c>
      <c r="I163">
        <v>1327.9486084</v>
      </c>
      <c r="J163">
        <v>1326.9884033000001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10.750920000000001</v>
      </c>
      <c r="B164" s="1">
        <f>DATE(2010,5,11) + TIME(18,1,19)</f>
        <v>40309.750914351855</v>
      </c>
      <c r="C164">
        <v>80</v>
      </c>
      <c r="D164">
        <v>79.876190186000002</v>
      </c>
      <c r="E164">
        <v>50</v>
      </c>
      <c r="F164">
        <v>14.999916077</v>
      </c>
      <c r="G164">
        <v>1334.2541504000001</v>
      </c>
      <c r="H164">
        <v>1332.9471435999999</v>
      </c>
      <c r="I164">
        <v>1327.9487305</v>
      </c>
      <c r="J164">
        <v>1326.9885254000001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10.932193</v>
      </c>
      <c r="B165" s="1">
        <f>DATE(2010,5,11) + TIME(22,22,21)</f>
        <v>40309.932187500002</v>
      </c>
      <c r="C165">
        <v>80</v>
      </c>
      <c r="D165">
        <v>79.877609253000003</v>
      </c>
      <c r="E165">
        <v>50</v>
      </c>
      <c r="F165">
        <v>14.999917030000001</v>
      </c>
      <c r="G165">
        <v>1334.2517089999999</v>
      </c>
      <c r="H165">
        <v>1332.9454346</v>
      </c>
      <c r="I165">
        <v>1327.9489745999999</v>
      </c>
      <c r="J165">
        <v>1326.9885254000001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11.113524</v>
      </c>
      <c r="B166" s="1">
        <f>DATE(2010,5,12) + TIME(2,43,28)</f>
        <v>40310.113518518519</v>
      </c>
      <c r="C166">
        <v>80</v>
      </c>
      <c r="D166">
        <v>79.878868103000002</v>
      </c>
      <c r="E166">
        <v>50</v>
      </c>
      <c r="F166">
        <v>14.999917030000001</v>
      </c>
      <c r="G166">
        <v>1334.2468262</v>
      </c>
      <c r="H166">
        <v>1332.9420166</v>
      </c>
      <c r="I166">
        <v>1327.9492187999999</v>
      </c>
      <c r="J166">
        <v>1326.9886475000001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11.296381</v>
      </c>
      <c r="B167" s="1">
        <f>DATE(2010,5,12) + TIME(7,6,47)</f>
        <v>40310.296377314815</v>
      </c>
      <c r="C167">
        <v>80</v>
      </c>
      <c r="D167">
        <v>79.879981994999994</v>
      </c>
      <c r="E167">
        <v>50</v>
      </c>
      <c r="F167">
        <v>14.999917984</v>
      </c>
      <c r="G167">
        <v>1334.2420654</v>
      </c>
      <c r="H167">
        <v>1332.9384766000001</v>
      </c>
      <c r="I167">
        <v>1327.9495850000001</v>
      </c>
      <c r="J167">
        <v>1326.9887695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11.481081</v>
      </c>
      <c r="B168" s="1">
        <f>DATE(2010,5,12) + TIME(11,32,45)</f>
        <v>40310.481076388889</v>
      </c>
      <c r="C168">
        <v>80</v>
      </c>
      <c r="D168">
        <v>79.880981445000003</v>
      </c>
      <c r="E168">
        <v>50</v>
      </c>
      <c r="F168">
        <v>14.999917984</v>
      </c>
      <c r="G168">
        <v>1334.2371826000001</v>
      </c>
      <c r="H168">
        <v>1332.9350586</v>
      </c>
      <c r="I168">
        <v>1327.9498291</v>
      </c>
      <c r="J168">
        <v>1326.9888916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11.667954</v>
      </c>
      <c r="B169" s="1">
        <f>DATE(2010,5,12) + TIME(16,1,51)</f>
        <v>40310.667951388888</v>
      </c>
      <c r="C169">
        <v>80</v>
      </c>
      <c r="D169">
        <v>79.881881714000002</v>
      </c>
      <c r="E169">
        <v>50</v>
      </c>
      <c r="F169">
        <v>14.999918938</v>
      </c>
      <c r="G169">
        <v>1334.2322998</v>
      </c>
      <c r="H169">
        <v>1332.9316406</v>
      </c>
      <c r="I169">
        <v>1327.9501952999999</v>
      </c>
      <c r="J169">
        <v>1326.9890137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11.857339</v>
      </c>
      <c r="B170" s="1">
        <f>DATE(2010,5,12) + TIME(20,34,34)</f>
        <v>40310.85733796296</v>
      </c>
      <c r="C170">
        <v>80</v>
      </c>
      <c r="D170">
        <v>79.882682799999998</v>
      </c>
      <c r="E170">
        <v>50</v>
      </c>
      <c r="F170">
        <v>14.999919890999999</v>
      </c>
      <c r="G170">
        <v>1334.2275391000001</v>
      </c>
      <c r="H170">
        <v>1332.9282227000001</v>
      </c>
      <c r="I170">
        <v>1327.9504394999999</v>
      </c>
      <c r="J170">
        <v>1326.9891356999999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12.049588999999999</v>
      </c>
      <c r="B171" s="1">
        <f>DATE(2010,5,13) + TIME(1,11,24)</f>
        <v>40311.049583333333</v>
      </c>
      <c r="C171">
        <v>80</v>
      </c>
      <c r="D171">
        <v>79.883399963000002</v>
      </c>
      <c r="E171">
        <v>50</v>
      </c>
      <c r="F171">
        <v>14.999919890999999</v>
      </c>
      <c r="G171">
        <v>1334.2226562000001</v>
      </c>
      <c r="H171">
        <v>1332.9249268000001</v>
      </c>
      <c r="I171">
        <v>1327.9508057</v>
      </c>
      <c r="J171">
        <v>1326.9892577999999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12.245074000000001</v>
      </c>
      <c r="B172" s="1">
        <f>DATE(2010,5,13) + TIME(5,52,54)</f>
        <v>40311.245069444441</v>
      </c>
      <c r="C172">
        <v>80</v>
      </c>
      <c r="D172">
        <v>79.884048461999996</v>
      </c>
      <c r="E172">
        <v>50</v>
      </c>
      <c r="F172">
        <v>14.999920845</v>
      </c>
      <c r="G172">
        <v>1334.2177733999999</v>
      </c>
      <c r="H172">
        <v>1332.9216309000001</v>
      </c>
      <c r="I172">
        <v>1327.9511719</v>
      </c>
      <c r="J172">
        <v>1326.9893798999999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12.444189</v>
      </c>
      <c r="B173" s="1">
        <f>DATE(2010,5,13) + TIME(10,39,37)</f>
        <v>40311.444178240738</v>
      </c>
      <c r="C173">
        <v>80</v>
      </c>
      <c r="D173">
        <v>79.884628296000002</v>
      </c>
      <c r="E173">
        <v>50</v>
      </c>
      <c r="F173">
        <v>14.999920845</v>
      </c>
      <c r="G173">
        <v>1334.2128906</v>
      </c>
      <c r="H173">
        <v>1332.9183350000001</v>
      </c>
      <c r="I173">
        <v>1327.9514160000001</v>
      </c>
      <c r="J173">
        <v>1326.9893798999999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12.647404</v>
      </c>
      <c r="B174" s="1">
        <f>DATE(2010,5,13) + TIME(15,32,15)</f>
        <v>40311.64739583333</v>
      </c>
      <c r="C174">
        <v>80</v>
      </c>
      <c r="D174">
        <v>79.885154724000003</v>
      </c>
      <c r="E174">
        <v>50</v>
      </c>
      <c r="F174">
        <v>14.999921798999999</v>
      </c>
      <c r="G174">
        <v>1334.2080077999999</v>
      </c>
      <c r="H174">
        <v>1332.9151611</v>
      </c>
      <c r="I174">
        <v>1327.9517822</v>
      </c>
      <c r="J174">
        <v>1326.9895019999999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12.855162999999999</v>
      </c>
      <c r="B175" s="1">
        <f>DATE(2010,5,13) + TIME(20,31,26)</f>
        <v>40311.855162037034</v>
      </c>
      <c r="C175">
        <v>80</v>
      </c>
      <c r="D175">
        <v>79.885620117000002</v>
      </c>
      <c r="E175">
        <v>50</v>
      </c>
      <c r="F175">
        <v>14.999921798999999</v>
      </c>
      <c r="G175">
        <v>1334.203125</v>
      </c>
      <c r="H175">
        <v>1332.9118652</v>
      </c>
      <c r="I175">
        <v>1327.9521483999999</v>
      </c>
      <c r="J175">
        <v>1326.989624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13.067919</v>
      </c>
      <c r="B176" s="1">
        <f>DATE(2010,5,14) + TIME(1,37,48)</f>
        <v>40312.067916666667</v>
      </c>
      <c r="C176">
        <v>80</v>
      </c>
      <c r="D176">
        <v>79.886039733999993</v>
      </c>
      <c r="E176">
        <v>50</v>
      </c>
      <c r="F176">
        <v>14.999922752</v>
      </c>
      <c r="G176">
        <v>1334.1981201000001</v>
      </c>
      <c r="H176">
        <v>1332.9086914</v>
      </c>
      <c r="I176">
        <v>1327.9525146000001</v>
      </c>
      <c r="J176">
        <v>1326.9898682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13.285482999999999</v>
      </c>
      <c r="B177" s="1">
        <f>DATE(2010,5,14) + TIME(6,51,5)</f>
        <v>40312.285474537035</v>
      </c>
      <c r="C177">
        <v>80</v>
      </c>
      <c r="D177">
        <v>79.886413574000002</v>
      </c>
      <c r="E177">
        <v>50</v>
      </c>
      <c r="F177">
        <v>14.999922752</v>
      </c>
      <c r="G177">
        <v>1334.1931152</v>
      </c>
      <c r="H177">
        <v>1332.9053954999999</v>
      </c>
      <c r="I177">
        <v>1327.9528809000001</v>
      </c>
      <c r="J177">
        <v>1326.9899902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13.507637000000001</v>
      </c>
      <c r="B178" s="1">
        <f>DATE(2010,5,14) + TIME(12,10,59)</f>
        <v>40312.507627314815</v>
      </c>
      <c r="C178">
        <v>80</v>
      </c>
      <c r="D178">
        <v>79.886749268000003</v>
      </c>
      <c r="E178">
        <v>50</v>
      </c>
      <c r="F178">
        <v>14.999923706000001</v>
      </c>
      <c r="G178">
        <v>1334.1879882999999</v>
      </c>
      <c r="H178">
        <v>1332.9022216999999</v>
      </c>
      <c r="I178">
        <v>1327.9532471</v>
      </c>
      <c r="J178">
        <v>1326.9901123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13.734876</v>
      </c>
      <c r="B179" s="1">
        <f>DATE(2010,5,14) + TIME(17,38,13)</f>
        <v>40312.734872685185</v>
      </c>
      <c r="C179">
        <v>80</v>
      </c>
      <c r="D179">
        <v>79.887039185000006</v>
      </c>
      <c r="E179">
        <v>50</v>
      </c>
      <c r="F179">
        <v>14.999923706000001</v>
      </c>
      <c r="G179">
        <v>1334.1829834</v>
      </c>
      <c r="H179">
        <v>1332.8990478999999</v>
      </c>
      <c r="I179">
        <v>1327.9536132999999</v>
      </c>
      <c r="J179">
        <v>1326.9902344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13.967724</v>
      </c>
      <c r="B180" s="1">
        <f>DATE(2010,5,14) + TIME(23,13,31)</f>
        <v>40312.967719907407</v>
      </c>
      <c r="C180">
        <v>80</v>
      </c>
      <c r="D180">
        <v>79.887298584000007</v>
      </c>
      <c r="E180">
        <v>50</v>
      </c>
      <c r="F180">
        <v>14.99992466</v>
      </c>
      <c r="G180">
        <v>1334.1777344</v>
      </c>
      <c r="H180">
        <v>1332.8957519999999</v>
      </c>
      <c r="I180">
        <v>1327.9539795000001</v>
      </c>
      <c r="J180">
        <v>1326.9903564000001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14.086466</v>
      </c>
      <c r="B181" s="1">
        <f>DATE(2010,5,15) + TIME(2,4,30)</f>
        <v>40313.086458333331</v>
      </c>
      <c r="C181">
        <v>80</v>
      </c>
      <c r="D181">
        <v>79.887405396000005</v>
      </c>
      <c r="E181">
        <v>50</v>
      </c>
      <c r="F181">
        <v>14.99992466</v>
      </c>
      <c r="G181">
        <v>1334.1726074000001</v>
      </c>
      <c r="H181">
        <v>1332.8923339999999</v>
      </c>
      <c r="I181">
        <v>1327.9544678</v>
      </c>
      <c r="J181">
        <v>1326.9904785000001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14.205208000000001</v>
      </c>
      <c r="B182" s="1">
        <f>DATE(2010,5,15) + TIME(4,55,29)</f>
        <v>40313.205196759256</v>
      </c>
      <c r="C182">
        <v>80</v>
      </c>
      <c r="D182">
        <v>79.887512207</v>
      </c>
      <c r="E182">
        <v>50</v>
      </c>
      <c r="F182">
        <v>14.99992466</v>
      </c>
      <c r="G182">
        <v>1334.1699219</v>
      </c>
      <c r="H182">
        <v>1332.8907471</v>
      </c>
      <c r="I182">
        <v>1327.9545897999999</v>
      </c>
      <c r="J182">
        <v>1326.9906006000001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14.32395</v>
      </c>
      <c r="B183" s="1">
        <f>DATE(2010,5,15) + TIME(7,46,29)</f>
        <v>40313.323946759258</v>
      </c>
      <c r="C183">
        <v>80</v>
      </c>
      <c r="D183">
        <v>79.887603760000005</v>
      </c>
      <c r="E183">
        <v>50</v>
      </c>
      <c r="F183">
        <v>14.999925613</v>
      </c>
      <c r="G183">
        <v>1334.1673584</v>
      </c>
      <c r="H183">
        <v>1332.8891602000001</v>
      </c>
      <c r="I183">
        <v>1327.9548339999999</v>
      </c>
      <c r="J183">
        <v>1326.9906006000001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14.442691999999999</v>
      </c>
      <c r="B184" s="1">
        <f>DATE(2010,5,15) + TIME(10,37,28)</f>
        <v>40313.442685185182</v>
      </c>
      <c r="C184">
        <v>80</v>
      </c>
      <c r="D184">
        <v>79.887687682999996</v>
      </c>
      <c r="E184">
        <v>50</v>
      </c>
      <c r="F184">
        <v>14.999925613</v>
      </c>
      <c r="G184">
        <v>1334.1647949000001</v>
      </c>
      <c r="H184">
        <v>1332.8875731999999</v>
      </c>
      <c r="I184">
        <v>1327.9550781</v>
      </c>
      <c r="J184">
        <v>1326.9907227000001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14.561434</v>
      </c>
      <c r="B185" s="1">
        <f>DATE(2010,5,15) + TIME(13,28,27)</f>
        <v>40313.561423611114</v>
      </c>
      <c r="C185">
        <v>80</v>
      </c>
      <c r="D185">
        <v>79.887771606000001</v>
      </c>
      <c r="E185">
        <v>50</v>
      </c>
      <c r="F185">
        <v>14.999925613</v>
      </c>
      <c r="G185">
        <v>1334.1622314000001</v>
      </c>
      <c r="H185">
        <v>1332.8859863</v>
      </c>
      <c r="I185">
        <v>1327.9553223</v>
      </c>
      <c r="J185">
        <v>1326.9907227000001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14.680175999999999</v>
      </c>
      <c r="B186" s="1">
        <f>DATE(2010,5,15) + TIME(16,19,27)</f>
        <v>40313.680173611108</v>
      </c>
      <c r="C186">
        <v>80</v>
      </c>
      <c r="D186">
        <v>79.887847899999997</v>
      </c>
      <c r="E186">
        <v>50</v>
      </c>
      <c r="F186">
        <v>14.999926566999999</v>
      </c>
      <c r="G186">
        <v>1334.159668</v>
      </c>
      <c r="H186">
        <v>1332.8843993999999</v>
      </c>
      <c r="I186">
        <v>1327.9554443</v>
      </c>
      <c r="J186">
        <v>1326.9908447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14.798918</v>
      </c>
      <c r="B187" s="1">
        <f>DATE(2010,5,15) + TIME(19,10,26)</f>
        <v>40313.79891203704</v>
      </c>
      <c r="C187">
        <v>80</v>
      </c>
      <c r="D187">
        <v>79.887908936000002</v>
      </c>
      <c r="E187">
        <v>50</v>
      </c>
      <c r="F187">
        <v>14.999926566999999</v>
      </c>
      <c r="G187">
        <v>1334.1572266000001</v>
      </c>
      <c r="H187">
        <v>1332.8828125</v>
      </c>
      <c r="I187">
        <v>1327.9556885</v>
      </c>
      <c r="J187">
        <v>1326.9909668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14.91766</v>
      </c>
      <c r="B188" s="1">
        <f>DATE(2010,5,15) + TIME(22,1,25)</f>
        <v>40313.917650462965</v>
      </c>
      <c r="C188">
        <v>80</v>
      </c>
      <c r="D188">
        <v>79.887969971000004</v>
      </c>
      <c r="E188">
        <v>50</v>
      </c>
      <c r="F188">
        <v>14.999926566999999</v>
      </c>
      <c r="G188">
        <v>1334.1546631000001</v>
      </c>
      <c r="H188">
        <v>1332.8813477000001</v>
      </c>
      <c r="I188">
        <v>1327.9559326000001</v>
      </c>
      <c r="J188">
        <v>1326.9909668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15.036402000000001</v>
      </c>
      <c r="B189" s="1">
        <f>DATE(2010,5,16) + TIME(0,52,25)</f>
        <v>40314.036400462966</v>
      </c>
      <c r="C189">
        <v>80</v>
      </c>
      <c r="D189">
        <v>79.888031006000006</v>
      </c>
      <c r="E189">
        <v>50</v>
      </c>
      <c r="F189">
        <v>14.999926566999999</v>
      </c>
      <c r="G189">
        <v>1334.1522216999999</v>
      </c>
      <c r="H189">
        <v>1332.8797606999999</v>
      </c>
      <c r="I189">
        <v>1327.9560547000001</v>
      </c>
      <c r="J189">
        <v>1326.9910889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15.155144</v>
      </c>
      <c r="B190" s="1">
        <f>DATE(2010,5,16) + TIME(3,43,24)</f>
        <v>40314.155138888891</v>
      </c>
      <c r="C190">
        <v>80</v>
      </c>
      <c r="D190">
        <v>79.888076781999999</v>
      </c>
      <c r="E190">
        <v>50</v>
      </c>
      <c r="F190">
        <v>14.999927521</v>
      </c>
      <c r="G190">
        <v>1334.1497803</v>
      </c>
      <c r="H190">
        <v>1332.8782959</v>
      </c>
      <c r="I190">
        <v>1327.9562988</v>
      </c>
      <c r="J190">
        <v>1326.9910889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15.273885</v>
      </c>
      <c r="B191" s="1">
        <f>DATE(2010,5,16) + TIME(6,34,23)</f>
        <v>40314.273877314816</v>
      </c>
      <c r="C191">
        <v>80</v>
      </c>
      <c r="D191">
        <v>79.888122558999996</v>
      </c>
      <c r="E191">
        <v>50</v>
      </c>
      <c r="F191">
        <v>14.999927521</v>
      </c>
      <c r="G191">
        <v>1334.1473389</v>
      </c>
      <c r="H191">
        <v>1332.8768310999999</v>
      </c>
      <c r="I191">
        <v>1327.956543</v>
      </c>
      <c r="J191">
        <v>1326.9912108999999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15.392626999999999</v>
      </c>
      <c r="B192" s="1">
        <f>DATE(2010,5,16) + TIME(9,25,23)</f>
        <v>40314.392627314817</v>
      </c>
      <c r="C192">
        <v>80</v>
      </c>
      <c r="D192">
        <v>79.888168335000003</v>
      </c>
      <c r="E192">
        <v>50</v>
      </c>
      <c r="F192">
        <v>14.999927521</v>
      </c>
      <c r="G192">
        <v>1334.1450195</v>
      </c>
      <c r="H192">
        <v>1332.8753661999999</v>
      </c>
      <c r="I192">
        <v>1327.9566649999999</v>
      </c>
      <c r="J192">
        <v>1326.9913329999999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15.511369</v>
      </c>
      <c r="B193" s="1">
        <f>DATE(2010,5,16) + TIME(12,16,22)</f>
        <v>40314.511365740742</v>
      </c>
      <c r="C193">
        <v>80</v>
      </c>
      <c r="D193">
        <v>79.888198853000006</v>
      </c>
      <c r="E193">
        <v>50</v>
      </c>
      <c r="F193">
        <v>14.999927521</v>
      </c>
      <c r="G193">
        <v>1334.1425781</v>
      </c>
      <c r="H193">
        <v>1332.8739014</v>
      </c>
      <c r="I193">
        <v>1327.9569091999999</v>
      </c>
      <c r="J193">
        <v>1326.9913329999999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15.630110999999999</v>
      </c>
      <c r="B194" s="1">
        <f>DATE(2010,5,16) + TIME(15,7,21)</f>
        <v>40314.630104166667</v>
      </c>
      <c r="C194">
        <v>80</v>
      </c>
      <c r="D194">
        <v>79.888237000000004</v>
      </c>
      <c r="E194">
        <v>50</v>
      </c>
      <c r="F194">
        <v>14.999928474000001</v>
      </c>
      <c r="G194">
        <v>1334.1402588000001</v>
      </c>
      <c r="H194">
        <v>1332.8724365</v>
      </c>
      <c r="I194">
        <v>1327.9571533000001</v>
      </c>
      <c r="J194">
        <v>1326.9914550999999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15.748853</v>
      </c>
      <c r="B195" s="1">
        <f>DATE(2010,5,16) + TIME(17,58,20)</f>
        <v>40314.748842592591</v>
      </c>
      <c r="C195">
        <v>80</v>
      </c>
      <c r="D195">
        <v>79.888259887999993</v>
      </c>
      <c r="E195">
        <v>50</v>
      </c>
      <c r="F195">
        <v>14.999928474000001</v>
      </c>
      <c r="G195">
        <v>1334.1378173999999</v>
      </c>
      <c r="H195">
        <v>1332.8709716999999</v>
      </c>
      <c r="I195">
        <v>1327.9573975000001</v>
      </c>
      <c r="J195">
        <v>1326.9914550999999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15.986337000000001</v>
      </c>
      <c r="B196" s="1">
        <f>DATE(2010,5,16) + TIME(23,40,19)</f>
        <v>40314.986331018517</v>
      </c>
      <c r="C196">
        <v>80</v>
      </c>
      <c r="D196">
        <v>79.888328552000004</v>
      </c>
      <c r="E196">
        <v>50</v>
      </c>
      <c r="F196">
        <v>14.999929428</v>
      </c>
      <c r="G196">
        <v>1334.1356201000001</v>
      </c>
      <c r="H196">
        <v>1332.8696289</v>
      </c>
      <c r="I196">
        <v>1327.9575195</v>
      </c>
      <c r="J196">
        <v>1326.9915771000001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16.224525</v>
      </c>
      <c r="B197" s="1">
        <f>DATE(2010,5,17) + TIME(5,23,18)</f>
        <v>40315.22451388889</v>
      </c>
      <c r="C197">
        <v>80</v>
      </c>
      <c r="D197">
        <v>79.888374329000001</v>
      </c>
      <c r="E197">
        <v>50</v>
      </c>
      <c r="F197">
        <v>14.999929428</v>
      </c>
      <c r="G197">
        <v>1334.1309814000001</v>
      </c>
      <c r="H197">
        <v>1332.8668213000001</v>
      </c>
      <c r="I197">
        <v>1327.9580077999999</v>
      </c>
      <c r="J197">
        <v>1326.9916992000001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16.465143000000001</v>
      </c>
      <c r="B198" s="1">
        <f>DATE(2010,5,17) + TIME(11,9,48)</f>
        <v>40315.465138888889</v>
      </c>
      <c r="C198">
        <v>80</v>
      </c>
      <c r="D198">
        <v>79.888404846</v>
      </c>
      <c r="E198">
        <v>50</v>
      </c>
      <c r="F198">
        <v>14.999930382000001</v>
      </c>
      <c r="G198">
        <v>1334.1264647999999</v>
      </c>
      <c r="H198">
        <v>1332.8640137</v>
      </c>
      <c r="I198">
        <v>1327.958374</v>
      </c>
      <c r="J198">
        <v>1326.9918213000001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16.708666999999998</v>
      </c>
      <c r="B199" s="1">
        <f>DATE(2010,5,17) + TIME(17,0,28)</f>
        <v>40315.708657407406</v>
      </c>
      <c r="C199">
        <v>80</v>
      </c>
      <c r="D199">
        <v>79.888435364000003</v>
      </c>
      <c r="E199">
        <v>50</v>
      </c>
      <c r="F199">
        <v>14.999930382000001</v>
      </c>
      <c r="G199">
        <v>1334.1219481999999</v>
      </c>
      <c r="H199">
        <v>1332.8613281</v>
      </c>
      <c r="I199">
        <v>1327.9588623</v>
      </c>
      <c r="J199">
        <v>1326.9920654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16.955603</v>
      </c>
      <c r="B200" s="1">
        <f>DATE(2010,5,17) + TIME(22,56,4)</f>
        <v>40315.955601851849</v>
      </c>
      <c r="C200">
        <v>80</v>
      </c>
      <c r="D200">
        <v>79.888442992999998</v>
      </c>
      <c r="E200">
        <v>50</v>
      </c>
      <c r="F200">
        <v>14.999931334999999</v>
      </c>
      <c r="G200">
        <v>1334.1174315999999</v>
      </c>
      <c r="H200">
        <v>1332.8585204999999</v>
      </c>
      <c r="I200">
        <v>1327.9592285000001</v>
      </c>
      <c r="J200">
        <v>1326.9921875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17.206486999999999</v>
      </c>
      <c r="B201" s="1">
        <f>DATE(2010,5,18) + TIME(4,57,20)</f>
        <v>40316.20648148148</v>
      </c>
      <c r="C201">
        <v>80</v>
      </c>
      <c r="D201">
        <v>79.888450622999997</v>
      </c>
      <c r="E201">
        <v>50</v>
      </c>
      <c r="F201">
        <v>14.999931334999999</v>
      </c>
      <c r="G201">
        <v>1334.1129149999999</v>
      </c>
      <c r="H201">
        <v>1332.8558350000001</v>
      </c>
      <c r="I201">
        <v>1327.9597168</v>
      </c>
      <c r="J201">
        <v>1326.9923096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17.461877000000001</v>
      </c>
      <c r="B202" s="1">
        <f>DATE(2010,5,18) + TIME(11,5,6)</f>
        <v>40316.461875000001</v>
      </c>
      <c r="C202">
        <v>80</v>
      </c>
      <c r="D202">
        <v>79.888450622999997</v>
      </c>
      <c r="E202">
        <v>50</v>
      </c>
      <c r="F202">
        <v>14.999932289</v>
      </c>
      <c r="G202">
        <v>1334.1085204999999</v>
      </c>
      <c r="H202">
        <v>1332.8530272999999</v>
      </c>
      <c r="I202">
        <v>1327.9602050999999</v>
      </c>
      <c r="J202">
        <v>1326.9924315999999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17.722404999999998</v>
      </c>
      <c r="B203" s="1">
        <f>DATE(2010,5,18) + TIME(17,20,15)</f>
        <v>40316.722395833334</v>
      </c>
      <c r="C203">
        <v>80</v>
      </c>
      <c r="D203">
        <v>79.888442992999998</v>
      </c>
      <c r="E203">
        <v>50</v>
      </c>
      <c r="F203">
        <v>14.999933242999999</v>
      </c>
      <c r="G203">
        <v>1334.1040039</v>
      </c>
      <c r="H203">
        <v>1332.8502197</v>
      </c>
      <c r="I203">
        <v>1327.9605713000001</v>
      </c>
      <c r="J203">
        <v>1326.9926757999999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17.988776000000001</v>
      </c>
      <c r="B204" s="1">
        <f>DATE(2010,5,18) + TIME(23,43,50)</f>
        <v>40316.98877314815</v>
      </c>
      <c r="C204">
        <v>80</v>
      </c>
      <c r="D204">
        <v>79.888427734000004</v>
      </c>
      <c r="E204">
        <v>50</v>
      </c>
      <c r="F204">
        <v>14.999933242999999</v>
      </c>
      <c r="G204">
        <v>1334.0994873</v>
      </c>
      <c r="H204">
        <v>1332.8475341999999</v>
      </c>
      <c r="I204">
        <v>1327.9610596</v>
      </c>
      <c r="J204">
        <v>1326.9927978999999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18.260297999999999</v>
      </c>
      <c r="B205" s="1">
        <f>DATE(2010,5,19) + TIME(6,14,49)</f>
        <v>40317.260289351849</v>
      </c>
      <c r="C205">
        <v>80</v>
      </c>
      <c r="D205">
        <v>79.888404846</v>
      </c>
      <c r="E205">
        <v>50</v>
      </c>
      <c r="F205">
        <v>14.999934196</v>
      </c>
      <c r="G205">
        <v>1334.0948486</v>
      </c>
      <c r="H205">
        <v>1332.8447266000001</v>
      </c>
      <c r="I205">
        <v>1327.9615478999999</v>
      </c>
      <c r="J205">
        <v>1326.9929199000001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18.536377999999999</v>
      </c>
      <c r="B206" s="1">
        <f>DATE(2010,5,19) + TIME(12,52,23)</f>
        <v>40317.536377314813</v>
      </c>
      <c r="C206">
        <v>80</v>
      </c>
      <c r="D206">
        <v>79.888374329000001</v>
      </c>
      <c r="E206">
        <v>50</v>
      </c>
      <c r="F206">
        <v>14.999935150000001</v>
      </c>
      <c r="G206">
        <v>1334.090332</v>
      </c>
      <c r="H206">
        <v>1332.8420410000001</v>
      </c>
      <c r="I206">
        <v>1327.9620361</v>
      </c>
      <c r="J206">
        <v>1326.9931641000001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18.817677</v>
      </c>
      <c r="B207" s="1">
        <f>DATE(2010,5,19) + TIME(19,37,27)</f>
        <v>40317.817673611113</v>
      </c>
      <c r="C207">
        <v>80</v>
      </c>
      <c r="D207">
        <v>79.888343810999999</v>
      </c>
      <c r="E207">
        <v>50</v>
      </c>
      <c r="F207">
        <v>14.999936104</v>
      </c>
      <c r="G207">
        <v>1334.0858154</v>
      </c>
      <c r="H207">
        <v>1332.8392334</v>
      </c>
      <c r="I207">
        <v>1327.9626464999999</v>
      </c>
      <c r="J207">
        <v>1326.9932861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19.104984000000002</v>
      </c>
      <c r="B208" s="1">
        <f>DATE(2010,5,20) + TIME(2,31,10)</f>
        <v>40318.10497685185</v>
      </c>
      <c r="C208">
        <v>80</v>
      </c>
      <c r="D208">
        <v>79.888305664000001</v>
      </c>
      <c r="E208">
        <v>50</v>
      </c>
      <c r="F208">
        <v>14.999937057</v>
      </c>
      <c r="G208">
        <v>1334.0812988</v>
      </c>
      <c r="H208">
        <v>1332.8365478999999</v>
      </c>
      <c r="I208">
        <v>1327.9631348</v>
      </c>
      <c r="J208">
        <v>1326.9935303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19.251988000000001</v>
      </c>
      <c r="B209" s="1">
        <f>DATE(2010,5,20) + TIME(6,2,51)</f>
        <v>40318.251979166664</v>
      </c>
      <c r="C209">
        <v>80</v>
      </c>
      <c r="D209">
        <v>79.888267517000003</v>
      </c>
      <c r="E209">
        <v>50</v>
      </c>
      <c r="F209">
        <v>14.999937057</v>
      </c>
      <c r="G209">
        <v>1334.0766602000001</v>
      </c>
      <c r="H209">
        <v>1332.8338623</v>
      </c>
      <c r="I209">
        <v>1327.9636230000001</v>
      </c>
      <c r="J209">
        <v>1326.9936522999999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19.398992</v>
      </c>
      <c r="B210" s="1">
        <f>DATE(2010,5,20) + TIME(9,34,32)</f>
        <v>40318.398981481485</v>
      </c>
      <c r="C210">
        <v>80</v>
      </c>
      <c r="D210">
        <v>79.888237000000004</v>
      </c>
      <c r="E210">
        <v>50</v>
      </c>
      <c r="F210">
        <v>14.999938010999999</v>
      </c>
      <c r="G210">
        <v>1334.0744629000001</v>
      </c>
      <c r="H210">
        <v>1332.8325195</v>
      </c>
      <c r="I210">
        <v>1327.9639893000001</v>
      </c>
      <c r="J210">
        <v>1326.9937743999999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19.545997</v>
      </c>
      <c r="B211" s="1">
        <f>DATE(2010,5,20) + TIME(13,6,14)</f>
        <v>40318.545995370368</v>
      </c>
      <c r="C211">
        <v>80</v>
      </c>
      <c r="D211">
        <v>79.888198853000006</v>
      </c>
      <c r="E211">
        <v>50</v>
      </c>
      <c r="F211">
        <v>14.999938010999999</v>
      </c>
      <c r="G211">
        <v>1334.0721435999999</v>
      </c>
      <c r="H211">
        <v>1332.8311768000001</v>
      </c>
      <c r="I211">
        <v>1327.9642334</v>
      </c>
      <c r="J211">
        <v>1326.9938964999999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19.693000999999999</v>
      </c>
      <c r="B212" s="1">
        <f>DATE(2010,5,20) + TIME(16,37,55)</f>
        <v>40318.692997685182</v>
      </c>
      <c r="C212">
        <v>80</v>
      </c>
      <c r="D212">
        <v>79.888168335000003</v>
      </c>
      <c r="E212">
        <v>50</v>
      </c>
      <c r="F212">
        <v>14.999938965</v>
      </c>
      <c r="G212">
        <v>1334.0699463000001</v>
      </c>
      <c r="H212">
        <v>1332.8298339999999</v>
      </c>
      <c r="I212">
        <v>1327.9644774999999</v>
      </c>
      <c r="J212">
        <v>1326.9940185999999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19.840005000000001</v>
      </c>
      <c r="B213" s="1">
        <f>DATE(2010,5,20) + TIME(20,9,36)</f>
        <v>40318.839999999997</v>
      </c>
      <c r="C213">
        <v>80</v>
      </c>
      <c r="D213">
        <v>79.888137817</v>
      </c>
      <c r="E213">
        <v>50</v>
      </c>
      <c r="F213">
        <v>14.999938965</v>
      </c>
      <c r="G213">
        <v>1334.067749</v>
      </c>
      <c r="H213">
        <v>1332.8284911999999</v>
      </c>
      <c r="I213">
        <v>1327.9647216999999</v>
      </c>
      <c r="J213">
        <v>1326.9940185999999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19.987009</v>
      </c>
      <c r="B214" s="1">
        <f>DATE(2010,5,20) + TIME(23,41,17)</f>
        <v>40318.987002314818</v>
      </c>
      <c r="C214">
        <v>80</v>
      </c>
      <c r="D214">
        <v>79.888107300000001</v>
      </c>
      <c r="E214">
        <v>50</v>
      </c>
      <c r="F214">
        <v>14.999939918999999</v>
      </c>
      <c r="G214">
        <v>1334.0655518000001</v>
      </c>
      <c r="H214">
        <v>1332.8272704999999</v>
      </c>
      <c r="I214">
        <v>1327.9650879000001</v>
      </c>
      <c r="J214">
        <v>1326.9941406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20.134012999999999</v>
      </c>
      <c r="B215" s="1">
        <f>DATE(2010,5,21) + TIME(3,12,58)</f>
        <v>40319.134004629632</v>
      </c>
      <c r="C215">
        <v>80</v>
      </c>
      <c r="D215">
        <v>79.888076781999999</v>
      </c>
      <c r="E215">
        <v>50</v>
      </c>
      <c r="F215">
        <v>14.999940872</v>
      </c>
      <c r="G215">
        <v>1334.0633545000001</v>
      </c>
      <c r="H215">
        <v>1332.8259277</v>
      </c>
      <c r="I215">
        <v>1327.965332</v>
      </c>
      <c r="J215">
        <v>1326.9942627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20.281018</v>
      </c>
      <c r="B216" s="1">
        <f>DATE(2010,5,21) + TIME(6,44,39)</f>
        <v>40319.281006944446</v>
      </c>
      <c r="C216">
        <v>80</v>
      </c>
      <c r="D216">
        <v>79.888038635000001</v>
      </c>
      <c r="E216">
        <v>50</v>
      </c>
      <c r="F216">
        <v>14.999941826000001</v>
      </c>
      <c r="G216">
        <v>1334.0611572</v>
      </c>
      <c r="H216">
        <v>1332.824707</v>
      </c>
      <c r="I216">
        <v>1327.9655762</v>
      </c>
      <c r="J216">
        <v>1326.9943848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20.428021999999999</v>
      </c>
      <c r="B217" s="1">
        <f>DATE(2010,5,21) + TIME(10,16,21)</f>
        <v>40319.428020833337</v>
      </c>
      <c r="C217">
        <v>80</v>
      </c>
      <c r="D217">
        <v>79.888008118000002</v>
      </c>
      <c r="E217">
        <v>50</v>
      </c>
      <c r="F217">
        <v>14.999941826000001</v>
      </c>
      <c r="G217">
        <v>1334.0589600000001</v>
      </c>
      <c r="H217">
        <v>1332.8234863</v>
      </c>
      <c r="I217">
        <v>1327.9659423999999</v>
      </c>
      <c r="J217">
        <v>1326.9945068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20.575026000000001</v>
      </c>
      <c r="B218" s="1">
        <f>DATE(2010,5,21) + TIME(13,48,2)</f>
        <v>40319.575023148151</v>
      </c>
      <c r="C218">
        <v>80</v>
      </c>
      <c r="D218">
        <v>79.887977599999999</v>
      </c>
      <c r="E218">
        <v>50</v>
      </c>
      <c r="F218">
        <v>14.99994278</v>
      </c>
      <c r="G218">
        <v>1334.0568848</v>
      </c>
      <c r="H218">
        <v>1332.8222656</v>
      </c>
      <c r="I218">
        <v>1327.9661865</v>
      </c>
      <c r="J218">
        <v>1326.9945068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20.72203</v>
      </c>
      <c r="B219" s="1">
        <f>DATE(2010,5,21) + TIME(17,19,43)</f>
        <v>40319.722025462965</v>
      </c>
      <c r="C219">
        <v>80</v>
      </c>
      <c r="D219">
        <v>79.887947083</v>
      </c>
      <c r="E219">
        <v>50</v>
      </c>
      <c r="F219">
        <v>14.999943733</v>
      </c>
      <c r="G219">
        <v>1334.0548096</v>
      </c>
      <c r="H219">
        <v>1332.8210449000001</v>
      </c>
      <c r="I219">
        <v>1327.9664307</v>
      </c>
      <c r="J219">
        <v>1326.9946289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20.869033999999999</v>
      </c>
      <c r="B220" s="1">
        <f>DATE(2010,5,21) + TIME(20,51,24)</f>
        <v>40319.869027777779</v>
      </c>
      <c r="C220">
        <v>80</v>
      </c>
      <c r="D220">
        <v>79.887908936000002</v>
      </c>
      <c r="E220">
        <v>50</v>
      </c>
      <c r="F220">
        <v>14.999944686999999</v>
      </c>
      <c r="G220">
        <v>1334.0527344</v>
      </c>
      <c r="H220">
        <v>1332.8198242000001</v>
      </c>
      <c r="I220">
        <v>1327.9667969</v>
      </c>
      <c r="J220">
        <v>1326.994751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21.016038000000002</v>
      </c>
      <c r="B221" s="1">
        <f>DATE(2010,5,22) + TIME(0,23,5)</f>
        <v>40320.016030092593</v>
      </c>
      <c r="C221">
        <v>80</v>
      </c>
      <c r="D221">
        <v>79.887878418</v>
      </c>
      <c r="E221">
        <v>50</v>
      </c>
      <c r="F221">
        <v>14.999945641</v>
      </c>
      <c r="G221">
        <v>1334.0506591999999</v>
      </c>
      <c r="H221">
        <v>1332.8187256000001</v>
      </c>
      <c r="I221">
        <v>1327.9670410000001</v>
      </c>
      <c r="J221">
        <v>1326.9948730000001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21.163042999999998</v>
      </c>
      <c r="B222" s="1">
        <f>DATE(2010,5,22) + TIME(3,54,46)</f>
        <v>40320.163032407407</v>
      </c>
      <c r="C222">
        <v>80</v>
      </c>
      <c r="D222">
        <v>79.887847899999997</v>
      </c>
      <c r="E222">
        <v>50</v>
      </c>
      <c r="F222">
        <v>14.999946594000001</v>
      </c>
      <c r="G222">
        <v>1334.0485839999999</v>
      </c>
      <c r="H222">
        <v>1332.8175048999999</v>
      </c>
      <c r="I222">
        <v>1327.9674072</v>
      </c>
      <c r="J222">
        <v>1326.9949951000001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21.310047000000001</v>
      </c>
      <c r="B223" s="1">
        <f>DATE(2010,5,22) + TIME(7,26,28)</f>
        <v>40320.310046296298</v>
      </c>
      <c r="C223">
        <v>80</v>
      </c>
      <c r="D223">
        <v>79.887809752999999</v>
      </c>
      <c r="E223">
        <v>50</v>
      </c>
      <c r="F223">
        <v>14.999947548</v>
      </c>
      <c r="G223">
        <v>1334.0466309000001</v>
      </c>
      <c r="H223">
        <v>1332.8164062000001</v>
      </c>
      <c r="I223">
        <v>1327.9676514</v>
      </c>
      <c r="J223">
        <v>1326.9949951000001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21.604054999999999</v>
      </c>
      <c r="B224" s="1">
        <f>DATE(2010,5,22) + TIME(14,29,50)</f>
        <v>40320.604050925926</v>
      </c>
      <c r="C224">
        <v>80</v>
      </c>
      <c r="D224">
        <v>79.887763977000006</v>
      </c>
      <c r="E224">
        <v>50</v>
      </c>
      <c r="F224">
        <v>14.999950409</v>
      </c>
      <c r="G224">
        <v>1334.0445557</v>
      </c>
      <c r="H224">
        <v>1332.8153076000001</v>
      </c>
      <c r="I224">
        <v>1327.9678954999999</v>
      </c>
      <c r="J224">
        <v>1326.9951172000001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21.899201000000001</v>
      </c>
      <c r="B225" s="1">
        <f>DATE(2010,5,22) + TIME(21,34,50)</f>
        <v>40320.899189814816</v>
      </c>
      <c r="C225">
        <v>80</v>
      </c>
      <c r="D225">
        <v>79.887710571</v>
      </c>
      <c r="E225">
        <v>50</v>
      </c>
      <c r="F225">
        <v>14.999952316</v>
      </c>
      <c r="G225">
        <v>1334.0406493999999</v>
      </c>
      <c r="H225">
        <v>1332.8131103999999</v>
      </c>
      <c r="I225">
        <v>1327.9685059000001</v>
      </c>
      <c r="J225">
        <v>1326.9953613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22.197427999999999</v>
      </c>
      <c r="B226" s="1">
        <f>DATE(2010,5,23) + TIME(4,44,17)</f>
        <v>40321.197418981479</v>
      </c>
      <c r="C226">
        <v>80</v>
      </c>
      <c r="D226">
        <v>79.887649535999998</v>
      </c>
      <c r="E226">
        <v>50</v>
      </c>
      <c r="F226">
        <v>14.999955177</v>
      </c>
      <c r="G226">
        <v>1334.0367432</v>
      </c>
      <c r="H226">
        <v>1332.8110352000001</v>
      </c>
      <c r="I226">
        <v>1327.9691161999999</v>
      </c>
      <c r="J226">
        <v>1326.9956055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22.499309</v>
      </c>
      <c r="B227" s="1">
        <f>DATE(2010,5,23) + TIME(11,59,0)</f>
        <v>40321.499305555553</v>
      </c>
      <c r="C227">
        <v>80</v>
      </c>
      <c r="D227">
        <v>79.887588500999996</v>
      </c>
      <c r="E227">
        <v>50</v>
      </c>
      <c r="F227">
        <v>14.999958992</v>
      </c>
      <c r="G227">
        <v>1334.0328368999999</v>
      </c>
      <c r="H227">
        <v>1332.8088379000001</v>
      </c>
      <c r="I227">
        <v>1327.9697266000001</v>
      </c>
      <c r="J227">
        <v>1326.9957274999999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22.805453</v>
      </c>
      <c r="B228" s="1">
        <f>DATE(2010,5,23) + TIME(19,19,51)</f>
        <v>40321.805451388886</v>
      </c>
      <c r="C228">
        <v>80</v>
      </c>
      <c r="D228">
        <v>79.887519835999996</v>
      </c>
      <c r="E228">
        <v>50</v>
      </c>
      <c r="F228">
        <v>14.999962806999999</v>
      </c>
      <c r="G228">
        <v>1334.0289307</v>
      </c>
      <c r="H228">
        <v>1332.8066406</v>
      </c>
      <c r="I228">
        <v>1327.9703368999999</v>
      </c>
      <c r="J228">
        <v>1326.9959716999999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23.116496000000001</v>
      </c>
      <c r="B229" s="1">
        <f>DATE(2010,5,24) + TIME(2,47,45)</f>
        <v>40322.116493055553</v>
      </c>
      <c r="C229">
        <v>80</v>
      </c>
      <c r="D229">
        <v>79.887443542</v>
      </c>
      <c r="E229">
        <v>50</v>
      </c>
      <c r="F229">
        <v>14.999967574999999</v>
      </c>
      <c r="G229">
        <v>1334.0250243999999</v>
      </c>
      <c r="H229">
        <v>1332.8045654</v>
      </c>
      <c r="I229">
        <v>1327.9709473</v>
      </c>
      <c r="J229">
        <v>1326.9962158000001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23.433121</v>
      </c>
      <c r="B230" s="1">
        <f>DATE(2010,5,24) + TIME(10,23,41)</f>
        <v>40322.433113425926</v>
      </c>
      <c r="C230">
        <v>80</v>
      </c>
      <c r="D230">
        <v>79.887374878000003</v>
      </c>
      <c r="E230">
        <v>50</v>
      </c>
      <c r="F230">
        <v>14.999973297</v>
      </c>
      <c r="G230">
        <v>1334.0211182</v>
      </c>
      <c r="H230">
        <v>1332.8023682</v>
      </c>
      <c r="I230">
        <v>1327.9715576000001</v>
      </c>
      <c r="J230">
        <v>1326.9963379000001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23.756219999999999</v>
      </c>
      <c r="B231" s="1">
        <f>DATE(2010,5,24) + TIME(18,8,57)</f>
        <v>40322.756215277775</v>
      </c>
      <c r="C231">
        <v>80</v>
      </c>
      <c r="D231">
        <v>79.887298584000007</v>
      </c>
      <c r="E231">
        <v>50</v>
      </c>
      <c r="F231">
        <v>14.999979973</v>
      </c>
      <c r="G231">
        <v>1334.0172118999999</v>
      </c>
      <c r="H231">
        <v>1332.8001709</v>
      </c>
      <c r="I231">
        <v>1327.9722899999999</v>
      </c>
      <c r="J231">
        <v>1326.996582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24.086763000000001</v>
      </c>
      <c r="B232" s="1">
        <f>DATE(2010,5,25) + TIME(2,4,56)</f>
        <v>40323.086759259262</v>
      </c>
      <c r="C232">
        <v>80</v>
      </c>
      <c r="D232">
        <v>79.887229919000006</v>
      </c>
      <c r="E232">
        <v>50</v>
      </c>
      <c r="F232">
        <v>14.999987601999999</v>
      </c>
      <c r="G232">
        <v>1334.0131836</v>
      </c>
      <c r="H232">
        <v>1332.7979736</v>
      </c>
      <c r="I232">
        <v>1327.9729004000001</v>
      </c>
      <c r="J232">
        <v>1326.9968262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24.424244999999999</v>
      </c>
      <c r="B233" s="1">
        <f>DATE(2010,5,25) + TIME(10,10,54)</f>
        <v>40323.42423611111</v>
      </c>
      <c r="C233">
        <v>80</v>
      </c>
      <c r="D233">
        <v>79.887153624999996</v>
      </c>
      <c r="E233">
        <v>50</v>
      </c>
      <c r="F233">
        <v>14.999997139</v>
      </c>
      <c r="G233">
        <v>1334.0092772999999</v>
      </c>
      <c r="H233">
        <v>1332.7956543</v>
      </c>
      <c r="I233">
        <v>1327.9736327999999</v>
      </c>
      <c r="J233">
        <v>1326.9970702999999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24.766317999999998</v>
      </c>
      <c r="B234" s="1">
        <f>DATE(2010,5,25) + TIME(18,23,29)</f>
        <v>40323.76630787037</v>
      </c>
      <c r="C234">
        <v>80</v>
      </c>
      <c r="D234">
        <v>79.887077332000004</v>
      </c>
      <c r="E234">
        <v>50</v>
      </c>
      <c r="F234">
        <v>15.000007629000001</v>
      </c>
      <c r="G234">
        <v>1334.0053711</v>
      </c>
      <c r="H234">
        <v>1332.793457</v>
      </c>
      <c r="I234">
        <v>1327.9743652</v>
      </c>
      <c r="J234">
        <v>1326.9973144999999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25.113742999999999</v>
      </c>
      <c r="B235" s="1">
        <f>DATE(2010,5,26) + TIME(2,43,47)</f>
        <v>40324.113738425927</v>
      </c>
      <c r="C235">
        <v>80</v>
      </c>
      <c r="D235">
        <v>79.887001037999994</v>
      </c>
      <c r="E235">
        <v>50</v>
      </c>
      <c r="F235">
        <v>15.000020027</v>
      </c>
      <c r="G235">
        <v>1334.0013428</v>
      </c>
      <c r="H235">
        <v>1332.7912598</v>
      </c>
      <c r="I235">
        <v>1327.9750977000001</v>
      </c>
      <c r="J235">
        <v>1326.9975586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25.290517000000001</v>
      </c>
      <c r="B236" s="1">
        <f>DATE(2010,5,26) + TIME(6,58,20)</f>
        <v>40324.290509259263</v>
      </c>
      <c r="C236">
        <v>80</v>
      </c>
      <c r="D236">
        <v>79.886947632000002</v>
      </c>
      <c r="E236">
        <v>50</v>
      </c>
      <c r="F236">
        <v>15.000028609999999</v>
      </c>
      <c r="G236">
        <v>1333.9974365</v>
      </c>
      <c r="H236">
        <v>1332.7890625</v>
      </c>
      <c r="I236">
        <v>1327.9758300999999</v>
      </c>
      <c r="J236">
        <v>1326.9978027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25.467290999999999</v>
      </c>
      <c r="B237" s="1">
        <f>DATE(2010,5,26) + TIME(11,12,53)</f>
        <v>40324.467280092591</v>
      </c>
      <c r="C237">
        <v>80</v>
      </c>
      <c r="D237">
        <v>79.886901855000005</v>
      </c>
      <c r="E237">
        <v>50</v>
      </c>
      <c r="F237">
        <v>15.000037193000001</v>
      </c>
      <c r="G237">
        <v>1333.9954834</v>
      </c>
      <c r="H237">
        <v>1332.7879639</v>
      </c>
      <c r="I237">
        <v>1327.9761963000001</v>
      </c>
      <c r="J237">
        <v>1326.9979248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25.644020000000001</v>
      </c>
      <c r="B238" s="1">
        <f>DATE(2010,5,26) + TIME(15,27,23)</f>
        <v>40324.644016203703</v>
      </c>
      <c r="C238">
        <v>80</v>
      </c>
      <c r="D238">
        <v>79.886856078999998</v>
      </c>
      <c r="E238">
        <v>50</v>
      </c>
      <c r="F238">
        <v>15.000046729999999</v>
      </c>
      <c r="G238">
        <v>1333.9935303</v>
      </c>
      <c r="H238">
        <v>1332.7868652</v>
      </c>
      <c r="I238">
        <v>1327.9765625</v>
      </c>
      <c r="J238">
        <v>1326.9980469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25.820412000000001</v>
      </c>
      <c r="B239" s="1">
        <f>DATE(2010,5,26) + TIME(19,41,23)</f>
        <v>40324.820405092592</v>
      </c>
      <c r="C239">
        <v>80</v>
      </c>
      <c r="D239">
        <v>79.886810303000004</v>
      </c>
      <c r="E239">
        <v>50</v>
      </c>
      <c r="F239">
        <v>15.00005722</v>
      </c>
      <c r="G239">
        <v>1333.9915771000001</v>
      </c>
      <c r="H239">
        <v>1332.7857666</v>
      </c>
      <c r="I239">
        <v>1327.9769286999999</v>
      </c>
      <c r="J239">
        <v>1326.9981689000001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25.996569000000001</v>
      </c>
      <c r="B240" s="1">
        <f>DATE(2010,5,26) + TIME(23,55,3)</f>
        <v>40324.996562499997</v>
      </c>
      <c r="C240">
        <v>80</v>
      </c>
      <c r="D240">
        <v>79.886764525999993</v>
      </c>
      <c r="E240">
        <v>50</v>
      </c>
      <c r="F240">
        <v>15.000067711</v>
      </c>
      <c r="G240">
        <v>1333.989624</v>
      </c>
      <c r="H240">
        <v>1332.784668</v>
      </c>
      <c r="I240">
        <v>1327.9772949000001</v>
      </c>
      <c r="J240">
        <v>1326.9982910000001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26.172592999999999</v>
      </c>
      <c r="B241" s="1">
        <f>DATE(2010,5,27) + TIME(4,8,32)</f>
        <v>40325.172592592593</v>
      </c>
      <c r="C241">
        <v>80</v>
      </c>
      <c r="D241">
        <v>79.886726378999995</v>
      </c>
      <c r="E241">
        <v>50</v>
      </c>
      <c r="F241">
        <v>15.000080109000001</v>
      </c>
      <c r="G241">
        <v>1333.9876709</v>
      </c>
      <c r="H241">
        <v>1332.7835693</v>
      </c>
      <c r="I241">
        <v>1327.9776611</v>
      </c>
      <c r="J241">
        <v>1326.9984131000001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26.348583999999999</v>
      </c>
      <c r="B242" s="1">
        <f>DATE(2010,5,27) + TIME(8,21,57)</f>
        <v>40325.348576388889</v>
      </c>
      <c r="C242">
        <v>80</v>
      </c>
      <c r="D242">
        <v>79.886680603000002</v>
      </c>
      <c r="E242">
        <v>50</v>
      </c>
      <c r="F242">
        <v>15.000092506</v>
      </c>
      <c r="G242">
        <v>1333.9858397999999</v>
      </c>
      <c r="H242">
        <v>1332.7824707</v>
      </c>
      <c r="I242">
        <v>1327.9780272999999</v>
      </c>
      <c r="J242">
        <v>1326.9985352000001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26.524574000000001</v>
      </c>
      <c r="B243" s="1">
        <f>DATE(2010,5,27) + TIME(12,35,23)</f>
        <v>40325.524571759262</v>
      </c>
      <c r="C243">
        <v>80</v>
      </c>
      <c r="D243">
        <v>79.886642456000004</v>
      </c>
      <c r="E243">
        <v>50</v>
      </c>
      <c r="F243">
        <v>15.000106812</v>
      </c>
      <c r="G243">
        <v>1333.9838867000001</v>
      </c>
      <c r="H243">
        <v>1332.7813721</v>
      </c>
      <c r="I243">
        <v>1327.9783935999999</v>
      </c>
      <c r="J243">
        <v>1326.9986572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26.700565000000001</v>
      </c>
      <c r="B244" s="1">
        <f>DATE(2010,5,27) + TIME(16,48,48)</f>
        <v>40325.700555555559</v>
      </c>
      <c r="C244">
        <v>80</v>
      </c>
      <c r="D244">
        <v>79.886604309000006</v>
      </c>
      <c r="E244">
        <v>50</v>
      </c>
      <c r="F244">
        <v>15.00012207</v>
      </c>
      <c r="G244">
        <v>1333.9820557</v>
      </c>
      <c r="H244">
        <v>1332.7803954999999</v>
      </c>
      <c r="I244">
        <v>1327.9788818</v>
      </c>
      <c r="J244">
        <v>1326.9987793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26.876556000000001</v>
      </c>
      <c r="B245" s="1">
        <f>DATE(2010,5,27) + TIME(21,2,14)</f>
        <v>40325.876550925925</v>
      </c>
      <c r="C245">
        <v>80</v>
      </c>
      <c r="D245">
        <v>79.886566161999994</v>
      </c>
      <c r="E245">
        <v>50</v>
      </c>
      <c r="F245">
        <v>15.000138283</v>
      </c>
      <c r="G245">
        <v>1333.9802245999999</v>
      </c>
      <c r="H245">
        <v>1332.7792969</v>
      </c>
      <c r="I245">
        <v>1327.9792480000001</v>
      </c>
      <c r="J245">
        <v>1326.9990233999999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27.052547000000001</v>
      </c>
      <c r="B246" s="1">
        <f>DATE(2010,5,28) + TIME(1,15,40)</f>
        <v>40326.052546296298</v>
      </c>
      <c r="C246">
        <v>80</v>
      </c>
      <c r="D246">
        <v>79.886535644999995</v>
      </c>
      <c r="E246">
        <v>50</v>
      </c>
      <c r="F246">
        <v>15.000155448999999</v>
      </c>
      <c r="G246">
        <v>1333.9783935999999</v>
      </c>
      <c r="H246">
        <v>1332.7783202999999</v>
      </c>
      <c r="I246">
        <v>1327.9796143000001</v>
      </c>
      <c r="J246">
        <v>1326.9991454999999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27.228538</v>
      </c>
      <c r="B247" s="1">
        <f>DATE(2010,5,28) + TIME(5,29,5)</f>
        <v>40326.228530092594</v>
      </c>
      <c r="C247">
        <v>80</v>
      </c>
      <c r="D247">
        <v>79.886497497999997</v>
      </c>
      <c r="E247">
        <v>50</v>
      </c>
      <c r="F247">
        <v>15.000174522</v>
      </c>
      <c r="G247">
        <v>1333.9765625</v>
      </c>
      <c r="H247">
        <v>1332.7772216999999</v>
      </c>
      <c r="I247">
        <v>1327.9799805</v>
      </c>
      <c r="J247">
        <v>1326.9992675999999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27.580518999999999</v>
      </c>
      <c r="B248" s="1">
        <f>DATE(2010,5,28) + TIME(13,55,56)</f>
        <v>40326.580509259256</v>
      </c>
      <c r="C248">
        <v>80</v>
      </c>
      <c r="D248">
        <v>79.886451721</v>
      </c>
      <c r="E248">
        <v>50</v>
      </c>
      <c r="F248">
        <v>15.000213623</v>
      </c>
      <c r="G248">
        <v>1333.9747314000001</v>
      </c>
      <c r="H248">
        <v>1332.7762451000001</v>
      </c>
      <c r="I248">
        <v>1327.9803466999999</v>
      </c>
      <c r="J248">
        <v>1326.9993896000001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27.933305000000001</v>
      </c>
      <c r="B249" s="1">
        <f>DATE(2010,5,28) + TIME(22,23,57)</f>
        <v>40326.933298611111</v>
      </c>
      <c r="C249">
        <v>80</v>
      </c>
      <c r="D249">
        <v>79.886405945000007</v>
      </c>
      <c r="E249">
        <v>50</v>
      </c>
      <c r="F249">
        <v>15.000258446</v>
      </c>
      <c r="G249">
        <v>1333.9711914</v>
      </c>
      <c r="H249">
        <v>1332.7741699000001</v>
      </c>
      <c r="I249">
        <v>1327.9812012</v>
      </c>
      <c r="J249">
        <v>1326.9996338000001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28.289292</v>
      </c>
      <c r="B250" s="1">
        <f>DATE(2010,5,29) + TIME(6,56,34)</f>
        <v>40327.289282407408</v>
      </c>
      <c r="C250">
        <v>80</v>
      </c>
      <c r="D250">
        <v>79.886344910000005</v>
      </c>
      <c r="E250">
        <v>50</v>
      </c>
      <c r="F250">
        <v>15.000311851999999</v>
      </c>
      <c r="G250">
        <v>1333.9676514</v>
      </c>
      <c r="H250">
        <v>1332.7722168</v>
      </c>
      <c r="I250">
        <v>1327.9819336</v>
      </c>
      <c r="J250">
        <v>1326.9998779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28.649215999999999</v>
      </c>
      <c r="B251" s="1">
        <f>DATE(2010,5,29) + TIME(15,34,52)</f>
        <v>40327.649212962962</v>
      </c>
      <c r="C251">
        <v>80</v>
      </c>
      <c r="D251">
        <v>79.886291503999999</v>
      </c>
      <c r="E251">
        <v>50</v>
      </c>
      <c r="F251">
        <v>15.000372886999999</v>
      </c>
      <c r="G251">
        <v>1333.9642334</v>
      </c>
      <c r="H251">
        <v>1332.7702637</v>
      </c>
      <c r="I251">
        <v>1327.9827881000001</v>
      </c>
      <c r="J251">
        <v>1327.0001221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29.013845</v>
      </c>
      <c r="B252" s="1">
        <f>DATE(2010,5,30) + TIME(0,19,56)</f>
        <v>40328.013842592591</v>
      </c>
      <c r="C252">
        <v>80</v>
      </c>
      <c r="D252">
        <v>79.886230468999997</v>
      </c>
      <c r="E252">
        <v>50</v>
      </c>
      <c r="F252">
        <v>15.000445365999999</v>
      </c>
      <c r="G252">
        <v>1333.9608154</v>
      </c>
      <c r="H252">
        <v>1332.7683105000001</v>
      </c>
      <c r="I252">
        <v>1327.9836425999999</v>
      </c>
      <c r="J252">
        <v>1327.0004882999999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29.383989</v>
      </c>
      <c r="B253" s="1">
        <f>DATE(2010,5,30) + TIME(9,12,56)</f>
        <v>40328.383981481478</v>
      </c>
      <c r="C253">
        <v>80</v>
      </c>
      <c r="D253">
        <v>79.886177063000005</v>
      </c>
      <c r="E253">
        <v>50</v>
      </c>
      <c r="F253">
        <v>15.000529288999999</v>
      </c>
      <c r="G253">
        <v>1333.9572754000001</v>
      </c>
      <c r="H253">
        <v>1332.7663574000001</v>
      </c>
      <c r="I253">
        <v>1327.9844971</v>
      </c>
      <c r="J253">
        <v>1327.0007324000001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29.760503</v>
      </c>
      <c r="B254" s="1">
        <f>DATE(2010,5,30) + TIME(18,15,7)</f>
        <v>40328.760497685187</v>
      </c>
      <c r="C254">
        <v>80</v>
      </c>
      <c r="D254">
        <v>79.886116028000004</v>
      </c>
      <c r="E254">
        <v>50</v>
      </c>
      <c r="F254">
        <v>15.000628471000001</v>
      </c>
      <c r="G254">
        <v>1333.9538574000001</v>
      </c>
      <c r="H254">
        <v>1332.7645264</v>
      </c>
      <c r="I254">
        <v>1327.9853516000001</v>
      </c>
      <c r="J254">
        <v>1327.0009766000001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30.144299</v>
      </c>
      <c r="B255" s="1">
        <f>DATE(2010,5,31) + TIME(3,27,47)</f>
        <v>40329.144293981481</v>
      </c>
      <c r="C255">
        <v>80</v>
      </c>
      <c r="D255">
        <v>79.886054993000002</v>
      </c>
      <c r="E255">
        <v>50</v>
      </c>
      <c r="F255">
        <v>15.00074482</v>
      </c>
      <c r="G255">
        <v>1333.9504394999999</v>
      </c>
      <c r="H255">
        <v>1332.7625731999999</v>
      </c>
      <c r="I255">
        <v>1327.9862060999999</v>
      </c>
      <c r="J255">
        <v>1327.0013428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30.536387999999999</v>
      </c>
      <c r="B256" s="1">
        <f>DATE(2010,5,31) + TIME(12,52,23)</f>
        <v>40329.536377314813</v>
      </c>
      <c r="C256">
        <v>80</v>
      </c>
      <c r="D256">
        <v>79.885993958</v>
      </c>
      <c r="E256">
        <v>50</v>
      </c>
      <c r="F256">
        <v>15.000881195</v>
      </c>
      <c r="G256">
        <v>1333.9470214999999</v>
      </c>
      <c r="H256">
        <v>1332.7606201000001</v>
      </c>
      <c r="I256">
        <v>1327.9871826000001</v>
      </c>
      <c r="J256">
        <v>1327.0015868999999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30.934842</v>
      </c>
      <c r="B257" s="1">
        <f>DATE(2010,5,31) + TIME(22,26,10)</f>
        <v>40329.934837962966</v>
      </c>
      <c r="C257">
        <v>80</v>
      </c>
      <c r="D257">
        <v>79.885932921999995</v>
      </c>
      <c r="E257">
        <v>50</v>
      </c>
      <c r="F257">
        <v>15.001041411999999</v>
      </c>
      <c r="G257">
        <v>1333.9434814000001</v>
      </c>
      <c r="H257">
        <v>1332.7586670000001</v>
      </c>
      <c r="I257">
        <v>1327.9881591999999</v>
      </c>
      <c r="J257">
        <v>1327.0019531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31</v>
      </c>
      <c r="B258" s="1">
        <f>DATE(2010,6,1) + TIME(0,0,0)</f>
        <v>40330</v>
      </c>
      <c r="C258">
        <v>80</v>
      </c>
      <c r="D258">
        <v>79.885910034000005</v>
      </c>
      <c r="E258">
        <v>50</v>
      </c>
      <c r="F258">
        <v>15.001074791000001</v>
      </c>
      <c r="G258">
        <v>1333.9400635</v>
      </c>
      <c r="H258">
        <v>1332.7568358999999</v>
      </c>
      <c r="I258">
        <v>1327.9891356999999</v>
      </c>
      <c r="J258">
        <v>1327.0021973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31.403002000000001</v>
      </c>
      <c r="B259" s="1">
        <f>DATE(2010,6,1) + TIME(9,40,19)</f>
        <v>40330.402997685182</v>
      </c>
      <c r="C259">
        <v>80</v>
      </c>
      <c r="D259">
        <v>79.885856627999999</v>
      </c>
      <c r="E259">
        <v>50</v>
      </c>
      <c r="F259">
        <v>15.001266479</v>
      </c>
      <c r="G259">
        <v>1333.9394531</v>
      </c>
      <c r="H259">
        <v>1332.7564697</v>
      </c>
      <c r="I259">
        <v>1327.9892577999999</v>
      </c>
      <c r="J259">
        <v>1327.0023193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31.81249</v>
      </c>
      <c r="B260" s="1">
        <f>DATE(2010,6,1) + TIME(19,29,59)</f>
        <v>40330.812488425923</v>
      </c>
      <c r="C260">
        <v>80</v>
      </c>
      <c r="D260">
        <v>79.885803222999996</v>
      </c>
      <c r="E260">
        <v>50</v>
      </c>
      <c r="F260">
        <v>15.001491547000001</v>
      </c>
      <c r="G260">
        <v>1333.9360352000001</v>
      </c>
      <c r="H260">
        <v>1332.7546387</v>
      </c>
      <c r="I260">
        <v>1327.9902344</v>
      </c>
      <c r="J260">
        <v>1327.0025635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32.017584999999997</v>
      </c>
      <c r="B261" s="1">
        <f>DATE(2010,6,2) + TIME(0,25,19)</f>
        <v>40331.017581018517</v>
      </c>
      <c r="C261">
        <v>80</v>
      </c>
      <c r="D261">
        <v>79.885757446</v>
      </c>
      <c r="E261">
        <v>50</v>
      </c>
      <c r="F261">
        <v>15.001628876</v>
      </c>
      <c r="G261">
        <v>1333.9326172000001</v>
      </c>
      <c r="H261">
        <v>1332.7526855000001</v>
      </c>
      <c r="I261">
        <v>1327.9913329999999</v>
      </c>
      <c r="J261">
        <v>1327.0029297000001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32.222679999999997</v>
      </c>
      <c r="B262" s="1">
        <f>DATE(2010,6,2) + TIME(5,20,39)</f>
        <v>40331.222673611112</v>
      </c>
      <c r="C262">
        <v>80</v>
      </c>
      <c r="D262">
        <v>79.885719299000002</v>
      </c>
      <c r="E262">
        <v>50</v>
      </c>
      <c r="F262">
        <v>15.001775742</v>
      </c>
      <c r="G262">
        <v>1333.9309082</v>
      </c>
      <c r="H262">
        <v>1332.7517089999999</v>
      </c>
      <c r="I262">
        <v>1327.9918213000001</v>
      </c>
      <c r="J262">
        <v>1327.0031738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32.427774999999997</v>
      </c>
      <c r="B263" s="1">
        <f>DATE(2010,6,2) + TIME(10,15,59)</f>
        <v>40331.427766203706</v>
      </c>
      <c r="C263">
        <v>80</v>
      </c>
      <c r="D263">
        <v>79.885681152000004</v>
      </c>
      <c r="E263">
        <v>50</v>
      </c>
      <c r="F263">
        <v>15.001934051999999</v>
      </c>
      <c r="G263">
        <v>1333.9293213000001</v>
      </c>
      <c r="H263">
        <v>1332.7508545000001</v>
      </c>
      <c r="I263">
        <v>1327.9923096</v>
      </c>
      <c r="J263">
        <v>1327.0032959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32.632868999999999</v>
      </c>
      <c r="B264" s="1">
        <f>DATE(2010,6,2) + TIME(15,11,19)</f>
        <v>40331.6328587963</v>
      </c>
      <c r="C264">
        <v>80</v>
      </c>
      <c r="D264">
        <v>79.885643005000006</v>
      </c>
      <c r="E264">
        <v>50</v>
      </c>
      <c r="F264">
        <v>15.002102852</v>
      </c>
      <c r="G264">
        <v>1333.9276123</v>
      </c>
      <c r="H264">
        <v>1332.7498779</v>
      </c>
      <c r="I264">
        <v>1327.9929199000001</v>
      </c>
      <c r="J264">
        <v>1327.003418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32.837963999999999</v>
      </c>
      <c r="B265" s="1">
        <f>DATE(2010,6,2) + TIME(20,6,40)</f>
        <v>40331.837962962964</v>
      </c>
      <c r="C265">
        <v>80</v>
      </c>
      <c r="D265">
        <v>79.885612488000007</v>
      </c>
      <c r="E265">
        <v>50</v>
      </c>
      <c r="F265">
        <v>15.002285004000001</v>
      </c>
      <c r="G265">
        <v>1333.9260254000001</v>
      </c>
      <c r="H265">
        <v>1332.7490233999999</v>
      </c>
      <c r="I265">
        <v>1327.9934082</v>
      </c>
      <c r="J265">
        <v>1327.0036620999999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33.043059</v>
      </c>
      <c r="B266" s="1">
        <f>DATE(2010,6,3) + TIME(1,2,0)</f>
        <v>40332.043055555558</v>
      </c>
      <c r="C266">
        <v>80</v>
      </c>
      <c r="D266">
        <v>79.885581970000004</v>
      </c>
      <c r="E266">
        <v>50</v>
      </c>
      <c r="F266">
        <v>15.002479553000001</v>
      </c>
      <c r="G266">
        <v>1333.9243164</v>
      </c>
      <c r="H266">
        <v>1332.7481689000001</v>
      </c>
      <c r="I266">
        <v>1327.9940185999999</v>
      </c>
      <c r="J266">
        <v>1327.0037841999999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33.248154</v>
      </c>
      <c r="B267" s="1">
        <f>DATE(2010,6,3) + TIME(5,57,20)</f>
        <v>40332.248148148145</v>
      </c>
      <c r="C267">
        <v>80</v>
      </c>
      <c r="D267">
        <v>79.885551453000005</v>
      </c>
      <c r="E267">
        <v>50</v>
      </c>
      <c r="F267">
        <v>15.002688407999999</v>
      </c>
      <c r="G267">
        <v>1333.9227295000001</v>
      </c>
      <c r="H267">
        <v>1332.7471923999999</v>
      </c>
      <c r="I267">
        <v>1327.9945068</v>
      </c>
      <c r="J267">
        <v>1327.0040283000001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33.453249</v>
      </c>
      <c r="B268" s="1">
        <f>DATE(2010,6,3) + TIME(10,52,40)</f>
        <v>40332.453240740739</v>
      </c>
      <c r="C268">
        <v>80</v>
      </c>
      <c r="D268">
        <v>79.885520935000002</v>
      </c>
      <c r="E268">
        <v>50</v>
      </c>
      <c r="F268">
        <v>15.002911568</v>
      </c>
      <c r="G268">
        <v>1333.9211425999999</v>
      </c>
      <c r="H268">
        <v>1332.7463379000001</v>
      </c>
      <c r="I268">
        <v>1327.9951172000001</v>
      </c>
      <c r="J268">
        <v>1327.0041504000001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33.658343000000002</v>
      </c>
      <c r="B269" s="1">
        <f>DATE(2010,6,3) + TIME(15,48,0)</f>
        <v>40332.658333333333</v>
      </c>
      <c r="C269">
        <v>80</v>
      </c>
      <c r="D269">
        <v>79.885490417</v>
      </c>
      <c r="E269">
        <v>50</v>
      </c>
      <c r="F269">
        <v>15.003149986</v>
      </c>
      <c r="G269">
        <v>1333.9195557</v>
      </c>
      <c r="H269">
        <v>1332.7454834</v>
      </c>
      <c r="I269">
        <v>1327.9956055</v>
      </c>
      <c r="J269">
        <v>1327.0043945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33.863438000000002</v>
      </c>
      <c r="B270" s="1">
        <f>DATE(2010,6,3) + TIME(20,43,21)</f>
        <v>40332.863437499997</v>
      </c>
      <c r="C270">
        <v>80</v>
      </c>
      <c r="D270">
        <v>79.885467528999996</v>
      </c>
      <c r="E270">
        <v>50</v>
      </c>
      <c r="F270">
        <v>15.003405571</v>
      </c>
      <c r="G270">
        <v>1333.9179687999999</v>
      </c>
      <c r="H270">
        <v>1332.7446289</v>
      </c>
      <c r="I270">
        <v>1327.9962158000001</v>
      </c>
      <c r="J270">
        <v>1327.0045166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34.068533000000002</v>
      </c>
      <c r="B271" s="1">
        <f>DATE(2010,6,4) + TIME(1,38,41)</f>
        <v>40333.068530092591</v>
      </c>
      <c r="C271">
        <v>80</v>
      </c>
      <c r="D271">
        <v>79.885437011999997</v>
      </c>
      <c r="E271">
        <v>50</v>
      </c>
      <c r="F271">
        <v>15.003679276</v>
      </c>
      <c r="G271">
        <v>1333.9163818</v>
      </c>
      <c r="H271">
        <v>1332.7437743999999</v>
      </c>
      <c r="I271">
        <v>1327.9967041</v>
      </c>
      <c r="J271">
        <v>1327.0047606999999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34.478721999999998</v>
      </c>
      <c r="B272" s="1">
        <f>DATE(2010,6,4) + TIME(11,29,21)</f>
        <v>40333.478715277779</v>
      </c>
      <c r="C272">
        <v>80</v>
      </c>
      <c r="D272">
        <v>79.885406493999994</v>
      </c>
      <c r="E272">
        <v>50</v>
      </c>
      <c r="F272">
        <v>15.004232407</v>
      </c>
      <c r="G272">
        <v>1333.9149170000001</v>
      </c>
      <c r="H272">
        <v>1332.7429199000001</v>
      </c>
      <c r="I272">
        <v>1327.9973144999999</v>
      </c>
      <c r="J272">
        <v>1327.0048827999999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34.889671</v>
      </c>
      <c r="B273" s="1">
        <f>DATE(2010,6,4) + TIME(21,21,7)</f>
        <v>40333.889664351853</v>
      </c>
      <c r="C273">
        <v>80</v>
      </c>
      <c r="D273">
        <v>79.885375976999995</v>
      </c>
      <c r="E273">
        <v>50</v>
      </c>
      <c r="F273">
        <v>15.004865646000001</v>
      </c>
      <c r="G273">
        <v>1333.9118652</v>
      </c>
      <c r="H273">
        <v>1332.7413329999999</v>
      </c>
      <c r="I273">
        <v>1327.9984131000001</v>
      </c>
      <c r="J273">
        <v>1327.005249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35.304744999999997</v>
      </c>
      <c r="B274" s="1">
        <f>DATE(2010,6,5) + TIME(7,18,49)</f>
        <v>40334.3047337963</v>
      </c>
      <c r="C274">
        <v>80</v>
      </c>
      <c r="D274">
        <v>79.885337829999997</v>
      </c>
      <c r="E274">
        <v>50</v>
      </c>
      <c r="F274">
        <v>15.005594254</v>
      </c>
      <c r="G274">
        <v>1333.9088135</v>
      </c>
      <c r="H274">
        <v>1332.739624</v>
      </c>
      <c r="I274">
        <v>1327.9995117000001</v>
      </c>
      <c r="J274">
        <v>1327.0056152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35.724867000000003</v>
      </c>
      <c r="B275" s="1">
        <f>DATE(2010,6,5) + TIME(17,23,48)</f>
        <v>40334.724861111114</v>
      </c>
      <c r="C275">
        <v>80</v>
      </c>
      <c r="D275">
        <v>79.885299683</v>
      </c>
      <c r="E275">
        <v>50</v>
      </c>
      <c r="F275">
        <v>15.006432533</v>
      </c>
      <c r="G275">
        <v>1333.9057617000001</v>
      </c>
      <c r="H275">
        <v>1332.7380370999999</v>
      </c>
      <c r="I275">
        <v>1328.0007324000001</v>
      </c>
      <c r="J275">
        <v>1327.0059814000001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36.151009999999999</v>
      </c>
      <c r="B276" s="1">
        <f>DATE(2010,6,6) + TIME(3,37,27)</f>
        <v>40335.151006944441</v>
      </c>
      <c r="C276">
        <v>80</v>
      </c>
      <c r="D276">
        <v>79.885261536000002</v>
      </c>
      <c r="E276">
        <v>50</v>
      </c>
      <c r="F276">
        <v>15.007397652</v>
      </c>
      <c r="G276">
        <v>1333.902832</v>
      </c>
      <c r="H276">
        <v>1332.7363281</v>
      </c>
      <c r="I276">
        <v>1328.0019531</v>
      </c>
      <c r="J276">
        <v>1327.0064697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36.584203000000002</v>
      </c>
      <c r="B277" s="1">
        <f>DATE(2010,6,6) + TIME(14,1,15)</f>
        <v>40335.584201388891</v>
      </c>
      <c r="C277">
        <v>80</v>
      </c>
      <c r="D277">
        <v>79.885215759000005</v>
      </c>
      <c r="E277">
        <v>50</v>
      </c>
      <c r="F277">
        <v>15.008511542999999</v>
      </c>
      <c r="G277">
        <v>1333.8997803</v>
      </c>
      <c r="H277">
        <v>1332.7347411999999</v>
      </c>
      <c r="I277">
        <v>1328.0031738</v>
      </c>
      <c r="J277">
        <v>1327.0068358999999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37.025559999999999</v>
      </c>
      <c r="B278" s="1">
        <f>DATE(2010,6,7) + TIME(0,36,48)</f>
        <v>40336.025555555556</v>
      </c>
      <c r="C278">
        <v>80</v>
      </c>
      <c r="D278">
        <v>79.885177612000007</v>
      </c>
      <c r="E278">
        <v>50</v>
      </c>
      <c r="F278">
        <v>15.009798050000001</v>
      </c>
      <c r="G278">
        <v>1333.8968506000001</v>
      </c>
      <c r="H278">
        <v>1332.7331543</v>
      </c>
      <c r="I278">
        <v>1328.0043945</v>
      </c>
      <c r="J278">
        <v>1327.0072021000001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37.476275999999999</v>
      </c>
      <c r="B279" s="1">
        <f>DATE(2010,6,7) + TIME(11,25,50)</f>
        <v>40336.476273148146</v>
      </c>
      <c r="C279">
        <v>80</v>
      </c>
      <c r="D279">
        <v>79.885139464999995</v>
      </c>
      <c r="E279">
        <v>50</v>
      </c>
      <c r="F279">
        <v>15.011287689</v>
      </c>
      <c r="G279">
        <v>1333.8937988</v>
      </c>
      <c r="H279">
        <v>1332.7314452999999</v>
      </c>
      <c r="I279">
        <v>1328.0057373</v>
      </c>
      <c r="J279">
        <v>1327.0076904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37.937686999999997</v>
      </c>
      <c r="B280" s="1">
        <f>DATE(2010,6,7) + TIME(22,30,16)</f>
        <v>40336.937685185185</v>
      </c>
      <c r="C280">
        <v>80</v>
      </c>
      <c r="D280">
        <v>79.885101317999997</v>
      </c>
      <c r="E280">
        <v>50</v>
      </c>
      <c r="F280">
        <v>15.013018607999999</v>
      </c>
      <c r="G280">
        <v>1333.8908690999999</v>
      </c>
      <c r="H280">
        <v>1332.7298584</v>
      </c>
      <c r="I280">
        <v>1328.0070800999999</v>
      </c>
      <c r="J280">
        <v>1327.0080565999999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38.408344999999997</v>
      </c>
      <c r="B281" s="1">
        <f>DATE(2010,6,8) + TIME(9,48,0)</f>
        <v>40337.408333333333</v>
      </c>
      <c r="C281">
        <v>80</v>
      </c>
      <c r="D281">
        <v>79.885070800999998</v>
      </c>
      <c r="E281">
        <v>50</v>
      </c>
      <c r="F281">
        <v>15.015023232000001</v>
      </c>
      <c r="G281">
        <v>1333.8878173999999</v>
      </c>
      <c r="H281">
        <v>1332.7281493999999</v>
      </c>
      <c r="I281">
        <v>1328.0085449000001</v>
      </c>
      <c r="J281">
        <v>1327.0085449000001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38.882688000000002</v>
      </c>
      <c r="B282" s="1">
        <f>DATE(2010,6,8) + TIME(21,11,4)</f>
        <v>40337.882685185185</v>
      </c>
      <c r="C282">
        <v>80</v>
      </c>
      <c r="D282">
        <v>79.885032654</v>
      </c>
      <c r="E282">
        <v>50</v>
      </c>
      <c r="F282">
        <v>15.01732254</v>
      </c>
      <c r="G282">
        <v>1333.8847656</v>
      </c>
      <c r="H282">
        <v>1332.7264404</v>
      </c>
      <c r="I282">
        <v>1328.0100098</v>
      </c>
      <c r="J282">
        <v>1327.0090332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39.121859000000001</v>
      </c>
      <c r="B283" s="1">
        <f>DATE(2010,6,9) + TIME(2,55,28)</f>
        <v>40338.121851851851</v>
      </c>
      <c r="C283">
        <v>80</v>
      </c>
      <c r="D283">
        <v>79.885002135999997</v>
      </c>
      <c r="E283">
        <v>50</v>
      </c>
      <c r="F283">
        <v>15.018725395000001</v>
      </c>
      <c r="G283">
        <v>1333.8817139</v>
      </c>
      <c r="H283">
        <v>1332.7247314000001</v>
      </c>
      <c r="I283">
        <v>1328.0114745999999</v>
      </c>
      <c r="J283">
        <v>1327.0095214999999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39.361029000000002</v>
      </c>
      <c r="B284" s="1">
        <f>DATE(2010,6,9) + TIME(8,39,52)</f>
        <v>40338.361018518517</v>
      </c>
      <c r="C284">
        <v>80</v>
      </c>
      <c r="D284">
        <v>79.884971618999998</v>
      </c>
      <c r="E284">
        <v>50</v>
      </c>
      <c r="F284">
        <v>15.020217896</v>
      </c>
      <c r="G284">
        <v>1333.8801269999999</v>
      </c>
      <c r="H284">
        <v>1332.7238769999999</v>
      </c>
      <c r="I284">
        <v>1328.012207</v>
      </c>
      <c r="J284">
        <v>1327.0097656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39.600199000000003</v>
      </c>
      <c r="B285" s="1">
        <f>DATE(2010,6,9) + TIME(14,24,17)</f>
        <v>40338.60019675926</v>
      </c>
      <c r="C285">
        <v>80</v>
      </c>
      <c r="D285">
        <v>79.884948730000005</v>
      </c>
      <c r="E285">
        <v>50</v>
      </c>
      <c r="F285">
        <v>15.021804810000001</v>
      </c>
      <c r="G285">
        <v>1333.8786620999999</v>
      </c>
      <c r="H285">
        <v>1332.7231445</v>
      </c>
      <c r="I285">
        <v>1328.0130615</v>
      </c>
      <c r="J285">
        <v>1327.0100098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39.839370000000002</v>
      </c>
      <c r="B286" s="1">
        <f>DATE(2010,6,9) + TIME(20,8,41)</f>
        <v>40338.839363425926</v>
      </c>
      <c r="C286">
        <v>80</v>
      </c>
      <c r="D286">
        <v>79.884925842000001</v>
      </c>
      <c r="E286">
        <v>50</v>
      </c>
      <c r="F286">
        <v>15.023493767</v>
      </c>
      <c r="G286">
        <v>1333.8771973</v>
      </c>
      <c r="H286">
        <v>1332.7222899999999</v>
      </c>
      <c r="I286">
        <v>1328.0137939000001</v>
      </c>
      <c r="J286">
        <v>1327.0102539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40.078539999999997</v>
      </c>
      <c r="B287" s="1">
        <f>DATE(2010,6,10) + TIME(1,53,5)</f>
        <v>40339.078530092593</v>
      </c>
      <c r="C287">
        <v>80</v>
      </c>
      <c r="D287">
        <v>79.884902953999998</v>
      </c>
      <c r="E287">
        <v>50</v>
      </c>
      <c r="F287">
        <v>15.025288582</v>
      </c>
      <c r="G287">
        <v>1333.8757324000001</v>
      </c>
      <c r="H287">
        <v>1332.7214355000001</v>
      </c>
      <c r="I287">
        <v>1328.0146483999999</v>
      </c>
      <c r="J287">
        <v>1327.0104980000001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40.317711000000003</v>
      </c>
      <c r="B288" s="1">
        <f>DATE(2010,6,10) + TIME(7,37,30)</f>
        <v>40339.317708333336</v>
      </c>
      <c r="C288">
        <v>80</v>
      </c>
      <c r="D288">
        <v>79.884880065999994</v>
      </c>
      <c r="E288">
        <v>50</v>
      </c>
      <c r="F288">
        <v>15.027196884</v>
      </c>
      <c r="G288">
        <v>1333.8742675999999</v>
      </c>
      <c r="H288">
        <v>1332.7207031</v>
      </c>
      <c r="I288">
        <v>1328.0153809000001</v>
      </c>
      <c r="J288">
        <v>1327.0108643000001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40.556880999999997</v>
      </c>
      <c r="B289" s="1">
        <f>DATE(2010,6,10) + TIME(13,21,54)</f>
        <v>40339.556875000002</v>
      </c>
      <c r="C289">
        <v>80</v>
      </c>
      <c r="D289">
        <v>79.884864807</v>
      </c>
      <c r="E289">
        <v>50</v>
      </c>
      <c r="F289">
        <v>15.029224396</v>
      </c>
      <c r="G289">
        <v>1333.8728027</v>
      </c>
      <c r="H289">
        <v>1332.7198486</v>
      </c>
      <c r="I289">
        <v>1328.0162353999999</v>
      </c>
      <c r="J289">
        <v>1327.0111084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40.796050999999999</v>
      </c>
      <c r="B290" s="1">
        <f>DATE(2010,6,10) + TIME(19,6,18)</f>
        <v>40339.796041666668</v>
      </c>
      <c r="C290">
        <v>80</v>
      </c>
      <c r="D290">
        <v>79.884849548000005</v>
      </c>
      <c r="E290">
        <v>50</v>
      </c>
      <c r="F290">
        <v>15.031378746</v>
      </c>
      <c r="G290">
        <v>1333.8713379000001</v>
      </c>
      <c r="H290">
        <v>1332.7191161999999</v>
      </c>
      <c r="I290">
        <v>1328.0169678</v>
      </c>
      <c r="J290">
        <v>1327.0113524999999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41.035221999999997</v>
      </c>
      <c r="B291" s="1">
        <f>DATE(2010,6,11) + TIME(0,50,43)</f>
        <v>40340.035219907404</v>
      </c>
      <c r="C291">
        <v>80</v>
      </c>
      <c r="D291">
        <v>79.884834290000001</v>
      </c>
      <c r="E291">
        <v>50</v>
      </c>
      <c r="F291">
        <v>15.033665657</v>
      </c>
      <c r="G291">
        <v>1333.8699951000001</v>
      </c>
      <c r="H291">
        <v>1332.7182617000001</v>
      </c>
      <c r="I291">
        <v>1328.0178223</v>
      </c>
      <c r="J291">
        <v>1327.0115966999999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41.274391999999999</v>
      </c>
      <c r="B292" s="1">
        <f>DATE(2010,6,11) + TIME(6,35,7)</f>
        <v>40340.274386574078</v>
      </c>
      <c r="C292">
        <v>80</v>
      </c>
      <c r="D292">
        <v>79.884819031000006</v>
      </c>
      <c r="E292">
        <v>50</v>
      </c>
      <c r="F292">
        <v>15.036093712</v>
      </c>
      <c r="G292">
        <v>1333.8685303</v>
      </c>
      <c r="H292">
        <v>1332.7175293</v>
      </c>
      <c r="I292">
        <v>1328.0186768000001</v>
      </c>
      <c r="J292">
        <v>1327.0118408000001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41.513562999999998</v>
      </c>
      <c r="B293" s="1">
        <f>DATE(2010,6,11) + TIME(12,19,31)</f>
        <v>40340.513553240744</v>
      </c>
      <c r="C293">
        <v>80</v>
      </c>
      <c r="D293">
        <v>79.884803771999998</v>
      </c>
      <c r="E293">
        <v>50</v>
      </c>
      <c r="F293">
        <v>15.038669585999999</v>
      </c>
      <c r="G293">
        <v>1333.8671875</v>
      </c>
      <c r="H293">
        <v>1332.7167969</v>
      </c>
      <c r="I293">
        <v>1328.0195312000001</v>
      </c>
      <c r="J293">
        <v>1327.012207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41.752732999999999</v>
      </c>
      <c r="B294" s="1">
        <f>DATE(2010,6,11) + TIME(18,3,56)</f>
        <v>40340.75273148148</v>
      </c>
      <c r="C294">
        <v>80</v>
      </c>
      <c r="D294">
        <v>79.884788513000004</v>
      </c>
      <c r="E294">
        <v>50</v>
      </c>
      <c r="F294">
        <v>15.041400909</v>
      </c>
      <c r="G294">
        <v>1333.8657227000001</v>
      </c>
      <c r="H294">
        <v>1332.7159423999999</v>
      </c>
      <c r="I294">
        <v>1328.0202637</v>
      </c>
      <c r="J294">
        <v>1327.0124512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41.991903000000001</v>
      </c>
      <c r="B295" s="1">
        <f>DATE(2010,6,11) + TIME(23,48,20)</f>
        <v>40340.991898148146</v>
      </c>
      <c r="C295">
        <v>80</v>
      </c>
      <c r="D295">
        <v>79.884773253999995</v>
      </c>
      <c r="E295">
        <v>50</v>
      </c>
      <c r="F295">
        <v>15.044297218000001</v>
      </c>
      <c r="G295">
        <v>1333.8643798999999</v>
      </c>
      <c r="H295">
        <v>1332.7152100000001</v>
      </c>
      <c r="I295">
        <v>1328.0211182</v>
      </c>
      <c r="J295">
        <v>1327.0126952999999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42.470244000000001</v>
      </c>
      <c r="B296" s="1">
        <f>DATE(2010,6,12) + TIME(11,17,9)</f>
        <v>40341.470243055555</v>
      </c>
      <c r="C296">
        <v>80</v>
      </c>
      <c r="D296">
        <v>79.884773253999995</v>
      </c>
      <c r="E296">
        <v>50</v>
      </c>
      <c r="F296">
        <v>15.050058365</v>
      </c>
      <c r="G296">
        <v>1333.8630370999999</v>
      </c>
      <c r="H296">
        <v>1332.7144774999999</v>
      </c>
      <c r="I296">
        <v>1328.0219727000001</v>
      </c>
      <c r="J296">
        <v>1327.0130615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42.949880999999998</v>
      </c>
      <c r="B297" s="1">
        <f>DATE(2010,6,12) + TIME(22,47,49)</f>
        <v>40341.949872685182</v>
      </c>
      <c r="C297">
        <v>80</v>
      </c>
      <c r="D297">
        <v>79.884765625</v>
      </c>
      <c r="E297">
        <v>50</v>
      </c>
      <c r="F297">
        <v>15.056564331000001</v>
      </c>
      <c r="G297">
        <v>1333.8603516000001</v>
      </c>
      <c r="H297">
        <v>1332.7130127</v>
      </c>
      <c r="I297">
        <v>1328.0236815999999</v>
      </c>
      <c r="J297">
        <v>1327.0136719</v>
      </c>
      <c r="K297">
        <v>550</v>
      </c>
      <c r="L297">
        <v>0</v>
      </c>
      <c r="M297">
        <v>0</v>
      </c>
      <c r="N297">
        <v>550</v>
      </c>
    </row>
    <row r="298" spans="1:14" x14ac:dyDescent="0.25">
      <c r="A298">
        <v>43.435220000000001</v>
      </c>
      <c r="B298" s="1">
        <f>DATE(2010,6,13) + TIME(10,26,42)</f>
        <v>40342.435208333336</v>
      </c>
      <c r="C298">
        <v>80</v>
      </c>
      <c r="D298">
        <v>79.884750366000006</v>
      </c>
      <c r="E298">
        <v>50</v>
      </c>
      <c r="F298">
        <v>15.063952446</v>
      </c>
      <c r="G298">
        <v>1333.8576660000001</v>
      </c>
      <c r="H298">
        <v>1332.7115478999999</v>
      </c>
      <c r="I298">
        <v>1328.0255127</v>
      </c>
      <c r="J298">
        <v>1327.0142822</v>
      </c>
      <c r="K298">
        <v>550</v>
      </c>
      <c r="L298">
        <v>0</v>
      </c>
      <c r="M298">
        <v>0</v>
      </c>
      <c r="N298">
        <v>550</v>
      </c>
    </row>
    <row r="299" spans="1:14" x14ac:dyDescent="0.25">
      <c r="A299">
        <v>43.927444999999999</v>
      </c>
      <c r="B299" s="1">
        <f>DATE(2010,6,13) + TIME(22,15,31)</f>
        <v>40342.927442129629</v>
      </c>
      <c r="C299">
        <v>80</v>
      </c>
      <c r="D299">
        <v>79.884735106999997</v>
      </c>
      <c r="E299">
        <v>50</v>
      </c>
      <c r="F299">
        <v>15.072345734000001</v>
      </c>
      <c r="G299">
        <v>1333.8549805</v>
      </c>
      <c r="H299">
        <v>1332.7100829999999</v>
      </c>
      <c r="I299">
        <v>1328.0273437999999</v>
      </c>
      <c r="J299">
        <v>1327.0148925999999</v>
      </c>
      <c r="K299">
        <v>550</v>
      </c>
      <c r="L299">
        <v>0</v>
      </c>
      <c r="M299">
        <v>0</v>
      </c>
      <c r="N299">
        <v>550</v>
      </c>
    </row>
    <row r="300" spans="1:14" x14ac:dyDescent="0.25">
      <c r="A300">
        <v>44.427764000000003</v>
      </c>
      <c r="B300" s="1">
        <f>DATE(2010,6,14) + TIME(10,15,58)</f>
        <v>40343.427754629629</v>
      </c>
      <c r="C300">
        <v>80</v>
      </c>
      <c r="D300">
        <v>79.884719849000007</v>
      </c>
      <c r="E300">
        <v>50</v>
      </c>
      <c r="F300">
        <v>15.08189106</v>
      </c>
      <c r="G300">
        <v>1333.8522949000001</v>
      </c>
      <c r="H300">
        <v>1332.7086182</v>
      </c>
      <c r="I300">
        <v>1328.0291748</v>
      </c>
      <c r="J300">
        <v>1327.0155029</v>
      </c>
      <c r="K300">
        <v>550</v>
      </c>
      <c r="L300">
        <v>0</v>
      </c>
      <c r="M300">
        <v>0</v>
      </c>
      <c r="N300">
        <v>550</v>
      </c>
    </row>
    <row r="301" spans="1:14" x14ac:dyDescent="0.25">
      <c r="A301">
        <v>44.937475999999997</v>
      </c>
      <c r="B301" s="1">
        <f>DATE(2010,6,14) + TIME(22,29,57)</f>
        <v>40343.937465277777</v>
      </c>
      <c r="C301">
        <v>80</v>
      </c>
      <c r="D301">
        <v>79.884712218999994</v>
      </c>
      <c r="E301">
        <v>50</v>
      </c>
      <c r="F301">
        <v>15.092764854</v>
      </c>
      <c r="G301">
        <v>1333.8496094</v>
      </c>
      <c r="H301">
        <v>1332.7071533000001</v>
      </c>
      <c r="I301">
        <v>1328.0311279</v>
      </c>
      <c r="J301">
        <v>1327.0162353999999</v>
      </c>
      <c r="K301">
        <v>550</v>
      </c>
      <c r="L301">
        <v>0</v>
      </c>
      <c r="M301">
        <v>0</v>
      </c>
      <c r="N301">
        <v>550</v>
      </c>
    </row>
    <row r="302" spans="1:14" x14ac:dyDescent="0.25">
      <c r="A302">
        <v>45.457990000000002</v>
      </c>
      <c r="B302" s="1">
        <f>DATE(2010,6,15) + TIME(10,59,30)</f>
        <v>40344.457986111112</v>
      </c>
      <c r="C302">
        <v>80</v>
      </c>
      <c r="D302">
        <v>79.884696959999999</v>
      </c>
      <c r="E302">
        <v>50</v>
      </c>
      <c r="F302">
        <v>15.105175018000001</v>
      </c>
      <c r="G302">
        <v>1333.8470459</v>
      </c>
      <c r="H302">
        <v>1332.7058105000001</v>
      </c>
      <c r="I302">
        <v>1328.0330810999999</v>
      </c>
      <c r="J302">
        <v>1327.0168457</v>
      </c>
      <c r="K302">
        <v>550</v>
      </c>
      <c r="L302">
        <v>0</v>
      </c>
      <c r="M302">
        <v>0</v>
      </c>
      <c r="N302">
        <v>550</v>
      </c>
    </row>
    <row r="303" spans="1:14" x14ac:dyDescent="0.25">
      <c r="A303">
        <v>45.990856000000001</v>
      </c>
      <c r="B303" s="1">
        <f>DATE(2010,6,15) + TIME(23,46,49)</f>
        <v>40344.990844907406</v>
      </c>
      <c r="C303">
        <v>80</v>
      </c>
      <c r="D303">
        <v>79.884681701999995</v>
      </c>
      <c r="E303">
        <v>50</v>
      </c>
      <c r="F303">
        <v>15.119370461000001</v>
      </c>
      <c r="G303">
        <v>1333.8443603999999</v>
      </c>
      <c r="H303">
        <v>1332.7043457</v>
      </c>
      <c r="I303">
        <v>1328.0352783000001</v>
      </c>
      <c r="J303">
        <v>1327.0177002</v>
      </c>
      <c r="K303">
        <v>550</v>
      </c>
      <c r="L303">
        <v>0</v>
      </c>
      <c r="M303">
        <v>0</v>
      </c>
      <c r="N303">
        <v>550</v>
      </c>
    </row>
    <row r="304" spans="1:14" x14ac:dyDescent="0.25">
      <c r="A304">
        <v>46.535671000000001</v>
      </c>
      <c r="B304" s="1">
        <f>DATE(2010,6,16) + TIME(12,51,21)</f>
        <v>40345.53565972222</v>
      </c>
      <c r="C304">
        <v>80</v>
      </c>
      <c r="D304">
        <v>79.884674071999996</v>
      </c>
      <c r="E304">
        <v>50</v>
      </c>
      <c r="F304">
        <v>15.135599136</v>
      </c>
      <c r="G304">
        <v>1333.8416748</v>
      </c>
      <c r="H304">
        <v>1332.7028809000001</v>
      </c>
      <c r="I304">
        <v>1328.0374756000001</v>
      </c>
      <c r="J304">
        <v>1327.0184326000001</v>
      </c>
      <c r="K304">
        <v>550</v>
      </c>
      <c r="L304">
        <v>0</v>
      </c>
      <c r="M304">
        <v>0</v>
      </c>
      <c r="N304">
        <v>550</v>
      </c>
    </row>
    <row r="305" spans="1:14" x14ac:dyDescent="0.25">
      <c r="A305">
        <v>46.810299000000001</v>
      </c>
      <c r="B305" s="1">
        <f>DATE(2010,6,16) + TIME(19,26,49)</f>
        <v>40345.810289351852</v>
      </c>
      <c r="C305">
        <v>80</v>
      </c>
      <c r="D305">
        <v>79.884651184000006</v>
      </c>
      <c r="E305">
        <v>50</v>
      </c>
      <c r="F305">
        <v>15.145460129</v>
      </c>
      <c r="G305">
        <v>1333.8388672000001</v>
      </c>
      <c r="H305">
        <v>1332.7012939000001</v>
      </c>
      <c r="I305">
        <v>1328.0397949000001</v>
      </c>
      <c r="J305">
        <v>1327.0192870999999</v>
      </c>
      <c r="K305">
        <v>550</v>
      </c>
      <c r="L305">
        <v>0</v>
      </c>
      <c r="M305">
        <v>0</v>
      </c>
      <c r="N305">
        <v>550</v>
      </c>
    </row>
    <row r="306" spans="1:14" x14ac:dyDescent="0.25">
      <c r="A306">
        <v>47.084927</v>
      </c>
      <c r="B306" s="1">
        <f>DATE(2010,6,17) + TIME(2,2,17)</f>
        <v>40346.084918981483</v>
      </c>
      <c r="C306">
        <v>80</v>
      </c>
      <c r="D306">
        <v>79.884635924999998</v>
      </c>
      <c r="E306">
        <v>50</v>
      </c>
      <c r="F306">
        <v>15.155860901</v>
      </c>
      <c r="G306">
        <v>1333.8375243999999</v>
      </c>
      <c r="H306">
        <v>1332.7005615</v>
      </c>
      <c r="I306">
        <v>1328.0410156</v>
      </c>
      <c r="J306">
        <v>1327.0196533000001</v>
      </c>
      <c r="K306">
        <v>550</v>
      </c>
      <c r="L306">
        <v>0</v>
      </c>
      <c r="M306">
        <v>0</v>
      </c>
      <c r="N306">
        <v>550</v>
      </c>
    </row>
    <row r="307" spans="1:14" x14ac:dyDescent="0.25">
      <c r="A307">
        <v>47.359555</v>
      </c>
      <c r="B307" s="1">
        <f>DATE(2010,6,17) + TIME(8,37,45)</f>
        <v>40346.359548611108</v>
      </c>
      <c r="C307">
        <v>80</v>
      </c>
      <c r="D307">
        <v>79.884620666999993</v>
      </c>
      <c r="E307">
        <v>50</v>
      </c>
      <c r="F307">
        <v>15.166831017</v>
      </c>
      <c r="G307">
        <v>1333.8361815999999</v>
      </c>
      <c r="H307">
        <v>1332.6998291</v>
      </c>
      <c r="I307">
        <v>1328.0421143000001</v>
      </c>
      <c r="J307">
        <v>1327.0201416</v>
      </c>
      <c r="K307">
        <v>550</v>
      </c>
      <c r="L307">
        <v>0</v>
      </c>
      <c r="M307">
        <v>0</v>
      </c>
      <c r="N307">
        <v>550</v>
      </c>
    </row>
    <row r="308" spans="1:14" x14ac:dyDescent="0.25">
      <c r="A308">
        <v>47.634183999999998</v>
      </c>
      <c r="B308" s="1">
        <f>DATE(2010,6,17) + TIME(15,13,13)</f>
        <v>40346.63417824074</v>
      </c>
      <c r="C308">
        <v>80</v>
      </c>
      <c r="D308">
        <v>79.884613036999994</v>
      </c>
      <c r="E308">
        <v>50</v>
      </c>
      <c r="F308">
        <v>15.178399086000001</v>
      </c>
      <c r="G308">
        <v>1333.8349608999999</v>
      </c>
      <c r="H308">
        <v>1332.6990966999999</v>
      </c>
      <c r="I308">
        <v>1328.0433350000001</v>
      </c>
      <c r="J308">
        <v>1327.0206298999999</v>
      </c>
      <c r="K308">
        <v>550</v>
      </c>
      <c r="L308">
        <v>0</v>
      </c>
      <c r="M308">
        <v>0</v>
      </c>
      <c r="N308">
        <v>550</v>
      </c>
    </row>
    <row r="309" spans="1:14" x14ac:dyDescent="0.25">
      <c r="A309">
        <v>47.908811999999998</v>
      </c>
      <c r="B309" s="1">
        <f>DATE(2010,6,17) + TIME(21,48,41)</f>
        <v>40346.908807870372</v>
      </c>
      <c r="C309">
        <v>80</v>
      </c>
      <c r="D309">
        <v>79.884605407999999</v>
      </c>
      <c r="E309">
        <v>50</v>
      </c>
      <c r="F309">
        <v>15.190596580999999</v>
      </c>
      <c r="G309">
        <v>1333.8336182</v>
      </c>
      <c r="H309">
        <v>1332.6984863</v>
      </c>
      <c r="I309">
        <v>1328.0445557</v>
      </c>
      <c r="J309">
        <v>1327.0209961</v>
      </c>
      <c r="K309">
        <v>550</v>
      </c>
      <c r="L309">
        <v>0</v>
      </c>
      <c r="M309">
        <v>0</v>
      </c>
      <c r="N309">
        <v>550</v>
      </c>
    </row>
    <row r="310" spans="1:14" x14ac:dyDescent="0.25">
      <c r="A310">
        <v>48.183439999999997</v>
      </c>
      <c r="B310" s="1">
        <f>DATE(2010,6,18) + TIME(4,24,9)</f>
        <v>40347.183437500003</v>
      </c>
      <c r="C310">
        <v>80</v>
      </c>
      <c r="D310">
        <v>79.884597778</v>
      </c>
      <c r="E310">
        <v>50</v>
      </c>
      <c r="F310">
        <v>15.203454018</v>
      </c>
      <c r="G310">
        <v>1333.8322754000001</v>
      </c>
      <c r="H310">
        <v>1332.6977539</v>
      </c>
      <c r="I310">
        <v>1328.0457764</v>
      </c>
      <c r="J310">
        <v>1327.0214844</v>
      </c>
      <c r="K310">
        <v>550</v>
      </c>
      <c r="L310">
        <v>0</v>
      </c>
      <c r="M310">
        <v>0</v>
      </c>
      <c r="N310">
        <v>550</v>
      </c>
    </row>
    <row r="311" spans="1:14" x14ac:dyDescent="0.25">
      <c r="A311">
        <v>48.458069000000002</v>
      </c>
      <c r="B311" s="1">
        <f>DATE(2010,6,18) + TIME(10,59,37)</f>
        <v>40347.458067129628</v>
      </c>
      <c r="C311">
        <v>80</v>
      </c>
      <c r="D311">
        <v>79.884590149000005</v>
      </c>
      <c r="E311">
        <v>50</v>
      </c>
      <c r="F311">
        <v>15.217004776</v>
      </c>
      <c r="G311">
        <v>1333.8310547000001</v>
      </c>
      <c r="H311">
        <v>1332.6970214999999</v>
      </c>
      <c r="I311">
        <v>1328.0469971</v>
      </c>
      <c r="J311">
        <v>1327.0219727000001</v>
      </c>
      <c r="K311">
        <v>550</v>
      </c>
      <c r="L311">
        <v>0</v>
      </c>
      <c r="M311">
        <v>0</v>
      </c>
      <c r="N311">
        <v>550</v>
      </c>
    </row>
    <row r="312" spans="1:14" x14ac:dyDescent="0.25">
      <c r="A312">
        <v>48.732697000000002</v>
      </c>
      <c r="B312" s="1">
        <f>DATE(2010,6,18) + TIME(17,35,5)</f>
        <v>40347.73269675926</v>
      </c>
      <c r="C312">
        <v>80</v>
      </c>
      <c r="D312">
        <v>79.884590149000005</v>
      </c>
      <c r="E312">
        <v>50</v>
      </c>
      <c r="F312">
        <v>15.231281280999999</v>
      </c>
      <c r="G312">
        <v>1333.8297118999999</v>
      </c>
      <c r="H312">
        <v>1332.6962891000001</v>
      </c>
      <c r="I312">
        <v>1328.0482178</v>
      </c>
      <c r="J312">
        <v>1327.0224608999999</v>
      </c>
      <c r="K312">
        <v>550</v>
      </c>
      <c r="L312">
        <v>0</v>
      </c>
      <c r="M312">
        <v>0</v>
      </c>
      <c r="N312">
        <v>550</v>
      </c>
    </row>
    <row r="313" spans="1:14" x14ac:dyDescent="0.25">
      <c r="A313">
        <v>49.007325000000002</v>
      </c>
      <c r="B313" s="1">
        <f>DATE(2010,6,19) + TIME(0,10,32)</f>
        <v>40348.007314814815</v>
      </c>
      <c r="C313">
        <v>80</v>
      </c>
      <c r="D313">
        <v>79.884582519999995</v>
      </c>
      <c r="E313">
        <v>50</v>
      </c>
      <c r="F313">
        <v>15.246318817000001</v>
      </c>
      <c r="G313">
        <v>1333.8284911999999</v>
      </c>
      <c r="H313">
        <v>1332.6955565999999</v>
      </c>
      <c r="I313">
        <v>1328.0495605000001</v>
      </c>
      <c r="J313">
        <v>1327.0230713000001</v>
      </c>
      <c r="K313">
        <v>550</v>
      </c>
      <c r="L313">
        <v>0</v>
      </c>
      <c r="M313">
        <v>0</v>
      </c>
      <c r="N313">
        <v>550</v>
      </c>
    </row>
    <row r="314" spans="1:14" x14ac:dyDescent="0.25">
      <c r="A314">
        <v>49.281953999999999</v>
      </c>
      <c r="B314" s="1">
        <f>DATE(2010,6,19) + TIME(6,46,0)</f>
        <v>40348.281944444447</v>
      </c>
      <c r="C314">
        <v>80</v>
      </c>
      <c r="D314">
        <v>79.884582519999995</v>
      </c>
      <c r="E314">
        <v>50</v>
      </c>
      <c r="F314">
        <v>15.262150763999999</v>
      </c>
      <c r="G314">
        <v>1333.8271483999999</v>
      </c>
      <c r="H314">
        <v>1332.6949463000001</v>
      </c>
      <c r="I314">
        <v>1328.0507812000001</v>
      </c>
      <c r="J314">
        <v>1327.0235596</v>
      </c>
      <c r="K314">
        <v>550</v>
      </c>
      <c r="L314">
        <v>0</v>
      </c>
      <c r="M314">
        <v>0</v>
      </c>
      <c r="N314">
        <v>550</v>
      </c>
    </row>
    <row r="315" spans="1:14" x14ac:dyDescent="0.25">
      <c r="A315">
        <v>49.556581999999999</v>
      </c>
      <c r="B315" s="1">
        <f>DATE(2010,6,19) + TIME(13,21,28)</f>
        <v>40348.556574074071</v>
      </c>
      <c r="C315">
        <v>80</v>
      </c>
      <c r="D315">
        <v>79.884574889999996</v>
      </c>
      <c r="E315">
        <v>50</v>
      </c>
      <c r="F315">
        <v>15.278814316</v>
      </c>
      <c r="G315">
        <v>1333.8259277</v>
      </c>
      <c r="H315">
        <v>1332.6942139</v>
      </c>
      <c r="I315">
        <v>1328.052124</v>
      </c>
      <c r="J315">
        <v>1327.0240478999999</v>
      </c>
      <c r="K315">
        <v>550</v>
      </c>
      <c r="L315">
        <v>0</v>
      </c>
      <c r="M315">
        <v>0</v>
      </c>
      <c r="N315">
        <v>550</v>
      </c>
    </row>
    <row r="316" spans="1:14" x14ac:dyDescent="0.25">
      <c r="A316">
        <v>49.831209999999999</v>
      </c>
      <c r="B316" s="1">
        <f>DATE(2010,6,19) + TIME(19,56,56)</f>
        <v>40348.831203703703</v>
      </c>
      <c r="C316">
        <v>80</v>
      </c>
      <c r="D316">
        <v>79.884574889999996</v>
      </c>
      <c r="E316">
        <v>50</v>
      </c>
      <c r="F316">
        <v>15.296346664</v>
      </c>
      <c r="G316">
        <v>1333.824707</v>
      </c>
      <c r="H316">
        <v>1332.6934814000001</v>
      </c>
      <c r="I316">
        <v>1328.0533447</v>
      </c>
      <c r="J316">
        <v>1327.0245361</v>
      </c>
      <c r="K316">
        <v>550</v>
      </c>
      <c r="L316">
        <v>0</v>
      </c>
      <c r="M316">
        <v>0</v>
      </c>
      <c r="N316">
        <v>550</v>
      </c>
    </row>
    <row r="317" spans="1:14" x14ac:dyDescent="0.25">
      <c r="A317">
        <v>50.105839000000003</v>
      </c>
      <c r="B317" s="1">
        <f>DATE(2010,6,20) + TIME(2,32,24)</f>
        <v>40349.105833333335</v>
      </c>
      <c r="C317">
        <v>80</v>
      </c>
      <c r="D317">
        <v>79.884574889999996</v>
      </c>
      <c r="E317">
        <v>50</v>
      </c>
      <c r="F317">
        <v>15.314785004000001</v>
      </c>
      <c r="G317">
        <v>1333.8233643000001</v>
      </c>
      <c r="H317">
        <v>1332.6928711</v>
      </c>
      <c r="I317">
        <v>1328.0546875</v>
      </c>
      <c r="J317">
        <v>1327.0251464999999</v>
      </c>
      <c r="K317">
        <v>550</v>
      </c>
      <c r="L317">
        <v>0</v>
      </c>
      <c r="M317">
        <v>0</v>
      </c>
      <c r="N317">
        <v>550</v>
      </c>
    </row>
    <row r="318" spans="1:14" x14ac:dyDescent="0.25">
      <c r="A318">
        <v>50.380467000000003</v>
      </c>
      <c r="B318" s="1">
        <f>DATE(2010,6,20) + TIME(9,7,52)</f>
        <v>40349.380462962959</v>
      </c>
      <c r="C318">
        <v>80</v>
      </c>
      <c r="D318">
        <v>79.884574889999996</v>
      </c>
      <c r="E318">
        <v>50</v>
      </c>
      <c r="F318">
        <v>15.334169387999999</v>
      </c>
      <c r="G318">
        <v>1333.8221435999999</v>
      </c>
      <c r="H318">
        <v>1332.6921387</v>
      </c>
      <c r="I318">
        <v>1328.0560303</v>
      </c>
      <c r="J318">
        <v>1327.0257568</v>
      </c>
      <c r="K318">
        <v>550</v>
      </c>
      <c r="L318">
        <v>0</v>
      </c>
      <c r="M318">
        <v>0</v>
      </c>
      <c r="N318">
        <v>550</v>
      </c>
    </row>
    <row r="319" spans="1:14" x14ac:dyDescent="0.25">
      <c r="A319">
        <v>50.929724</v>
      </c>
      <c r="B319" s="1">
        <f>DATE(2010,6,20) + TIME(22,18,48)</f>
        <v>40349.929722222223</v>
      </c>
      <c r="C319">
        <v>80</v>
      </c>
      <c r="D319">
        <v>79.884597778</v>
      </c>
      <c r="E319">
        <v>50</v>
      </c>
      <c r="F319">
        <v>15.372004509</v>
      </c>
      <c r="G319">
        <v>1333.8209228999999</v>
      </c>
      <c r="H319">
        <v>1332.6915283000001</v>
      </c>
      <c r="I319">
        <v>1328.0571289</v>
      </c>
      <c r="J319">
        <v>1327.0263672000001</v>
      </c>
      <c r="K319">
        <v>550</v>
      </c>
      <c r="L319">
        <v>0</v>
      </c>
      <c r="M319">
        <v>0</v>
      </c>
      <c r="N319">
        <v>550</v>
      </c>
    </row>
    <row r="320" spans="1:14" x14ac:dyDescent="0.25">
      <c r="A320">
        <v>51.481028999999999</v>
      </c>
      <c r="B320" s="1">
        <f>DATE(2010,6,21) + TIME(11,32,40)</f>
        <v>40350.48101851852</v>
      </c>
      <c r="C320">
        <v>80</v>
      </c>
      <c r="D320">
        <v>79.884613036999994</v>
      </c>
      <c r="E320">
        <v>50</v>
      </c>
      <c r="F320">
        <v>15.414216042</v>
      </c>
      <c r="G320">
        <v>1333.8184814000001</v>
      </c>
      <c r="H320">
        <v>1332.6901855000001</v>
      </c>
      <c r="I320">
        <v>1328.0598144999999</v>
      </c>
      <c r="J320">
        <v>1327.0274658000001</v>
      </c>
      <c r="K320">
        <v>550</v>
      </c>
      <c r="L320">
        <v>0</v>
      </c>
      <c r="M320">
        <v>0</v>
      </c>
      <c r="N320">
        <v>550</v>
      </c>
    </row>
    <row r="321" spans="1:14" x14ac:dyDescent="0.25">
      <c r="A321">
        <v>52.039226999999997</v>
      </c>
      <c r="B321" s="1">
        <f>DATE(2010,6,22) + TIME(0,56,29)</f>
        <v>40351.039224537039</v>
      </c>
      <c r="C321">
        <v>80</v>
      </c>
      <c r="D321">
        <v>79.884628296000002</v>
      </c>
      <c r="E321">
        <v>50</v>
      </c>
      <c r="F321">
        <v>15.461503983</v>
      </c>
      <c r="G321">
        <v>1333.8161620999999</v>
      </c>
      <c r="H321">
        <v>1332.6888428</v>
      </c>
      <c r="I321">
        <v>1328.0626221</v>
      </c>
      <c r="J321">
        <v>1327.0286865</v>
      </c>
      <c r="K321">
        <v>550</v>
      </c>
      <c r="L321">
        <v>0</v>
      </c>
      <c r="M321">
        <v>0</v>
      </c>
      <c r="N321">
        <v>550</v>
      </c>
    </row>
    <row r="322" spans="1:14" x14ac:dyDescent="0.25">
      <c r="A322">
        <v>52.605691999999998</v>
      </c>
      <c r="B322" s="1">
        <f>DATE(2010,6,22) + TIME(14,32,11)</f>
        <v>40351.605682870373</v>
      </c>
      <c r="C322">
        <v>80</v>
      </c>
      <c r="D322">
        <v>79.884635924999998</v>
      </c>
      <c r="E322">
        <v>50</v>
      </c>
      <c r="F322">
        <v>15.514481544000001</v>
      </c>
      <c r="G322">
        <v>1333.8137207</v>
      </c>
      <c r="H322">
        <v>1332.6875</v>
      </c>
      <c r="I322">
        <v>1328.0654297000001</v>
      </c>
      <c r="J322">
        <v>1327.0300293</v>
      </c>
      <c r="K322">
        <v>550</v>
      </c>
      <c r="L322">
        <v>0</v>
      </c>
      <c r="M322">
        <v>0</v>
      </c>
      <c r="N322">
        <v>550</v>
      </c>
    </row>
    <row r="323" spans="1:14" x14ac:dyDescent="0.25">
      <c r="A323">
        <v>53.181905</v>
      </c>
      <c r="B323" s="1">
        <f>DATE(2010,6,23) + TIME(4,21,56)</f>
        <v>40352.181898148148</v>
      </c>
      <c r="C323">
        <v>80</v>
      </c>
      <c r="D323">
        <v>79.884643554999997</v>
      </c>
      <c r="E323">
        <v>50</v>
      </c>
      <c r="F323">
        <v>15.573869705</v>
      </c>
      <c r="G323">
        <v>1333.8114014</v>
      </c>
      <c r="H323">
        <v>1332.6861572</v>
      </c>
      <c r="I323">
        <v>1328.0683594</v>
      </c>
      <c r="J323">
        <v>1327.0313721</v>
      </c>
      <c r="K323">
        <v>550</v>
      </c>
      <c r="L323">
        <v>0</v>
      </c>
      <c r="M323">
        <v>0</v>
      </c>
      <c r="N323">
        <v>550</v>
      </c>
    </row>
    <row r="324" spans="1:14" x14ac:dyDescent="0.25">
      <c r="A324">
        <v>53.769449999999999</v>
      </c>
      <c r="B324" s="1">
        <f>DATE(2010,6,23) + TIME(18,28,0)</f>
        <v>40352.769444444442</v>
      </c>
      <c r="C324">
        <v>80</v>
      </c>
      <c r="D324">
        <v>79.884658813000001</v>
      </c>
      <c r="E324">
        <v>50</v>
      </c>
      <c r="F324">
        <v>15.640511513</v>
      </c>
      <c r="G324">
        <v>1333.8089600000001</v>
      </c>
      <c r="H324">
        <v>1332.6849365</v>
      </c>
      <c r="I324">
        <v>1328.0714111</v>
      </c>
      <c r="J324">
        <v>1327.0328368999999</v>
      </c>
      <c r="K324">
        <v>550</v>
      </c>
      <c r="L324">
        <v>0</v>
      </c>
      <c r="M324">
        <v>0</v>
      </c>
      <c r="N324">
        <v>550</v>
      </c>
    </row>
    <row r="325" spans="1:14" x14ac:dyDescent="0.25">
      <c r="A325">
        <v>54.370032000000002</v>
      </c>
      <c r="B325" s="1">
        <f>DATE(2010,6,24) + TIME(8,52,50)</f>
        <v>40353.370023148149</v>
      </c>
      <c r="C325">
        <v>80</v>
      </c>
      <c r="D325">
        <v>79.884674071999996</v>
      </c>
      <c r="E325">
        <v>50</v>
      </c>
      <c r="F325">
        <v>15.715401649</v>
      </c>
      <c r="G325">
        <v>1333.8065185999999</v>
      </c>
      <c r="H325">
        <v>1332.6835937999999</v>
      </c>
      <c r="I325">
        <v>1328.0744629000001</v>
      </c>
      <c r="J325">
        <v>1327.0344238</v>
      </c>
      <c r="K325">
        <v>550</v>
      </c>
      <c r="L325">
        <v>0</v>
      </c>
      <c r="M325">
        <v>0</v>
      </c>
      <c r="N325">
        <v>550</v>
      </c>
    </row>
    <row r="326" spans="1:14" x14ac:dyDescent="0.25">
      <c r="A326">
        <v>54.98442</v>
      </c>
      <c r="B326" s="1">
        <f>DATE(2010,6,24) + TIME(23,37,33)</f>
        <v>40353.984409722223</v>
      </c>
      <c r="C326">
        <v>80</v>
      </c>
      <c r="D326">
        <v>79.884681701999995</v>
      </c>
      <c r="E326">
        <v>50</v>
      </c>
      <c r="F326">
        <v>15.799582481</v>
      </c>
      <c r="G326">
        <v>1333.8040771000001</v>
      </c>
      <c r="H326">
        <v>1332.682251</v>
      </c>
      <c r="I326">
        <v>1328.0777588000001</v>
      </c>
      <c r="J326">
        <v>1327.0361327999999</v>
      </c>
      <c r="K326">
        <v>550</v>
      </c>
      <c r="L326">
        <v>0</v>
      </c>
      <c r="M326">
        <v>0</v>
      </c>
      <c r="N326">
        <v>550</v>
      </c>
    </row>
    <row r="327" spans="1:14" x14ac:dyDescent="0.25">
      <c r="A327">
        <v>55.610368999999999</v>
      </c>
      <c r="B327" s="1">
        <f>DATE(2010,6,25) + TIME(14,38,55)</f>
        <v>40354.610358796293</v>
      </c>
      <c r="C327">
        <v>80</v>
      </c>
      <c r="D327">
        <v>79.884696959999999</v>
      </c>
      <c r="E327">
        <v>50</v>
      </c>
      <c r="F327">
        <v>15.893855094999999</v>
      </c>
      <c r="G327">
        <v>1333.8016356999999</v>
      </c>
      <c r="H327">
        <v>1332.6809082</v>
      </c>
      <c r="I327">
        <v>1328.0810547000001</v>
      </c>
      <c r="J327">
        <v>1327.0379639</v>
      </c>
      <c r="K327">
        <v>550</v>
      </c>
      <c r="L327">
        <v>0</v>
      </c>
      <c r="M327">
        <v>0</v>
      </c>
      <c r="N327">
        <v>550</v>
      </c>
    </row>
    <row r="328" spans="1:14" x14ac:dyDescent="0.25">
      <c r="A328">
        <v>55.925396999999997</v>
      </c>
      <c r="B328" s="1">
        <f>DATE(2010,6,25) + TIME(22,12,34)</f>
        <v>40354.925393518519</v>
      </c>
      <c r="C328">
        <v>80</v>
      </c>
      <c r="D328">
        <v>79.884689331000004</v>
      </c>
      <c r="E328">
        <v>50</v>
      </c>
      <c r="F328">
        <v>15.950748444</v>
      </c>
      <c r="G328">
        <v>1333.7993164</v>
      </c>
      <c r="H328">
        <v>1332.6795654</v>
      </c>
      <c r="I328">
        <v>1328.0850829999999</v>
      </c>
      <c r="J328">
        <v>1327.0396728999999</v>
      </c>
      <c r="K328">
        <v>550</v>
      </c>
      <c r="L328">
        <v>0</v>
      </c>
      <c r="M328">
        <v>0</v>
      </c>
      <c r="N328">
        <v>550</v>
      </c>
    </row>
    <row r="329" spans="1:14" x14ac:dyDescent="0.25">
      <c r="A329">
        <v>56.240425000000002</v>
      </c>
      <c r="B329" s="1">
        <f>DATE(2010,6,26) + TIME(5,46,12)</f>
        <v>40355.240416666667</v>
      </c>
      <c r="C329">
        <v>80</v>
      </c>
      <c r="D329">
        <v>79.884689331000004</v>
      </c>
      <c r="E329">
        <v>50</v>
      </c>
      <c r="F329">
        <v>16.010028839</v>
      </c>
      <c r="G329">
        <v>1333.7980957</v>
      </c>
      <c r="H329">
        <v>1332.6789550999999</v>
      </c>
      <c r="I329">
        <v>1328.0867920000001</v>
      </c>
      <c r="J329">
        <v>1327.0407714999999</v>
      </c>
      <c r="K329">
        <v>550</v>
      </c>
      <c r="L329">
        <v>0</v>
      </c>
      <c r="M329">
        <v>0</v>
      </c>
      <c r="N329">
        <v>550</v>
      </c>
    </row>
    <row r="330" spans="1:14" x14ac:dyDescent="0.25">
      <c r="A330">
        <v>56.555453999999997</v>
      </c>
      <c r="B330" s="1">
        <f>DATE(2010,6,26) + TIME(13,19,51)</f>
        <v>40355.555451388886</v>
      </c>
      <c r="C330">
        <v>80</v>
      </c>
      <c r="D330">
        <v>79.884689331000004</v>
      </c>
      <c r="E330">
        <v>50</v>
      </c>
      <c r="F330">
        <v>16.071802138999999</v>
      </c>
      <c r="G330">
        <v>1333.796875</v>
      </c>
      <c r="H330">
        <v>1332.6782227000001</v>
      </c>
      <c r="I330">
        <v>1328.0886230000001</v>
      </c>
      <c r="J330">
        <v>1327.0418701000001</v>
      </c>
      <c r="K330">
        <v>550</v>
      </c>
      <c r="L330">
        <v>0</v>
      </c>
      <c r="M330">
        <v>0</v>
      </c>
      <c r="N330">
        <v>550</v>
      </c>
    </row>
    <row r="331" spans="1:14" x14ac:dyDescent="0.25">
      <c r="A331">
        <v>56.870482000000003</v>
      </c>
      <c r="B331" s="1">
        <f>DATE(2010,6,26) + TIME(20,53,29)</f>
        <v>40355.870474537034</v>
      </c>
      <c r="C331">
        <v>80</v>
      </c>
      <c r="D331">
        <v>79.884696959999999</v>
      </c>
      <c r="E331">
        <v>50</v>
      </c>
      <c r="F331">
        <v>16.136167526000001</v>
      </c>
      <c r="G331">
        <v>1333.7956543</v>
      </c>
      <c r="H331">
        <v>1332.6776123</v>
      </c>
      <c r="I331">
        <v>1328.090332</v>
      </c>
      <c r="J331">
        <v>1327.0429687999999</v>
      </c>
      <c r="K331">
        <v>550</v>
      </c>
      <c r="L331">
        <v>0</v>
      </c>
      <c r="M331">
        <v>0</v>
      </c>
      <c r="N331">
        <v>550</v>
      </c>
    </row>
    <row r="332" spans="1:14" x14ac:dyDescent="0.25">
      <c r="A332">
        <v>57.185510000000001</v>
      </c>
      <c r="B332" s="1">
        <f>DATE(2010,6,27) + TIME(4,27,8)</f>
        <v>40356.18550925926</v>
      </c>
      <c r="C332">
        <v>80</v>
      </c>
      <c r="D332">
        <v>79.884696959999999</v>
      </c>
      <c r="E332">
        <v>50</v>
      </c>
      <c r="F332">
        <v>16.203227996999999</v>
      </c>
      <c r="G332">
        <v>1333.7944336</v>
      </c>
      <c r="H332">
        <v>1332.6768798999999</v>
      </c>
      <c r="I332">
        <v>1328.0921631000001</v>
      </c>
      <c r="J332">
        <v>1327.0441894999999</v>
      </c>
      <c r="K332">
        <v>550</v>
      </c>
      <c r="L332">
        <v>0</v>
      </c>
      <c r="M332">
        <v>0</v>
      </c>
      <c r="N332">
        <v>550</v>
      </c>
    </row>
    <row r="333" spans="1:14" x14ac:dyDescent="0.25">
      <c r="A333">
        <v>57.500539000000003</v>
      </c>
      <c r="B333" s="1">
        <f>DATE(2010,6,27) + TIME(12,0,46)</f>
        <v>40356.500532407408</v>
      </c>
      <c r="C333">
        <v>80</v>
      </c>
      <c r="D333">
        <v>79.884704589999998</v>
      </c>
      <c r="E333">
        <v>50</v>
      </c>
      <c r="F333">
        <v>16.273080826000001</v>
      </c>
      <c r="G333">
        <v>1333.7932129000001</v>
      </c>
      <c r="H333">
        <v>1332.6762695</v>
      </c>
      <c r="I333">
        <v>1328.0939940999999</v>
      </c>
      <c r="J333">
        <v>1327.0452881000001</v>
      </c>
      <c r="K333">
        <v>550</v>
      </c>
      <c r="L333">
        <v>0</v>
      </c>
      <c r="M333">
        <v>0</v>
      </c>
      <c r="N333">
        <v>550</v>
      </c>
    </row>
    <row r="334" spans="1:14" x14ac:dyDescent="0.25">
      <c r="A334">
        <v>57.815567000000001</v>
      </c>
      <c r="B334" s="1">
        <f>DATE(2010,6,27) + TIME(19,34,24)</f>
        <v>40356.815555555557</v>
      </c>
      <c r="C334">
        <v>80</v>
      </c>
      <c r="D334">
        <v>79.884712218999994</v>
      </c>
      <c r="E334">
        <v>50</v>
      </c>
      <c r="F334">
        <v>16.345823287999998</v>
      </c>
      <c r="G334">
        <v>1333.7921143000001</v>
      </c>
      <c r="H334">
        <v>1332.6755370999999</v>
      </c>
      <c r="I334">
        <v>1328.0957031</v>
      </c>
      <c r="J334">
        <v>1327.0465088000001</v>
      </c>
      <c r="K334">
        <v>550</v>
      </c>
      <c r="L334">
        <v>0</v>
      </c>
      <c r="M334">
        <v>0</v>
      </c>
      <c r="N334">
        <v>550</v>
      </c>
    </row>
    <row r="335" spans="1:14" x14ac:dyDescent="0.25">
      <c r="A335">
        <v>58.130595</v>
      </c>
      <c r="B335" s="1">
        <f>DATE(2010,6,28) + TIME(3,8,3)</f>
        <v>40357.130590277775</v>
      </c>
      <c r="C335">
        <v>80</v>
      </c>
      <c r="D335">
        <v>79.884719849000007</v>
      </c>
      <c r="E335">
        <v>50</v>
      </c>
      <c r="F335">
        <v>16.421554565000001</v>
      </c>
      <c r="G335">
        <v>1333.7908935999999</v>
      </c>
      <c r="H335">
        <v>1332.6749268000001</v>
      </c>
      <c r="I335">
        <v>1328.0975341999999</v>
      </c>
      <c r="J335">
        <v>1327.0477295000001</v>
      </c>
      <c r="K335">
        <v>550</v>
      </c>
      <c r="L335">
        <v>0</v>
      </c>
      <c r="M335">
        <v>0</v>
      </c>
      <c r="N335">
        <v>550</v>
      </c>
    </row>
    <row r="336" spans="1:14" x14ac:dyDescent="0.25">
      <c r="A336">
        <v>58.445624000000002</v>
      </c>
      <c r="B336" s="1">
        <f>DATE(2010,6,28) + TIME(10,41,41)</f>
        <v>40357.445613425924</v>
      </c>
      <c r="C336">
        <v>80</v>
      </c>
      <c r="D336">
        <v>79.884735106999997</v>
      </c>
      <c r="E336">
        <v>50</v>
      </c>
      <c r="F336">
        <v>16.500368118000001</v>
      </c>
      <c r="G336">
        <v>1333.7897949000001</v>
      </c>
      <c r="H336">
        <v>1332.6743164</v>
      </c>
      <c r="I336">
        <v>1328.0993652</v>
      </c>
      <c r="J336">
        <v>1327.0490723</v>
      </c>
      <c r="K336">
        <v>550</v>
      </c>
      <c r="L336">
        <v>0</v>
      </c>
      <c r="M336">
        <v>0</v>
      </c>
      <c r="N336">
        <v>550</v>
      </c>
    </row>
    <row r="337" spans="1:14" x14ac:dyDescent="0.25">
      <c r="A337">
        <v>58.760652</v>
      </c>
      <c r="B337" s="1">
        <f>DATE(2010,6,28) + TIME(18,15,20)</f>
        <v>40357.760648148149</v>
      </c>
      <c r="C337">
        <v>80</v>
      </c>
      <c r="D337">
        <v>79.884742736999996</v>
      </c>
      <c r="E337">
        <v>50</v>
      </c>
      <c r="F337">
        <v>16.58234787</v>
      </c>
      <c r="G337">
        <v>1333.7885742000001</v>
      </c>
      <c r="H337">
        <v>1332.6735839999999</v>
      </c>
      <c r="I337">
        <v>1328.1011963000001</v>
      </c>
      <c r="J337">
        <v>1327.0504149999999</v>
      </c>
      <c r="K337">
        <v>550</v>
      </c>
      <c r="L337">
        <v>0</v>
      </c>
      <c r="M337">
        <v>0</v>
      </c>
      <c r="N337">
        <v>550</v>
      </c>
    </row>
    <row r="338" spans="1:14" x14ac:dyDescent="0.25">
      <c r="A338">
        <v>59.075679999999998</v>
      </c>
      <c r="B338" s="1">
        <f>DATE(2010,6,29) + TIME(1,48,58)</f>
        <v>40358.075671296298</v>
      </c>
      <c r="C338">
        <v>80</v>
      </c>
      <c r="D338">
        <v>79.884750366000006</v>
      </c>
      <c r="E338">
        <v>50</v>
      </c>
      <c r="F338">
        <v>16.667583466</v>
      </c>
      <c r="G338">
        <v>1333.7874756000001</v>
      </c>
      <c r="H338">
        <v>1332.6729736</v>
      </c>
      <c r="I338">
        <v>1328.1030272999999</v>
      </c>
      <c r="J338">
        <v>1327.0517577999999</v>
      </c>
      <c r="K338">
        <v>550</v>
      </c>
      <c r="L338">
        <v>0</v>
      </c>
      <c r="M338">
        <v>0</v>
      </c>
      <c r="N338">
        <v>550</v>
      </c>
    </row>
    <row r="339" spans="1:14" x14ac:dyDescent="0.25">
      <c r="A339">
        <v>59.390709000000001</v>
      </c>
      <c r="B339" s="1">
        <f>DATE(2010,6,29) + TIME(9,22,37)</f>
        <v>40358.390706018516</v>
      </c>
      <c r="C339">
        <v>80</v>
      </c>
      <c r="D339">
        <v>79.884765625</v>
      </c>
      <c r="E339">
        <v>50</v>
      </c>
      <c r="F339">
        <v>16.756168365000001</v>
      </c>
      <c r="G339">
        <v>1333.7862548999999</v>
      </c>
      <c r="H339">
        <v>1332.6723632999999</v>
      </c>
      <c r="I339">
        <v>1328.1048584</v>
      </c>
      <c r="J339">
        <v>1327.0531006000001</v>
      </c>
      <c r="K339">
        <v>550</v>
      </c>
      <c r="L339">
        <v>0</v>
      </c>
      <c r="M339">
        <v>0</v>
      </c>
      <c r="N339">
        <v>550</v>
      </c>
    </row>
    <row r="340" spans="1:14" x14ac:dyDescent="0.25">
      <c r="A340">
        <v>59.705736999999999</v>
      </c>
      <c r="B340" s="1">
        <f>DATE(2010,6,29) + TIME(16,56,15)</f>
        <v>40358.705729166664</v>
      </c>
      <c r="C340">
        <v>80</v>
      </c>
      <c r="D340">
        <v>79.884773253999995</v>
      </c>
      <c r="E340">
        <v>50</v>
      </c>
      <c r="F340">
        <v>16.848186493</v>
      </c>
      <c r="G340">
        <v>1333.7851562000001</v>
      </c>
      <c r="H340">
        <v>1332.6717529</v>
      </c>
      <c r="I340">
        <v>1328.1066894999999</v>
      </c>
      <c r="J340">
        <v>1327.0544434000001</v>
      </c>
      <c r="K340">
        <v>550</v>
      </c>
      <c r="L340">
        <v>0</v>
      </c>
      <c r="M340">
        <v>0</v>
      </c>
      <c r="N340">
        <v>550</v>
      </c>
    </row>
    <row r="341" spans="1:14" x14ac:dyDescent="0.25">
      <c r="A341">
        <v>60.335794</v>
      </c>
      <c r="B341" s="1">
        <f>DATE(2010,6,30) + TIME(8,3,32)</f>
        <v>40359.335787037038</v>
      </c>
      <c r="C341">
        <v>80</v>
      </c>
      <c r="D341">
        <v>79.884826660000002</v>
      </c>
      <c r="E341">
        <v>50</v>
      </c>
      <c r="F341">
        <v>17.023080826000001</v>
      </c>
      <c r="G341">
        <v>1333.7840576000001</v>
      </c>
      <c r="H341">
        <v>1332.6711425999999</v>
      </c>
      <c r="I341">
        <v>1328.1076660000001</v>
      </c>
      <c r="J341">
        <v>1327.0562743999999</v>
      </c>
      <c r="K341">
        <v>550</v>
      </c>
      <c r="L341">
        <v>0</v>
      </c>
      <c r="M341">
        <v>0</v>
      </c>
      <c r="N341">
        <v>550</v>
      </c>
    </row>
    <row r="342" spans="1:14" x14ac:dyDescent="0.25">
      <c r="A342">
        <v>60.667897000000004</v>
      </c>
      <c r="B342" s="1">
        <f>DATE(2010,6,30) + TIME(16,1,46)</f>
        <v>40359.667893518519</v>
      </c>
      <c r="C342">
        <v>80</v>
      </c>
      <c r="D342">
        <v>79.884834290000001</v>
      </c>
      <c r="E342">
        <v>50</v>
      </c>
      <c r="F342">
        <v>17.132516860999999</v>
      </c>
      <c r="G342">
        <v>1333.7818603999999</v>
      </c>
      <c r="H342">
        <v>1332.6697998</v>
      </c>
      <c r="I342">
        <v>1328.1123047000001</v>
      </c>
      <c r="J342">
        <v>1327.0588379000001</v>
      </c>
      <c r="K342">
        <v>550</v>
      </c>
      <c r="L342">
        <v>0</v>
      </c>
      <c r="M342">
        <v>0</v>
      </c>
      <c r="N342">
        <v>550</v>
      </c>
    </row>
    <row r="343" spans="1:14" x14ac:dyDescent="0.25">
      <c r="A343">
        <v>61</v>
      </c>
      <c r="B343" s="1">
        <f>DATE(2010,7,1) + TIME(0,0,0)</f>
        <v>40360</v>
      </c>
      <c r="C343">
        <v>80</v>
      </c>
      <c r="D343">
        <v>79.884841918999996</v>
      </c>
      <c r="E343">
        <v>50</v>
      </c>
      <c r="F343">
        <v>17.246007919</v>
      </c>
      <c r="G343">
        <v>1333.7806396000001</v>
      </c>
      <c r="H343">
        <v>1332.6691894999999</v>
      </c>
      <c r="I343">
        <v>1328.1142577999999</v>
      </c>
      <c r="J343">
        <v>1327.0605469</v>
      </c>
      <c r="K343">
        <v>550</v>
      </c>
      <c r="L343">
        <v>0</v>
      </c>
      <c r="M343">
        <v>0</v>
      </c>
      <c r="N343">
        <v>550</v>
      </c>
    </row>
    <row r="344" spans="1:14" x14ac:dyDescent="0.25">
      <c r="A344">
        <v>61.326383999999997</v>
      </c>
      <c r="B344" s="1">
        <f>DATE(2010,7,1) + TIME(7,49,59)</f>
        <v>40360.326377314814</v>
      </c>
      <c r="C344">
        <v>80</v>
      </c>
      <c r="D344">
        <v>79.884857178000004</v>
      </c>
      <c r="E344">
        <v>50</v>
      </c>
      <c r="F344">
        <v>17.361820220999999</v>
      </c>
      <c r="G344">
        <v>1333.7795410000001</v>
      </c>
      <c r="H344">
        <v>1332.6685791</v>
      </c>
      <c r="I344">
        <v>1328.1162108999999</v>
      </c>
      <c r="J344">
        <v>1327.0622559000001</v>
      </c>
      <c r="K344">
        <v>550</v>
      </c>
      <c r="L344">
        <v>0</v>
      </c>
      <c r="M344">
        <v>0</v>
      </c>
      <c r="N344">
        <v>550</v>
      </c>
    </row>
    <row r="345" spans="1:14" x14ac:dyDescent="0.25">
      <c r="A345">
        <v>61.979152999999997</v>
      </c>
      <c r="B345" s="1">
        <f>DATE(2010,7,1) + TIME(23,29,58)</f>
        <v>40360.979143518518</v>
      </c>
      <c r="C345">
        <v>80</v>
      </c>
      <c r="D345">
        <v>79.884902953999998</v>
      </c>
      <c r="E345">
        <v>50</v>
      </c>
      <c r="F345">
        <v>17.580419540000001</v>
      </c>
      <c r="G345">
        <v>1333.7783202999999</v>
      </c>
      <c r="H345">
        <v>1332.6679687999999</v>
      </c>
      <c r="I345">
        <v>1328.1170654</v>
      </c>
      <c r="J345">
        <v>1327.0643310999999</v>
      </c>
      <c r="K345">
        <v>550</v>
      </c>
      <c r="L345">
        <v>0</v>
      </c>
      <c r="M345">
        <v>0</v>
      </c>
      <c r="N345">
        <v>550</v>
      </c>
    </row>
    <row r="346" spans="1:14" x14ac:dyDescent="0.25">
      <c r="A346">
        <v>62.635936999999998</v>
      </c>
      <c r="B346" s="1">
        <f>DATE(2010,7,2) + TIME(15,15,44)</f>
        <v>40361.635925925926</v>
      </c>
      <c r="C346">
        <v>80</v>
      </c>
      <c r="D346">
        <v>79.884941100999995</v>
      </c>
      <c r="E346">
        <v>50</v>
      </c>
      <c r="F346">
        <v>17.819253922000001</v>
      </c>
      <c r="G346">
        <v>1333.7761230000001</v>
      </c>
      <c r="H346">
        <v>1332.6667480000001</v>
      </c>
      <c r="I346">
        <v>1328.1209716999999</v>
      </c>
      <c r="J346">
        <v>1327.067749</v>
      </c>
      <c r="K346">
        <v>550</v>
      </c>
      <c r="L346">
        <v>0</v>
      </c>
      <c r="M346">
        <v>0</v>
      </c>
      <c r="N346">
        <v>550</v>
      </c>
    </row>
    <row r="347" spans="1:14" x14ac:dyDescent="0.25">
      <c r="A347">
        <v>63.306100999999998</v>
      </c>
      <c r="B347" s="1">
        <f>DATE(2010,7,3) + TIME(7,20,47)</f>
        <v>40362.30609953704</v>
      </c>
      <c r="C347">
        <v>80</v>
      </c>
      <c r="D347">
        <v>79.884986877000003</v>
      </c>
      <c r="E347">
        <v>50</v>
      </c>
      <c r="F347">
        <v>18.081853867</v>
      </c>
      <c r="G347">
        <v>1333.7739257999999</v>
      </c>
      <c r="H347">
        <v>1332.6654053</v>
      </c>
      <c r="I347">
        <v>1328.1247559000001</v>
      </c>
      <c r="J347">
        <v>1327.0712891000001</v>
      </c>
      <c r="K347">
        <v>550</v>
      </c>
      <c r="L347">
        <v>0</v>
      </c>
      <c r="M347">
        <v>0</v>
      </c>
      <c r="N347">
        <v>550</v>
      </c>
    </row>
    <row r="348" spans="1:14" x14ac:dyDescent="0.25">
      <c r="A348">
        <v>63.991605</v>
      </c>
      <c r="B348" s="1">
        <f>DATE(2010,7,3) + TIME(23,47,54)</f>
        <v>40362.991597222222</v>
      </c>
      <c r="C348">
        <v>80</v>
      </c>
      <c r="D348">
        <v>79.885025024000001</v>
      </c>
      <c r="E348">
        <v>50</v>
      </c>
      <c r="F348">
        <v>18.370243073000001</v>
      </c>
      <c r="G348">
        <v>1333.7717285000001</v>
      </c>
      <c r="H348">
        <v>1332.6641846</v>
      </c>
      <c r="I348">
        <v>1328.1286620999999</v>
      </c>
      <c r="J348">
        <v>1327.0753173999999</v>
      </c>
      <c r="K348">
        <v>550</v>
      </c>
      <c r="L348">
        <v>0</v>
      </c>
      <c r="M348">
        <v>0</v>
      </c>
      <c r="N348">
        <v>550</v>
      </c>
    </row>
    <row r="349" spans="1:14" x14ac:dyDescent="0.25">
      <c r="A349">
        <v>64.691846999999996</v>
      </c>
      <c r="B349" s="1">
        <f>DATE(2010,7,4) + TIME(16,36,15)</f>
        <v>40363.691840277781</v>
      </c>
      <c r="C349">
        <v>80</v>
      </c>
      <c r="D349">
        <v>79.885063170999999</v>
      </c>
      <c r="E349">
        <v>50</v>
      </c>
      <c r="F349">
        <v>18.685716629000002</v>
      </c>
      <c r="G349">
        <v>1333.7695312000001</v>
      </c>
      <c r="H349">
        <v>1332.6629639</v>
      </c>
      <c r="I349">
        <v>1328.1326904</v>
      </c>
      <c r="J349">
        <v>1327.0794678</v>
      </c>
      <c r="K349">
        <v>550</v>
      </c>
      <c r="L349">
        <v>0</v>
      </c>
      <c r="M349">
        <v>0</v>
      </c>
      <c r="N349">
        <v>550</v>
      </c>
    </row>
    <row r="350" spans="1:14" x14ac:dyDescent="0.25">
      <c r="A350">
        <v>65.397726000000006</v>
      </c>
      <c r="B350" s="1">
        <f>DATE(2010,7,5) + TIME(9,32,43)</f>
        <v>40364.397719907407</v>
      </c>
      <c r="C350">
        <v>80</v>
      </c>
      <c r="D350">
        <v>79.885101317999997</v>
      </c>
      <c r="E350">
        <v>50</v>
      </c>
      <c r="F350">
        <v>19.026138306</v>
      </c>
      <c r="G350">
        <v>1333.7672118999999</v>
      </c>
      <c r="H350">
        <v>1332.6616211</v>
      </c>
      <c r="I350">
        <v>1328.1367187999999</v>
      </c>
      <c r="J350">
        <v>1327.0839844</v>
      </c>
      <c r="K350">
        <v>550</v>
      </c>
      <c r="L350">
        <v>0</v>
      </c>
      <c r="M350">
        <v>0</v>
      </c>
      <c r="N350">
        <v>550</v>
      </c>
    </row>
    <row r="351" spans="1:14" x14ac:dyDescent="0.25">
      <c r="A351">
        <v>66.111239999999995</v>
      </c>
      <c r="B351" s="1">
        <f>DATE(2010,7,6) + TIME(2,40,11)</f>
        <v>40365.111238425925</v>
      </c>
      <c r="C351">
        <v>80</v>
      </c>
      <c r="D351">
        <v>79.885147094999994</v>
      </c>
      <c r="E351">
        <v>50</v>
      </c>
      <c r="F351">
        <v>19.392782211</v>
      </c>
      <c r="G351">
        <v>1333.7650146000001</v>
      </c>
      <c r="H351">
        <v>1332.6604004000001</v>
      </c>
      <c r="I351">
        <v>1328.1407471</v>
      </c>
      <c r="J351">
        <v>1327.0888672000001</v>
      </c>
      <c r="K351">
        <v>550</v>
      </c>
      <c r="L351">
        <v>0</v>
      </c>
      <c r="M351">
        <v>0</v>
      </c>
      <c r="N351">
        <v>550</v>
      </c>
    </row>
    <row r="352" spans="1:14" x14ac:dyDescent="0.25">
      <c r="A352">
        <v>66.471751999999995</v>
      </c>
      <c r="B352" s="1">
        <f>DATE(2010,7,6) + TIME(11,19,19)</f>
        <v>40365.471747685187</v>
      </c>
      <c r="C352">
        <v>80</v>
      </c>
      <c r="D352">
        <v>79.885154724000003</v>
      </c>
      <c r="E352">
        <v>50</v>
      </c>
      <c r="F352">
        <v>19.611373901</v>
      </c>
      <c r="G352">
        <v>1333.7628173999999</v>
      </c>
      <c r="H352">
        <v>1332.6591797000001</v>
      </c>
      <c r="I352">
        <v>1328.1466064000001</v>
      </c>
      <c r="J352">
        <v>1327.0933838000001</v>
      </c>
      <c r="K352">
        <v>550</v>
      </c>
      <c r="L352">
        <v>0</v>
      </c>
      <c r="M352">
        <v>0</v>
      </c>
      <c r="N352">
        <v>550</v>
      </c>
    </row>
    <row r="353" spans="1:14" x14ac:dyDescent="0.25">
      <c r="A353">
        <v>66.830995999999999</v>
      </c>
      <c r="B353" s="1">
        <f>DATE(2010,7,6) + TIME(19,56,38)</f>
        <v>40365.830995370372</v>
      </c>
      <c r="C353">
        <v>80</v>
      </c>
      <c r="D353">
        <v>79.885162354000002</v>
      </c>
      <c r="E353">
        <v>50</v>
      </c>
      <c r="F353">
        <v>19.833356856999998</v>
      </c>
      <c r="G353">
        <v>1333.7617187999999</v>
      </c>
      <c r="H353">
        <v>1332.6584473</v>
      </c>
      <c r="I353">
        <v>1328.1485596</v>
      </c>
      <c r="J353">
        <v>1327.0961914</v>
      </c>
      <c r="K353">
        <v>550</v>
      </c>
      <c r="L353">
        <v>0</v>
      </c>
      <c r="M353">
        <v>0</v>
      </c>
      <c r="N353">
        <v>550</v>
      </c>
    </row>
    <row r="354" spans="1:14" x14ac:dyDescent="0.25">
      <c r="A354">
        <v>67.189815999999993</v>
      </c>
      <c r="B354" s="1">
        <f>DATE(2010,7,7) + TIME(4,33,20)</f>
        <v>40366.189814814818</v>
      </c>
      <c r="C354">
        <v>80</v>
      </c>
      <c r="D354">
        <v>79.885177612000007</v>
      </c>
      <c r="E354">
        <v>50</v>
      </c>
      <c r="F354">
        <v>20.059310913000001</v>
      </c>
      <c r="G354">
        <v>1333.7606201000001</v>
      </c>
      <c r="H354">
        <v>1332.6578368999999</v>
      </c>
      <c r="I354">
        <v>1328.1503906</v>
      </c>
      <c r="J354">
        <v>1327.0991211</v>
      </c>
      <c r="K354">
        <v>550</v>
      </c>
      <c r="L354">
        <v>0</v>
      </c>
      <c r="M354">
        <v>0</v>
      </c>
      <c r="N354">
        <v>550</v>
      </c>
    </row>
    <row r="355" spans="1:14" x14ac:dyDescent="0.25">
      <c r="A355">
        <v>67.548478000000003</v>
      </c>
      <c r="B355" s="1">
        <f>DATE(2010,7,7) + TIME(13,9,48)</f>
        <v>40366.548472222225</v>
      </c>
      <c r="C355">
        <v>80</v>
      </c>
      <c r="D355">
        <v>79.885200499999996</v>
      </c>
      <c r="E355">
        <v>50</v>
      </c>
      <c r="F355">
        <v>20.28956604</v>
      </c>
      <c r="G355">
        <v>1333.7595214999999</v>
      </c>
      <c r="H355">
        <v>1332.6572266000001</v>
      </c>
      <c r="I355">
        <v>1328.1523437999999</v>
      </c>
      <c r="J355">
        <v>1327.1020507999999</v>
      </c>
      <c r="K355">
        <v>550</v>
      </c>
      <c r="L355">
        <v>0</v>
      </c>
      <c r="M355">
        <v>0</v>
      </c>
      <c r="N355">
        <v>550</v>
      </c>
    </row>
    <row r="356" spans="1:14" x14ac:dyDescent="0.25">
      <c r="A356">
        <v>67.907140999999996</v>
      </c>
      <c r="B356" s="1">
        <f>DATE(2010,7,7) + TIME(21,46,16)</f>
        <v>40366.907129629632</v>
      </c>
      <c r="C356">
        <v>80</v>
      </c>
      <c r="D356">
        <v>79.885215759000005</v>
      </c>
      <c r="E356">
        <v>50</v>
      </c>
      <c r="F356">
        <v>20.524103165</v>
      </c>
      <c r="G356">
        <v>1333.7584228999999</v>
      </c>
      <c r="H356">
        <v>1332.6566161999999</v>
      </c>
      <c r="I356">
        <v>1328.1541748</v>
      </c>
      <c r="J356">
        <v>1327.1049805</v>
      </c>
      <c r="K356">
        <v>550</v>
      </c>
      <c r="L356">
        <v>0</v>
      </c>
      <c r="M356">
        <v>0</v>
      </c>
      <c r="N356">
        <v>550</v>
      </c>
    </row>
    <row r="357" spans="1:14" x14ac:dyDescent="0.25">
      <c r="A357">
        <v>68.265803000000005</v>
      </c>
      <c r="B357" s="1">
        <f>DATE(2010,7,8) + TIME(6,22,45)</f>
        <v>40367.265798611108</v>
      </c>
      <c r="C357">
        <v>80</v>
      </c>
      <c r="D357">
        <v>79.885238646999994</v>
      </c>
      <c r="E357">
        <v>50</v>
      </c>
      <c r="F357">
        <v>20.762947083</v>
      </c>
      <c r="G357">
        <v>1333.7573242000001</v>
      </c>
      <c r="H357">
        <v>1332.6560059000001</v>
      </c>
      <c r="I357">
        <v>1328.1561279</v>
      </c>
      <c r="J357">
        <v>1327.1080322</v>
      </c>
      <c r="K357">
        <v>550</v>
      </c>
      <c r="L357">
        <v>0</v>
      </c>
      <c r="M357">
        <v>0</v>
      </c>
      <c r="N357">
        <v>550</v>
      </c>
    </row>
    <row r="358" spans="1:14" x14ac:dyDescent="0.25">
      <c r="A358">
        <v>68.624465000000001</v>
      </c>
      <c r="B358" s="1">
        <f>DATE(2010,7,8) + TIME(14,59,13)</f>
        <v>40367.624456018515</v>
      </c>
      <c r="C358">
        <v>80</v>
      </c>
      <c r="D358">
        <v>79.885261536000002</v>
      </c>
      <c r="E358">
        <v>50</v>
      </c>
      <c r="F358">
        <v>21.006093978999999</v>
      </c>
      <c r="G358">
        <v>1333.7562256000001</v>
      </c>
      <c r="H358">
        <v>1332.6553954999999</v>
      </c>
      <c r="I358">
        <v>1328.1579589999999</v>
      </c>
      <c r="J358">
        <v>1327.1112060999999</v>
      </c>
      <c r="K358">
        <v>550</v>
      </c>
      <c r="L358">
        <v>0</v>
      </c>
      <c r="M358">
        <v>0</v>
      </c>
      <c r="N358">
        <v>550</v>
      </c>
    </row>
    <row r="359" spans="1:14" x14ac:dyDescent="0.25">
      <c r="A359">
        <v>69.341790000000003</v>
      </c>
      <c r="B359" s="1">
        <f>DATE(2010,7,9) + TIME(8,12,10)</f>
        <v>40368.341782407406</v>
      </c>
      <c r="C359">
        <v>80</v>
      </c>
      <c r="D359">
        <v>79.885330199999999</v>
      </c>
      <c r="E359">
        <v>50</v>
      </c>
      <c r="F359">
        <v>21.450084686</v>
      </c>
      <c r="G359">
        <v>1333.7551269999999</v>
      </c>
      <c r="H359">
        <v>1332.6547852000001</v>
      </c>
      <c r="I359">
        <v>1328.1578368999999</v>
      </c>
      <c r="J359">
        <v>1327.1149902</v>
      </c>
      <c r="K359">
        <v>550</v>
      </c>
      <c r="L359">
        <v>0</v>
      </c>
      <c r="M359">
        <v>0</v>
      </c>
      <c r="N359">
        <v>550</v>
      </c>
    </row>
    <row r="360" spans="1:14" x14ac:dyDescent="0.25">
      <c r="A360">
        <v>70.060177999999993</v>
      </c>
      <c r="B360" s="1">
        <f>DATE(2010,7,10) + TIME(1,26,39)</f>
        <v>40369.060173611113</v>
      </c>
      <c r="C360">
        <v>80</v>
      </c>
      <c r="D360">
        <v>79.885383606000005</v>
      </c>
      <c r="E360">
        <v>50</v>
      </c>
      <c r="F360">
        <v>21.920263290000001</v>
      </c>
      <c r="G360">
        <v>1333.7530518000001</v>
      </c>
      <c r="H360">
        <v>1332.6535644999999</v>
      </c>
      <c r="I360">
        <v>1328.1618652</v>
      </c>
      <c r="J360">
        <v>1327.1210937999999</v>
      </c>
      <c r="K360">
        <v>550</v>
      </c>
      <c r="L360">
        <v>0</v>
      </c>
      <c r="M360">
        <v>0</v>
      </c>
      <c r="N360">
        <v>550</v>
      </c>
    </row>
    <row r="361" spans="1:14" x14ac:dyDescent="0.25">
      <c r="A361">
        <v>70.784633999999997</v>
      </c>
      <c r="B361" s="1">
        <f>DATE(2010,7,10) + TIME(18,49,52)</f>
        <v>40369.784629629627</v>
      </c>
      <c r="C361">
        <v>80</v>
      </c>
      <c r="D361">
        <v>79.885444641000007</v>
      </c>
      <c r="E361">
        <v>50</v>
      </c>
      <c r="F361">
        <v>22.417282104000002</v>
      </c>
      <c r="G361">
        <v>1333.7509766000001</v>
      </c>
      <c r="H361">
        <v>1332.6524658000001</v>
      </c>
      <c r="I361">
        <v>1328.1657714999999</v>
      </c>
      <c r="J361">
        <v>1327.1274414</v>
      </c>
      <c r="K361">
        <v>550</v>
      </c>
      <c r="L361">
        <v>0</v>
      </c>
      <c r="M361">
        <v>0</v>
      </c>
      <c r="N361">
        <v>550</v>
      </c>
    </row>
    <row r="362" spans="1:14" x14ac:dyDescent="0.25">
      <c r="A362">
        <v>71.51728</v>
      </c>
      <c r="B362" s="1">
        <f>DATE(2010,7,11) + TIME(12,24,53)</f>
        <v>40370.517280092594</v>
      </c>
      <c r="C362">
        <v>80</v>
      </c>
      <c r="D362">
        <v>79.885498046999999</v>
      </c>
      <c r="E362">
        <v>50</v>
      </c>
      <c r="F362">
        <v>22.940818787000001</v>
      </c>
      <c r="G362">
        <v>1333.7490233999999</v>
      </c>
      <c r="H362">
        <v>1332.6512451000001</v>
      </c>
      <c r="I362">
        <v>1328.1696777</v>
      </c>
      <c r="J362">
        <v>1327.1340332</v>
      </c>
      <c r="K362">
        <v>550</v>
      </c>
      <c r="L362">
        <v>0</v>
      </c>
      <c r="M362">
        <v>0</v>
      </c>
      <c r="N362">
        <v>550</v>
      </c>
    </row>
    <row r="363" spans="1:14" x14ac:dyDescent="0.25">
      <c r="A363">
        <v>72.260169000000005</v>
      </c>
      <c r="B363" s="1">
        <f>DATE(2010,7,12) + TIME(6,14,38)</f>
        <v>40371.260162037041</v>
      </c>
      <c r="C363">
        <v>80</v>
      </c>
      <c r="D363">
        <v>79.885551453000005</v>
      </c>
      <c r="E363">
        <v>50</v>
      </c>
      <c r="F363">
        <v>23.490657806000002</v>
      </c>
      <c r="G363">
        <v>1333.7469481999999</v>
      </c>
      <c r="H363">
        <v>1332.6501464999999</v>
      </c>
      <c r="I363">
        <v>1328.1735839999999</v>
      </c>
      <c r="J363">
        <v>1327.1409911999999</v>
      </c>
      <c r="K363">
        <v>550</v>
      </c>
      <c r="L363">
        <v>0</v>
      </c>
      <c r="M363">
        <v>0</v>
      </c>
      <c r="N363">
        <v>550</v>
      </c>
    </row>
    <row r="364" spans="1:14" x14ac:dyDescent="0.25">
      <c r="A364">
        <v>73.015448000000006</v>
      </c>
      <c r="B364" s="1">
        <f>DATE(2010,7,13) + TIME(0,22,14)</f>
        <v>40372.015439814815</v>
      </c>
      <c r="C364">
        <v>80</v>
      </c>
      <c r="D364">
        <v>79.885612488000007</v>
      </c>
      <c r="E364">
        <v>50</v>
      </c>
      <c r="F364">
        <v>24.066728592</v>
      </c>
      <c r="G364">
        <v>1333.7449951000001</v>
      </c>
      <c r="H364">
        <v>1332.6490478999999</v>
      </c>
      <c r="I364">
        <v>1328.1774902</v>
      </c>
      <c r="J364">
        <v>1327.1481934000001</v>
      </c>
      <c r="K364">
        <v>550</v>
      </c>
      <c r="L364">
        <v>0</v>
      </c>
      <c r="M364">
        <v>0</v>
      </c>
      <c r="N364">
        <v>550</v>
      </c>
    </row>
    <row r="365" spans="1:14" x14ac:dyDescent="0.25">
      <c r="A365">
        <v>73.779199000000006</v>
      </c>
      <c r="B365" s="1">
        <f>DATE(2010,7,13) + TIME(18,42,2)</f>
        <v>40372.779189814813</v>
      </c>
      <c r="C365">
        <v>80</v>
      </c>
      <c r="D365">
        <v>79.885665893999999</v>
      </c>
      <c r="E365">
        <v>50</v>
      </c>
      <c r="F365">
        <v>24.665317535</v>
      </c>
      <c r="G365">
        <v>1333.7429199000001</v>
      </c>
      <c r="H365">
        <v>1332.6479492000001</v>
      </c>
      <c r="I365">
        <v>1328.1813964999999</v>
      </c>
      <c r="J365">
        <v>1327.1558838000001</v>
      </c>
      <c r="K365">
        <v>550</v>
      </c>
      <c r="L365">
        <v>0</v>
      </c>
      <c r="M365">
        <v>0</v>
      </c>
      <c r="N365">
        <v>550</v>
      </c>
    </row>
    <row r="366" spans="1:14" x14ac:dyDescent="0.25">
      <c r="A366">
        <v>74.550567000000001</v>
      </c>
      <c r="B366" s="1">
        <f>DATE(2010,7,14) + TIME(13,12,48)</f>
        <v>40373.550555555557</v>
      </c>
      <c r="C366">
        <v>80</v>
      </c>
      <c r="D366">
        <v>79.885726929</v>
      </c>
      <c r="E366">
        <v>50</v>
      </c>
      <c r="F366">
        <v>25.284215927000002</v>
      </c>
      <c r="G366">
        <v>1333.7409668</v>
      </c>
      <c r="H366">
        <v>1332.6468506000001</v>
      </c>
      <c r="I366">
        <v>1328.1854248</v>
      </c>
      <c r="J366">
        <v>1327.1636963000001</v>
      </c>
      <c r="K366">
        <v>550</v>
      </c>
      <c r="L366">
        <v>0</v>
      </c>
      <c r="M366">
        <v>0</v>
      </c>
      <c r="N366">
        <v>550</v>
      </c>
    </row>
    <row r="367" spans="1:14" x14ac:dyDescent="0.25">
      <c r="A367">
        <v>75.331873999999999</v>
      </c>
      <c r="B367" s="1">
        <f>DATE(2010,7,15) + TIME(7,57,53)</f>
        <v>40374.331863425927</v>
      </c>
      <c r="C367">
        <v>80</v>
      </c>
      <c r="D367">
        <v>79.885787964000002</v>
      </c>
      <c r="E367">
        <v>50</v>
      </c>
      <c r="F367">
        <v>25.922842026000001</v>
      </c>
      <c r="G367">
        <v>1333.7390137</v>
      </c>
      <c r="H367">
        <v>1332.6457519999999</v>
      </c>
      <c r="I367">
        <v>1328.1894531</v>
      </c>
      <c r="J367">
        <v>1327.171875</v>
      </c>
      <c r="K367">
        <v>550</v>
      </c>
      <c r="L367">
        <v>0</v>
      </c>
      <c r="M367">
        <v>0</v>
      </c>
      <c r="N367">
        <v>550</v>
      </c>
    </row>
    <row r="368" spans="1:14" x14ac:dyDescent="0.25">
      <c r="A368">
        <v>76.125791000000007</v>
      </c>
      <c r="B368" s="1">
        <f>DATE(2010,7,16) + TIME(3,1,8)</f>
        <v>40375.125787037039</v>
      </c>
      <c r="C368">
        <v>80</v>
      </c>
      <c r="D368">
        <v>79.885848999000004</v>
      </c>
      <c r="E368">
        <v>50</v>
      </c>
      <c r="F368">
        <v>26.580606460999999</v>
      </c>
      <c r="G368">
        <v>1333.7370605000001</v>
      </c>
      <c r="H368">
        <v>1332.6446533000001</v>
      </c>
      <c r="I368">
        <v>1328.1934814000001</v>
      </c>
      <c r="J368">
        <v>1327.1802978999999</v>
      </c>
      <c r="K368">
        <v>550</v>
      </c>
      <c r="L368">
        <v>0</v>
      </c>
      <c r="M368">
        <v>0</v>
      </c>
      <c r="N368">
        <v>550</v>
      </c>
    </row>
    <row r="369" spans="1:14" x14ac:dyDescent="0.25">
      <c r="A369">
        <v>76.935840999999996</v>
      </c>
      <c r="B369" s="1">
        <f>DATE(2010,7,16) + TIME(22,27,36)</f>
        <v>40375.935833333337</v>
      </c>
      <c r="C369">
        <v>80</v>
      </c>
      <c r="D369">
        <v>79.885917664000004</v>
      </c>
      <c r="E369">
        <v>50</v>
      </c>
      <c r="F369">
        <v>27.257722855000001</v>
      </c>
      <c r="G369">
        <v>1333.7351074000001</v>
      </c>
      <c r="H369">
        <v>1332.6436768000001</v>
      </c>
      <c r="I369">
        <v>1328.1975098</v>
      </c>
      <c r="J369">
        <v>1327.1889647999999</v>
      </c>
      <c r="K369">
        <v>550</v>
      </c>
      <c r="L369">
        <v>0</v>
      </c>
      <c r="M369">
        <v>0</v>
      </c>
      <c r="N369">
        <v>550</v>
      </c>
    </row>
    <row r="370" spans="1:14" x14ac:dyDescent="0.25">
      <c r="A370">
        <v>77.345181999999994</v>
      </c>
      <c r="B370" s="1">
        <f>DATE(2010,7,17) + TIME(8,17,3)</f>
        <v>40376.345173611109</v>
      </c>
      <c r="C370">
        <v>80</v>
      </c>
      <c r="D370">
        <v>79.885932921999995</v>
      </c>
      <c r="E370">
        <v>50</v>
      </c>
      <c r="F370">
        <v>27.651885986</v>
      </c>
      <c r="G370">
        <v>1333.7332764</v>
      </c>
      <c r="H370">
        <v>1332.6427002</v>
      </c>
      <c r="I370">
        <v>1328.2044678</v>
      </c>
      <c r="J370">
        <v>1327.1968993999999</v>
      </c>
      <c r="K370">
        <v>550</v>
      </c>
      <c r="L370">
        <v>0</v>
      </c>
      <c r="M370">
        <v>0</v>
      </c>
      <c r="N370">
        <v>550</v>
      </c>
    </row>
    <row r="371" spans="1:14" x14ac:dyDescent="0.25">
      <c r="A371">
        <v>77.754521999999994</v>
      </c>
      <c r="B371" s="1">
        <f>DATE(2010,7,17) + TIME(18,6,30)</f>
        <v>40376.754513888889</v>
      </c>
      <c r="C371">
        <v>80</v>
      </c>
      <c r="D371">
        <v>79.885955811000002</v>
      </c>
      <c r="E371">
        <v>50</v>
      </c>
      <c r="F371">
        <v>28.040481567</v>
      </c>
      <c r="G371">
        <v>1333.7322998</v>
      </c>
      <c r="H371">
        <v>1332.6422118999999</v>
      </c>
      <c r="I371">
        <v>1328.2064209</v>
      </c>
      <c r="J371">
        <v>1327.2019043</v>
      </c>
      <c r="K371">
        <v>550</v>
      </c>
      <c r="L371">
        <v>0</v>
      </c>
      <c r="M371">
        <v>0</v>
      </c>
      <c r="N371">
        <v>550</v>
      </c>
    </row>
    <row r="372" spans="1:14" x14ac:dyDescent="0.25">
      <c r="A372">
        <v>78.163863000000006</v>
      </c>
      <c r="B372" s="1">
        <f>DATE(2010,7,18) + TIME(3,55,57)</f>
        <v>40377.163854166669</v>
      </c>
      <c r="C372">
        <v>80</v>
      </c>
      <c r="D372">
        <v>79.885986328000001</v>
      </c>
      <c r="E372">
        <v>50</v>
      </c>
      <c r="F372">
        <v>28.423986435</v>
      </c>
      <c r="G372">
        <v>1333.7313231999999</v>
      </c>
      <c r="H372">
        <v>1332.6417236</v>
      </c>
      <c r="I372">
        <v>1328.208374</v>
      </c>
      <c r="J372">
        <v>1327.2069091999999</v>
      </c>
      <c r="K372">
        <v>550</v>
      </c>
      <c r="L372">
        <v>0</v>
      </c>
      <c r="M372">
        <v>0</v>
      </c>
      <c r="N372">
        <v>550</v>
      </c>
    </row>
    <row r="373" spans="1:14" x14ac:dyDescent="0.25">
      <c r="A373">
        <v>78.573203000000007</v>
      </c>
      <c r="B373" s="1">
        <f>DATE(2010,7,18) + TIME(13,45,24)</f>
        <v>40377.573194444441</v>
      </c>
      <c r="C373">
        <v>80</v>
      </c>
      <c r="D373">
        <v>79.886016846000004</v>
      </c>
      <c r="E373">
        <v>50</v>
      </c>
      <c r="F373">
        <v>28.802791594999999</v>
      </c>
      <c r="G373">
        <v>1333.7304687999999</v>
      </c>
      <c r="H373">
        <v>1332.6412353999999</v>
      </c>
      <c r="I373">
        <v>1328.2104492000001</v>
      </c>
      <c r="J373">
        <v>1327.2117920000001</v>
      </c>
      <c r="K373">
        <v>550</v>
      </c>
      <c r="L373">
        <v>0</v>
      </c>
      <c r="M373">
        <v>0</v>
      </c>
      <c r="N373">
        <v>550</v>
      </c>
    </row>
    <row r="374" spans="1:14" x14ac:dyDescent="0.25">
      <c r="A374">
        <v>78.982544000000004</v>
      </c>
      <c r="B374" s="1">
        <f>DATE(2010,7,18) + TIME(23,34,51)</f>
        <v>40377.982534722221</v>
      </c>
      <c r="C374">
        <v>80</v>
      </c>
      <c r="D374">
        <v>79.886047363000003</v>
      </c>
      <c r="E374">
        <v>50</v>
      </c>
      <c r="F374">
        <v>29.177213669</v>
      </c>
      <c r="G374">
        <v>1333.7294922000001</v>
      </c>
      <c r="H374">
        <v>1332.6407471</v>
      </c>
      <c r="I374">
        <v>1328.2125243999999</v>
      </c>
      <c r="J374">
        <v>1327.2166748</v>
      </c>
      <c r="K374">
        <v>550</v>
      </c>
      <c r="L374">
        <v>0</v>
      </c>
      <c r="M374">
        <v>0</v>
      </c>
      <c r="N374">
        <v>550</v>
      </c>
    </row>
    <row r="375" spans="1:14" x14ac:dyDescent="0.25">
      <c r="A375">
        <v>79.391884000000005</v>
      </c>
      <c r="B375" s="1">
        <f>DATE(2010,7,19) + TIME(9,24,18)</f>
        <v>40378.391875000001</v>
      </c>
      <c r="C375">
        <v>80</v>
      </c>
      <c r="D375">
        <v>79.886077881000006</v>
      </c>
      <c r="E375">
        <v>50</v>
      </c>
      <c r="F375">
        <v>29.547462462999999</v>
      </c>
      <c r="G375">
        <v>1333.7286377</v>
      </c>
      <c r="H375">
        <v>1332.6402588000001</v>
      </c>
      <c r="I375">
        <v>1328.2145995999999</v>
      </c>
      <c r="J375">
        <v>1327.2215576000001</v>
      </c>
      <c r="K375">
        <v>550</v>
      </c>
      <c r="L375">
        <v>0</v>
      </c>
      <c r="M375">
        <v>0</v>
      </c>
      <c r="N375">
        <v>550</v>
      </c>
    </row>
    <row r="376" spans="1:14" x14ac:dyDescent="0.25">
      <c r="A376">
        <v>79.801225000000002</v>
      </c>
      <c r="B376" s="1">
        <f>DATE(2010,7,19) + TIME(19,13,45)</f>
        <v>40378.801215277781</v>
      </c>
      <c r="C376">
        <v>80</v>
      </c>
      <c r="D376">
        <v>79.886108398000005</v>
      </c>
      <c r="E376">
        <v>50</v>
      </c>
      <c r="F376">
        <v>29.913688659999998</v>
      </c>
      <c r="G376">
        <v>1333.7276611</v>
      </c>
      <c r="H376">
        <v>1332.6397704999999</v>
      </c>
      <c r="I376">
        <v>1328.2166748</v>
      </c>
      <c r="J376">
        <v>1327.2264404</v>
      </c>
      <c r="K376">
        <v>550</v>
      </c>
      <c r="L376">
        <v>0</v>
      </c>
      <c r="M376">
        <v>0</v>
      </c>
      <c r="N376">
        <v>550</v>
      </c>
    </row>
    <row r="377" spans="1:14" x14ac:dyDescent="0.25">
      <c r="A377">
        <v>80.210566</v>
      </c>
      <c r="B377" s="1">
        <f>DATE(2010,7,20) + TIME(5,3,12)</f>
        <v>40379.210555555554</v>
      </c>
      <c r="C377">
        <v>80</v>
      </c>
      <c r="D377">
        <v>79.886146545000003</v>
      </c>
      <c r="E377">
        <v>50</v>
      </c>
      <c r="F377">
        <v>30.276098251000001</v>
      </c>
      <c r="G377">
        <v>1333.7268065999999</v>
      </c>
      <c r="H377">
        <v>1332.6392822</v>
      </c>
      <c r="I377">
        <v>1328.21875</v>
      </c>
      <c r="J377">
        <v>1327.2313231999999</v>
      </c>
      <c r="K377">
        <v>550</v>
      </c>
      <c r="L377">
        <v>0</v>
      </c>
      <c r="M377">
        <v>0</v>
      </c>
      <c r="N377">
        <v>550</v>
      </c>
    </row>
    <row r="378" spans="1:14" x14ac:dyDescent="0.25">
      <c r="A378">
        <v>81.029246999999998</v>
      </c>
      <c r="B378" s="1">
        <f>DATE(2010,7,21) + TIME(0,42,6)</f>
        <v>40380.029236111113</v>
      </c>
      <c r="C378">
        <v>80</v>
      </c>
      <c r="D378">
        <v>79.886238098000007</v>
      </c>
      <c r="E378">
        <v>50</v>
      </c>
      <c r="F378">
        <v>30.900493621999999</v>
      </c>
      <c r="G378">
        <v>1333.7258300999999</v>
      </c>
      <c r="H378">
        <v>1332.6386719</v>
      </c>
      <c r="I378">
        <v>1328.21875</v>
      </c>
      <c r="J378">
        <v>1327.2369385</v>
      </c>
      <c r="K378">
        <v>550</v>
      </c>
      <c r="L378">
        <v>0</v>
      </c>
      <c r="M378">
        <v>0</v>
      </c>
      <c r="N378">
        <v>550</v>
      </c>
    </row>
    <row r="379" spans="1:14" x14ac:dyDescent="0.25">
      <c r="A379">
        <v>81.849947</v>
      </c>
      <c r="B379" s="1">
        <f>DATE(2010,7,21) + TIME(20,23,55)</f>
        <v>40380.849942129629</v>
      </c>
      <c r="C379">
        <v>80</v>
      </c>
      <c r="D379">
        <v>79.886322020999998</v>
      </c>
      <c r="E379">
        <v>50</v>
      </c>
      <c r="F379">
        <v>31.536514281999999</v>
      </c>
      <c r="G379">
        <v>1333.7241211</v>
      </c>
      <c r="H379">
        <v>1332.6378173999999</v>
      </c>
      <c r="I379">
        <v>1328.2233887</v>
      </c>
      <c r="J379">
        <v>1327.2457274999999</v>
      </c>
      <c r="K379">
        <v>550</v>
      </c>
      <c r="L379">
        <v>0</v>
      </c>
      <c r="M379">
        <v>0</v>
      </c>
      <c r="N379">
        <v>550</v>
      </c>
    </row>
    <row r="380" spans="1:14" x14ac:dyDescent="0.25">
      <c r="A380">
        <v>82.679623000000007</v>
      </c>
      <c r="B380" s="1">
        <f>DATE(2010,7,22) + TIME(16,18,39)</f>
        <v>40381.679618055554</v>
      </c>
      <c r="C380">
        <v>80</v>
      </c>
      <c r="D380">
        <v>79.886398314999994</v>
      </c>
      <c r="E380">
        <v>50</v>
      </c>
      <c r="F380">
        <v>32.182064056000002</v>
      </c>
      <c r="G380">
        <v>1333.7224120999999</v>
      </c>
      <c r="H380">
        <v>1332.6369629000001</v>
      </c>
      <c r="I380">
        <v>1328.2280272999999</v>
      </c>
      <c r="J380">
        <v>1327.2546387</v>
      </c>
      <c r="K380">
        <v>550</v>
      </c>
      <c r="L380">
        <v>0</v>
      </c>
      <c r="M380">
        <v>0</v>
      </c>
      <c r="N380">
        <v>550</v>
      </c>
    </row>
    <row r="381" spans="1:14" x14ac:dyDescent="0.25">
      <c r="A381">
        <v>83.520788999999994</v>
      </c>
      <c r="B381" s="1">
        <f>DATE(2010,7,23) + TIME(12,29,56)</f>
        <v>40382.520787037036</v>
      </c>
      <c r="C381">
        <v>80</v>
      </c>
      <c r="D381">
        <v>79.886474609000004</v>
      </c>
      <c r="E381">
        <v>50</v>
      </c>
      <c r="F381">
        <v>32.833389281999999</v>
      </c>
      <c r="G381">
        <v>1333.7208252</v>
      </c>
      <c r="H381">
        <v>1332.6361084</v>
      </c>
      <c r="I381">
        <v>1328.2326660000001</v>
      </c>
      <c r="J381">
        <v>1327.2636719</v>
      </c>
      <c r="K381">
        <v>550</v>
      </c>
      <c r="L381">
        <v>0</v>
      </c>
      <c r="M381">
        <v>0</v>
      </c>
      <c r="N381">
        <v>550</v>
      </c>
    </row>
    <row r="382" spans="1:14" x14ac:dyDescent="0.25">
      <c r="A382">
        <v>84.375962000000001</v>
      </c>
      <c r="B382" s="1">
        <f>DATE(2010,7,24) + TIME(9,1,23)</f>
        <v>40383.375960648147</v>
      </c>
      <c r="C382">
        <v>80</v>
      </c>
      <c r="D382">
        <v>79.886558532999999</v>
      </c>
      <c r="E382">
        <v>50</v>
      </c>
      <c r="F382">
        <v>33.487129211000003</v>
      </c>
      <c r="G382">
        <v>1333.7191161999999</v>
      </c>
      <c r="H382">
        <v>1332.6352539</v>
      </c>
      <c r="I382">
        <v>1328.2373047000001</v>
      </c>
      <c r="J382">
        <v>1327.2728271000001</v>
      </c>
      <c r="K382">
        <v>550</v>
      </c>
      <c r="L382">
        <v>0</v>
      </c>
      <c r="M382">
        <v>0</v>
      </c>
      <c r="N382">
        <v>550</v>
      </c>
    </row>
    <row r="383" spans="1:14" x14ac:dyDescent="0.25">
      <c r="A383">
        <v>85.247805</v>
      </c>
      <c r="B383" s="1">
        <f>DATE(2010,7,25) + TIME(5,56,50)</f>
        <v>40384.247800925928</v>
      </c>
      <c r="C383">
        <v>80</v>
      </c>
      <c r="D383">
        <v>79.886634826999995</v>
      </c>
      <c r="E383">
        <v>50</v>
      </c>
      <c r="F383">
        <v>34.141056061</v>
      </c>
      <c r="G383">
        <v>1333.7175293</v>
      </c>
      <c r="H383">
        <v>1332.6345214999999</v>
      </c>
      <c r="I383">
        <v>1328.2420654</v>
      </c>
      <c r="J383">
        <v>1327.2821045000001</v>
      </c>
      <c r="K383">
        <v>550</v>
      </c>
      <c r="L383">
        <v>0</v>
      </c>
      <c r="M383">
        <v>0</v>
      </c>
      <c r="N383">
        <v>550</v>
      </c>
    </row>
    <row r="384" spans="1:14" x14ac:dyDescent="0.25">
      <c r="A384">
        <v>86.137114999999994</v>
      </c>
      <c r="B384" s="1">
        <f>DATE(2010,7,26) + TIME(3,17,26)</f>
        <v>40385.137106481481</v>
      </c>
      <c r="C384">
        <v>80</v>
      </c>
      <c r="D384">
        <v>79.88671875</v>
      </c>
      <c r="E384">
        <v>50</v>
      </c>
      <c r="F384">
        <v>34.792778015000003</v>
      </c>
      <c r="G384">
        <v>1333.7159423999999</v>
      </c>
      <c r="H384">
        <v>1332.6336670000001</v>
      </c>
      <c r="I384">
        <v>1328.2469481999999</v>
      </c>
      <c r="J384">
        <v>1327.2913818</v>
      </c>
      <c r="K384">
        <v>550</v>
      </c>
      <c r="L384">
        <v>0</v>
      </c>
      <c r="M384">
        <v>0</v>
      </c>
      <c r="N384">
        <v>550</v>
      </c>
    </row>
    <row r="385" spans="1:14" x14ac:dyDescent="0.25">
      <c r="A385">
        <v>87.041622000000004</v>
      </c>
      <c r="B385" s="1">
        <f>DATE(2010,7,27) + TIME(0,59,56)</f>
        <v>40386.041620370372</v>
      </c>
      <c r="C385">
        <v>80</v>
      </c>
      <c r="D385">
        <v>79.886810303000004</v>
      </c>
      <c r="E385">
        <v>50</v>
      </c>
      <c r="F385">
        <v>35.439014434999997</v>
      </c>
      <c r="G385">
        <v>1333.7143555</v>
      </c>
      <c r="H385">
        <v>1332.6329346</v>
      </c>
      <c r="I385">
        <v>1328.2520752</v>
      </c>
      <c r="J385">
        <v>1327.3009033000001</v>
      </c>
      <c r="K385">
        <v>550</v>
      </c>
      <c r="L385">
        <v>0</v>
      </c>
      <c r="M385">
        <v>0</v>
      </c>
      <c r="N385">
        <v>550</v>
      </c>
    </row>
    <row r="386" spans="1:14" x14ac:dyDescent="0.25">
      <c r="A386">
        <v>87.964372999999995</v>
      </c>
      <c r="B386" s="1">
        <f>DATE(2010,7,27) + TIME(23,8,41)</f>
        <v>40386.964363425926</v>
      </c>
      <c r="C386">
        <v>80</v>
      </c>
      <c r="D386">
        <v>79.886894225999995</v>
      </c>
      <c r="E386">
        <v>50</v>
      </c>
      <c r="F386">
        <v>36.079627991000002</v>
      </c>
      <c r="G386">
        <v>1333.7127685999999</v>
      </c>
      <c r="H386">
        <v>1332.6322021000001</v>
      </c>
      <c r="I386">
        <v>1328.2572021000001</v>
      </c>
      <c r="J386">
        <v>1327.3104248</v>
      </c>
      <c r="K386">
        <v>550</v>
      </c>
      <c r="L386">
        <v>0</v>
      </c>
      <c r="M386">
        <v>0</v>
      </c>
      <c r="N386">
        <v>550</v>
      </c>
    </row>
    <row r="387" spans="1:14" x14ac:dyDescent="0.25">
      <c r="A387">
        <v>88.908574000000002</v>
      </c>
      <c r="B387" s="1">
        <f>DATE(2010,7,28) + TIME(21,48,20)</f>
        <v>40387.908564814818</v>
      </c>
      <c r="C387">
        <v>80</v>
      </c>
      <c r="D387">
        <v>79.886985779</v>
      </c>
      <c r="E387">
        <v>50</v>
      </c>
      <c r="F387">
        <v>36.714908600000001</v>
      </c>
      <c r="G387">
        <v>1333.7111815999999</v>
      </c>
      <c r="H387">
        <v>1332.6314697</v>
      </c>
      <c r="I387">
        <v>1328.2625731999999</v>
      </c>
      <c r="J387">
        <v>1327.3200684000001</v>
      </c>
      <c r="K387">
        <v>550</v>
      </c>
      <c r="L387">
        <v>0</v>
      </c>
      <c r="M387">
        <v>0</v>
      </c>
      <c r="N387">
        <v>550</v>
      </c>
    </row>
    <row r="388" spans="1:14" x14ac:dyDescent="0.25">
      <c r="A388">
        <v>89.380926000000002</v>
      </c>
      <c r="B388" s="1">
        <f>DATE(2010,7,29) + TIME(9,8,31)</f>
        <v>40388.380914351852</v>
      </c>
      <c r="C388">
        <v>80</v>
      </c>
      <c r="D388">
        <v>79.887016295999999</v>
      </c>
      <c r="E388">
        <v>50</v>
      </c>
      <c r="F388">
        <v>37.080986023000001</v>
      </c>
      <c r="G388">
        <v>1333.7097168</v>
      </c>
      <c r="H388">
        <v>1332.6308594</v>
      </c>
      <c r="I388">
        <v>1328.2700195</v>
      </c>
      <c r="J388">
        <v>1327.3289795000001</v>
      </c>
      <c r="K388">
        <v>550</v>
      </c>
      <c r="L388">
        <v>0</v>
      </c>
      <c r="M388">
        <v>0</v>
      </c>
      <c r="N388">
        <v>550</v>
      </c>
    </row>
    <row r="389" spans="1:14" x14ac:dyDescent="0.25">
      <c r="A389">
        <v>89.852490000000003</v>
      </c>
      <c r="B389" s="1">
        <f>DATE(2010,7,29) + TIME(20,27,35)</f>
        <v>40388.852488425924</v>
      </c>
      <c r="C389">
        <v>80</v>
      </c>
      <c r="D389">
        <v>79.887054442999997</v>
      </c>
      <c r="E389">
        <v>50</v>
      </c>
      <c r="F389">
        <v>37.431526183999999</v>
      </c>
      <c r="G389">
        <v>1333.7089844</v>
      </c>
      <c r="H389">
        <v>1332.6304932</v>
      </c>
      <c r="I389">
        <v>1328.2725829999999</v>
      </c>
      <c r="J389">
        <v>1327.3344727000001</v>
      </c>
      <c r="K389">
        <v>550</v>
      </c>
      <c r="L389">
        <v>0</v>
      </c>
      <c r="M389">
        <v>0</v>
      </c>
      <c r="N389">
        <v>550</v>
      </c>
    </row>
    <row r="390" spans="1:14" x14ac:dyDescent="0.25">
      <c r="A390">
        <v>90.323263999999995</v>
      </c>
      <c r="B390" s="1">
        <f>DATE(2010,7,30) + TIME(7,45,29)</f>
        <v>40389.323252314818</v>
      </c>
      <c r="C390">
        <v>80</v>
      </c>
      <c r="D390">
        <v>79.887092589999995</v>
      </c>
      <c r="E390">
        <v>50</v>
      </c>
      <c r="F390">
        <v>37.768032073999997</v>
      </c>
      <c r="G390">
        <v>1333.7081298999999</v>
      </c>
      <c r="H390">
        <v>1332.6301269999999</v>
      </c>
      <c r="I390">
        <v>1328.2752685999999</v>
      </c>
      <c r="J390">
        <v>1327.3397216999999</v>
      </c>
      <c r="K390">
        <v>550</v>
      </c>
      <c r="L390">
        <v>0</v>
      </c>
      <c r="M390">
        <v>0</v>
      </c>
      <c r="N390">
        <v>550</v>
      </c>
    </row>
    <row r="391" spans="1:14" x14ac:dyDescent="0.25">
      <c r="A391">
        <v>90.793634999999995</v>
      </c>
      <c r="B391" s="1">
        <f>DATE(2010,7,30) + TIME(19,2,50)</f>
        <v>40389.793634259258</v>
      </c>
      <c r="C391">
        <v>80</v>
      </c>
      <c r="D391">
        <v>79.887130737000007</v>
      </c>
      <c r="E391">
        <v>50</v>
      </c>
      <c r="F391">
        <v>38.092407227000002</v>
      </c>
      <c r="G391">
        <v>1333.7073975000001</v>
      </c>
      <c r="H391">
        <v>1332.6298827999999</v>
      </c>
      <c r="I391">
        <v>1328.2779541</v>
      </c>
      <c r="J391">
        <v>1327.3449707</v>
      </c>
      <c r="K391">
        <v>550</v>
      </c>
      <c r="L391">
        <v>0</v>
      </c>
      <c r="M391">
        <v>0</v>
      </c>
      <c r="N391">
        <v>550</v>
      </c>
    </row>
    <row r="392" spans="1:14" x14ac:dyDescent="0.25">
      <c r="A392">
        <v>91.263993999999997</v>
      </c>
      <c r="B392" s="1">
        <f>DATE(2010,7,31) + TIME(6,20,9)</f>
        <v>40390.263993055552</v>
      </c>
      <c r="C392">
        <v>80</v>
      </c>
      <c r="D392">
        <v>79.887176514000004</v>
      </c>
      <c r="E392">
        <v>50</v>
      </c>
      <c r="F392">
        <v>38.406265259000001</v>
      </c>
      <c r="G392">
        <v>1333.7067870999999</v>
      </c>
      <c r="H392">
        <v>1332.6295166</v>
      </c>
      <c r="I392">
        <v>1328.2807617000001</v>
      </c>
      <c r="J392">
        <v>1327.3500977000001</v>
      </c>
      <c r="K392">
        <v>550</v>
      </c>
      <c r="L392">
        <v>0</v>
      </c>
      <c r="M392">
        <v>0</v>
      </c>
      <c r="N392">
        <v>550</v>
      </c>
    </row>
    <row r="393" spans="1:14" x14ac:dyDescent="0.25">
      <c r="A393">
        <v>92</v>
      </c>
      <c r="B393" s="1">
        <f>DATE(2010,8,1) + TIME(0,0,0)</f>
        <v>40391</v>
      </c>
      <c r="C393">
        <v>80</v>
      </c>
      <c r="D393">
        <v>79.887252808</v>
      </c>
      <c r="E393">
        <v>50</v>
      </c>
      <c r="F393">
        <v>38.836978911999999</v>
      </c>
      <c r="G393">
        <v>1333.7060547000001</v>
      </c>
      <c r="H393">
        <v>1332.6292725000001</v>
      </c>
      <c r="I393">
        <v>1328.2825928</v>
      </c>
      <c r="J393">
        <v>1327.3554687999999</v>
      </c>
      <c r="K393">
        <v>550</v>
      </c>
      <c r="L393">
        <v>0</v>
      </c>
      <c r="M393">
        <v>0</v>
      </c>
      <c r="N393">
        <v>550</v>
      </c>
    </row>
    <row r="394" spans="1:14" x14ac:dyDescent="0.25">
      <c r="A394">
        <v>92.940718000000004</v>
      </c>
      <c r="B394" s="1">
        <f>DATE(2010,8,1) + TIME(22,34,38)</f>
        <v>40391.940717592595</v>
      </c>
      <c r="C394">
        <v>80</v>
      </c>
      <c r="D394">
        <v>79.887367248999993</v>
      </c>
      <c r="E394">
        <v>50</v>
      </c>
      <c r="F394">
        <v>39.341369628999999</v>
      </c>
      <c r="G394">
        <v>1333.7048339999999</v>
      </c>
      <c r="H394">
        <v>1332.6287841999999</v>
      </c>
      <c r="I394">
        <v>1328.286499</v>
      </c>
      <c r="J394">
        <v>1327.3630370999999</v>
      </c>
      <c r="K394">
        <v>550</v>
      </c>
      <c r="L394">
        <v>0</v>
      </c>
      <c r="M394">
        <v>0</v>
      </c>
      <c r="N394">
        <v>550</v>
      </c>
    </row>
    <row r="395" spans="1:14" x14ac:dyDescent="0.25">
      <c r="A395">
        <v>93.882104999999996</v>
      </c>
      <c r="B395" s="1">
        <f>DATE(2010,8,2) + TIME(21,10,13)</f>
        <v>40392.882094907407</v>
      </c>
      <c r="C395">
        <v>80</v>
      </c>
      <c r="D395">
        <v>79.887466431000007</v>
      </c>
      <c r="E395">
        <v>50</v>
      </c>
      <c r="F395">
        <v>39.846210480000003</v>
      </c>
      <c r="G395">
        <v>1333.7034911999999</v>
      </c>
      <c r="H395">
        <v>1332.6281738</v>
      </c>
      <c r="I395">
        <v>1328.2921143000001</v>
      </c>
      <c r="J395">
        <v>1327.3719481999999</v>
      </c>
      <c r="K395">
        <v>550</v>
      </c>
      <c r="L395">
        <v>0</v>
      </c>
      <c r="M395">
        <v>0</v>
      </c>
      <c r="N395">
        <v>550</v>
      </c>
    </row>
    <row r="396" spans="1:14" x14ac:dyDescent="0.25">
      <c r="A396">
        <v>94.831867000000003</v>
      </c>
      <c r="B396" s="1">
        <f>DATE(2010,8,3) + TIME(19,57,53)</f>
        <v>40393.831863425927</v>
      </c>
      <c r="C396">
        <v>80</v>
      </c>
      <c r="D396">
        <v>79.887565613000007</v>
      </c>
      <c r="E396">
        <v>50</v>
      </c>
      <c r="F396">
        <v>40.349674225000001</v>
      </c>
      <c r="G396">
        <v>1333.7021483999999</v>
      </c>
      <c r="H396">
        <v>1332.6276855000001</v>
      </c>
      <c r="I396">
        <v>1328.2978516000001</v>
      </c>
      <c r="J396">
        <v>1327.3808594</v>
      </c>
      <c r="K396">
        <v>550</v>
      </c>
      <c r="L396">
        <v>0</v>
      </c>
      <c r="M396">
        <v>0</v>
      </c>
      <c r="N396">
        <v>550</v>
      </c>
    </row>
    <row r="397" spans="1:14" x14ac:dyDescent="0.25">
      <c r="A397">
        <v>95.792852999999994</v>
      </c>
      <c r="B397" s="1">
        <f>DATE(2010,8,4) + TIME(19,1,42)</f>
        <v>40394.792847222219</v>
      </c>
      <c r="C397">
        <v>80</v>
      </c>
      <c r="D397">
        <v>79.887664795000006</v>
      </c>
      <c r="E397">
        <v>50</v>
      </c>
      <c r="F397">
        <v>40.849903107000003</v>
      </c>
      <c r="G397">
        <v>1333.7009277</v>
      </c>
      <c r="H397">
        <v>1332.6271973</v>
      </c>
      <c r="I397">
        <v>1328.3035889</v>
      </c>
      <c r="J397">
        <v>1327.3900146000001</v>
      </c>
      <c r="K397">
        <v>550</v>
      </c>
      <c r="L397">
        <v>0</v>
      </c>
      <c r="M397">
        <v>0</v>
      </c>
      <c r="N397">
        <v>550</v>
      </c>
    </row>
    <row r="398" spans="1:14" x14ac:dyDescent="0.25">
      <c r="A398">
        <v>96.768027000000004</v>
      </c>
      <c r="B398" s="1">
        <f>DATE(2010,8,5) + TIME(18,25,57)</f>
        <v>40395.768020833333</v>
      </c>
      <c r="C398">
        <v>80</v>
      </c>
      <c r="D398">
        <v>79.887763977000006</v>
      </c>
      <c r="E398">
        <v>50</v>
      </c>
      <c r="F398">
        <v>41.345989226999997</v>
      </c>
      <c r="G398">
        <v>1333.6995850000001</v>
      </c>
      <c r="H398">
        <v>1332.6267089999999</v>
      </c>
      <c r="I398">
        <v>1328.3093262</v>
      </c>
      <c r="J398">
        <v>1327.3991699000001</v>
      </c>
      <c r="K398">
        <v>550</v>
      </c>
      <c r="L398">
        <v>0</v>
      </c>
      <c r="M398">
        <v>0</v>
      </c>
      <c r="N398">
        <v>550</v>
      </c>
    </row>
    <row r="399" spans="1:14" x14ac:dyDescent="0.25">
      <c r="A399">
        <v>97.760672999999997</v>
      </c>
      <c r="B399" s="1">
        <f>DATE(2010,8,6) + TIME(18,15,22)</f>
        <v>40396.760671296295</v>
      </c>
      <c r="C399">
        <v>80</v>
      </c>
      <c r="D399">
        <v>79.887863159000005</v>
      </c>
      <c r="E399">
        <v>50</v>
      </c>
      <c r="F399">
        <v>41.837730407999999</v>
      </c>
      <c r="G399">
        <v>1333.6983643000001</v>
      </c>
      <c r="H399">
        <v>1332.6262207</v>
      </c>
      <c r="I399">
        <v>1328.3151855000001</v>
      </c>
      <c r="J399">
        <v>1327.4084473</v>
      </c>
      <c r="K399">
        <v>550</v>
      </c>
      <c r="L399">
        <v>0</v>
      </c>
      <c r="M399">
        <v>0</v>
      </c>
      <c r="N399">
        <v>550</v>
      </c>
    </row>
    <row r="400" spans="1:14" x14ac:dyDescent="0.25">
      <c r="A400">
        <v>98.772638999999998</v>
      </c>
      <c r="B400" s="1">
        <f>DATE(2010,8,7) + TIME(18,32,36)</f>
        <v>40397.772638888891</v>
      </c>
      <c r="C400">
        <v>80</v>
      </c>
      <c r="D400">
        <v>79.887969971000004</v>
      </c>
      <c r="E400">
        <v>50</v>
      </c>
      <c r="F400">
        <v>42.324806213000002</v>
      </c>
      <c r="G400">
        <v>1333.6971435999999</v>
      </c>
      <c r="H400">
        <v>1332.6257324000001</v>
      </c>
      <c r="I400">
        <v>1328.3211670000001</v>
      </c>
      <c r="J400">
        <v>1327.4177245999999</v>
      </c>
      <c r="K400">
        <v>550</v>
      </c>
      <c r="L400">
        <v>0</v>
      </c>
      <c r="M400">
        <v>0</v>
      </c>
      <c r="N400">
        <v>550</v>
      </c>
    </row>
    <row r="401" spans="1:14" x14ac:dyDescent="0.25">
      <c r="A401">
        <v>99.803008000000005</v>
      </c>
      <c r="B401" s="1">
        <f>DATE(2010,8,8) + TIME(19,16,19)</f>
        <v>40398.802997685183</v>
      </c>
      <c r="C401">
        <v>80</v>
      </c>
      <c r="D401">
        <v>79.888076781999999</v>
      </c>
      <c r="E401">
        <v>50</v>
      </c>
      <c r="F401">
        <v>42.806240082000002</v>
      </c>
      <c r="G401">
        <v>1333.6959228999999</v>
      </c>
      <c r="H401">
        <v>1332.6253661999999</v>
      </c>
      <c r="I401">
        <v>1328.3272704999999</v>
      </c>
      <c r="J401">
        <v>1327.4272461</v>
      </c>
      <c r="K401">
        <v>550</v>
      </c>
      <c r="L401">
        <v>0</v>
      </c>
      <c r="M401">
        <v>0</v>
      </c>
      <c r="N401">
        <v>550</v>
      </c>
    </row>
    <row r="402" spans="1:14" x14ac:dyDescent="0.25">
      <c r="A402">
        <v>100.85204400000001</v>
      </c>
      <c r="B402" s="1">
        <f>DATE(2010,8,9) + TIME(20,26,56)</f>
        <v>40399.852037037039</v>
      </c>
      <c r="C402">
        <v>80</v>
      </c>
      <c r="D402">
        <v>79.888183593999997</v>
      </c>
      <c r="E402">
        <v>50</v>
      </c>
      <c r="F402">
        <v>43.281467438</v>
      </c>
      <c r="G402">
        <v>1333.6947021000001</v>
      </c>
      <c r="H402">
        <v>1332.625</v>
      </c>
      <c r="I402">
        <v>1328.3334961</v>
      </c>
      <c r="J402">
        <v>1327.4368896000001</v>
      </c>
      <c r="K402">
        <v>550</v>
      </c>
      <c r="L402">
        <v>0</v>
      </c>
      <c r="M402">
        <v>0</v>
      </c>
      <c r="N402">
        <v>550</v>
      </c>
    </row>
    <row r="403" spans="1:14" x14ac:dyDescent="0.25">
      <c r="A403">
        <v>101.92344199999999</v>
      </c>
      <c r="B403" s="1">
        <f>DATE(2010,8,10) + TIME(22,9,45)</f>
        <v>40400.923437500001</v>
      </c>
      <c r="C403">
        <v>80</v>
      </c>
      <c r="D403">
        <v>79.888298035000005</v>
      </c>
      <c r="E403">
        <v>50</v>
      </c>
      <c r="F403">
        <v>43.750995635999999</v>
      </c>
      <c r="G403">
        <v>1333.6936035000001</v>
      </c>
      <c r="H403">
        <v>1332.6245117000001</v>
      </c>
      <c r="I403">
        <v>1328.3398437999999</v>
      </c>
      <c r="J403">
        <v>1327.4465332</v>
      </c>
      <c r="K403">
        <v>550</v>
      </c>
      <c r="L403">
        <v>0</v>
      </c>
      <c r="M403">
        <v>0</v>
      </c>
      <c r="N403">
        <v>550</v>
      </c>
    </row>
    <row r="404" spans="1:14" x14ac:dyDescent="0.25">
      <c r="A404">
        <v>102.46444700000001</v>
      </c>
      <c r="B404" s="1">
        <f>DATE(2010,8,11) + TIME(11,8,48)</f>
        <v>40401.464444444442</v>
      </c>
      <c r="C404">
        <v>80</v>
      </c>
      <c r="D404">
        <v>79.888336182000003</v>
      </c>
      <c r="E404">
        <v>50</v>
      </c>
      <c r="F404">
        <v>44.032054901000002</v>
      </c>
      <c r="G404">
        <v>1333.6925048999999</v>
      </c>
      <c r="H404">
        <v>1332.6242675999999</v>
      </c>
      <c r="I404">
        <v>1328.3474120999999</v>
      </c>
      <c r="J404">
        <v>1327.4555664</v>
      </c>
      <c r="K404">
        <v>550</v>
      </c>
      <c r="L404">
        <v>0</v>
      </c>
      <c r="M404">
        <v>0</v>
      </c>
      <c r="N404">
        <v>550</v>
      </c>
    </row>
    <row r="405" spans="1:14" x14ac:dyDescent="0.25">
      <c r="A405">
        <v>103.005453</v>
      </c>
      <c r="B405" s="1">
        <f>DATE(2010,8,12) + TIME(0,7,51)</f>
        <v>40402.00545138889</v>
      </c>
      <c r="C405">
        <v>80</v>
      </c>
      <c r="D405">
        <v>79.888389587000006</v>
      </c>
      <c r="E405">
        <v>50</v>
      </c>
      <c r="F405">
        <v>44.298236846999998</v>
      </c>
      <c r="G405">
        <v>1333.6918945</v>
      </c>
      <c r="H405">
        <v>1332.6241454999999</v>
      </c>
      <c r="I405">
        <v>1328.3505858999999</v>
      </c>
      <c r="J405">
        <v>1327.4611815999999</v>
      </c>
      <c r="K405">
        <v>550</v>
      </c>
      <c r="L405">
        <v>0</v>
      </c>
      <c r="M405">
        <v>0</v>
      </c>
      <c r="N405">
        <v>550</v>
      </c>
    </row>
    <row r="406" spans="1:14" x14ac:dyDescent="0.25">
      <c r="A406">
        <v>103.546458</v>
      </c>
      <c r="B406" s="1">
        <f>DATE(2010,8,12) + TIME(13,6,53)</f>
        <v>40402.546446759261</v>
      </c>
      <c r="C406">
        <v>80</v>
      </c>
      <c r="D406">
        <v>79.888435364000003</v>
      </c>
      <c r="E406">
        <v>50</v>
      </c>
      <c r="F406">
        <v>44.551956177000001</v>
      </c>
      <c r="G406">
        <v>1333.6912841999999</v>
      </c>
      <c r="H406">
        <v>1332.6239014</v>
      </c>
      <c r="I406">
        <v>1328.3538818</v>
      </c>
      <c r="J406">
        <v>1327.4665527</v>
      </c>
      <c r="K406">
        <v>550</v>
      </c>
      <c r="L406">
        <v>0</v>
      </c>
      <c r="M406">
        <v>0</v>
      </c>
      <c r="N406">
        <v>550</v>
      </c>
    </row>
    <row r="407" spans="1:14" x14ac:dyDescent="0.25">
      <c r="A407">
        <v>104.087463</v>
      </c>
      <c r="B407" s="1">
        <f>DATE(2010,8,13) + TIME(2,5,56)</f>
        <v>40403.087453703702</v>
      </c>
      <c r="C407">
        <v>80</v>
      </c>
      <c r="D407">
        <v>79.888488769999995</v>
      </c>
      <c r="E407">
        <v>50</v>
      </c>
      <c r="F407">
        <v>44.795139313</v>
      </c>
      <c r="G407">
        <v>1333.6907959</v>
      </c>
      <c r="H407">
        <v>1332.6237793</v>
      </c>
      <c r="I407">
        <v>1328.3571777</v>
      </c>
      <c r="J407">
        <v>1327.4719238</v>
      </c>
      <c r="K407">
        <v>550</v>
      </c>
      <c r="L407">
        <v>0</v>
      </c>
      <c r="M407">
        <v>0</v>
      </c>
      <c r="N407">
        <v>550</v>
      </c>
    </row>
    <row r="408" spans="1:14" x14ac:dyDescent="0.25">
      <c r="A408">
        <v>104.628469</v>
      </c>
      <c r="B408" s="1">
        <f>DATE(2010,8,13) + TIME(15,4,59)</f>
        <v>40403.628460648149</v>
      </c>
      <c r="C408">
        <v>80</v>
      </c>
      <c r="D408">
        <v>79.888542174999998</v>
      </c>
      <c r="E408">
        <v>50</v>
      </c>
      <c r="F408">
        <v>45.029304504000002</v>
      </c>
      <c r="G408">
        <v>1333.6901855000001</v>
      </c>
      <c r="H408">
        <v>1332.6236572</v>
      </c>
      <c r="I408">
        <v>1328.3603516000001</v>
      </c>
      <c r="J408">
        <v>1327.4770507999999</v>
      </c>
      <c r="K408">
        <v>550</v>
      </c>
      <c r="L408">
        <v>0</v>
      </c>
      <c r="M408">
        <v>0</v>
      </c>
      <c r="N408">
        <v>550</v>
      </c>
    </row>
    <row r="409" spans="1:14" x14ac:dyDescent="0.25">
      <c r="A409">
        <v>105.16947399999999</v>
      </c>
      <c r="B409" s="1">
        <f>DATE(2010,8,14) + TIME(4,4,2)</f>
        <v>40404.16946759259</v>
      </c>
      <c r="C409">
        <v>80</v>
      </c>
      <c r="D409">
        <v>79.888603209999999</v>
      </c>
      <c r="E409">
        <v>50</v>
      </c>
      <c r="F409">
        <v>45.255653381000002</v>
      </c>
      <c r="G409">
        <v>1333.6896973</v>
      </c>
      <c r="H409">
        <v>1332.6235352000001</v>
      </c>
      <c r="I409">
        <v>1328.3636475000001</v>
      </c>
      <c r="J409">
        <v>1327.4821777</v>
      </c>
      <c r="K409">
        <v>550</v>
      </c>
      <c r="L409">
        <v>0</v>
      </c>
      <c r="M409">
        <v>0</v>
      </c>
      <c r="N409">
        <v>550</v>
      </c>
    </row>
    <row r="410" spans="1:14" x14ac:dyDescent="0.25">
      <c r="A410">
        <v>105.71048</v>
      </c>
      <c r="B410" s="1">
        <f>DATE(2010,8,14) + TIME(17,3,5)</f>
        <v>40404.710474537038</v>
      </c>
      <c r="C410">
        <v>80</v>
      </c>
      <c r="D410">
        <v>79.888656616000006</v>
      </c>
      <c r="E410">
        <v>50</v>
      </c>
      <c r="F410">
        <v>45.475128173999998</v>
      </c>
      <c r="G410">
        <v>1333.6892089999999</v>
      </c>
      <c r="H410">
        <v>1332.6234131000001</v>
      </c>
      <c r="I410">
        <v>1328.3668213000001</v>
      </c>
      <c r="J410">
        <v>1327.4873047000001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106.251485</v>
      </c>
      <c r="B411" s="1">
        <f>DATE(2010,8,15) + TIME(6,2,8)</f>
        <v>40405.251481481479</v>
      </c>
      <c r="C411">
        <v>80</v>
      </c>
      <c r="D411">
        <v>79.888717650999993</v>
      </c>
      <c r="E411">
        <v>50</v>
      </c>
      <c r="F411">
        <v>45.688488006999997</v>
      </c>
      <c r="G411">
        <v>1333.6887207</v>
      </c>
      <c r="H411">
        <v>1332.6231689000001</v>
      </c>
      <c r="I411">
        <v>1328.3701172000001</v>
      </c>
      <c r="J411">
        <v>1327.4921875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106.79249</v>
      </c>
      <c r="B412" s="1">
        <f>DATE(2010,8,15) + TIME(19,1,11)</f>
        <v>40405.792488425926</v>
      </c>
      <c r="C412">
        <v>80</v>
      </c>
      <c r="D412">
        <v>79.888771057</v>
      </c>
      <c r="E412">
        <v>50</v>
      </c>
      <c r="F412">
        <v>45.896335602000001</v>
      </c>
      <c r="G412">
        <v>1333.6881103999999</v>
      </c>
      <c r="H412">
        <v>1332.6230469</v>
      </c>
      <c r="I412">
        <v>1328.3732910000001</v>
      </c>
      <c r="J412">
        <v>1327.4971923999999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107.333496</v>
      </c>
      <c r="B413" s="1">
        <f>DATE(2010,8,16) + TIME(8,0,14)</f>
        <v>40406.333495370367</v>
      </c>
      <c r="C413">
        <v>80</v>
      </c>
      <c r="D413">
        <v>79.888832092000001</v>
      </c>
      <c r="E413">
        <v>50</v>
      </c>
      <c r="F413">
        <v>46.099166869999998</v>
      </c>
      <c r="G413">
        <v>1333.6876221</v>
      </c>
      <c r="H413">
        <v>1332.6230469</v>
      </c>
      <c r="I413">
        <v>1328.3765868999999</v>
      </c>
      <c r="J413">
        <v>1327.5020752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108.41550700000001</v>
      </c>
      <c r="B414" s="1">
        <f>DATE(2010,8,17) + TIME(9,58,19)</f>
        <v>40407.415497685186</v>
      </c>
      <c r="C414">
        <v>80</v>
      </c>
      <c r="D414">
        <v>79.888969420999999</v>
      </c>
      <c r="E414">
        <v>50</v>
      </c>
      <c r="F414">
        <v>46.422958373999997</v>
      </c>
      <c r="G414">
        <v>1333.6871338000001</v>
      </c>
      <c r="H414">
        <v>1332.6228027</v>
      </c>
      <c r="I414">
        <v>1328.3790283000001</v>
      </c>
      <c r="J414">
        <v>1327.5074463000001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109.4996</v>
      </c>
      <c r="B415" s="1">
        <f>DATE(2010,8,18) + TIME(11,59,25)</f>
        <v>40408.499594907407</v>
      </c>
      <c r="C415">
        <v>80</v>
      </c>
      <c r="D415">
        <v>79.889099121000001</v>
      </c>
      <c r="E415">
        <v>50</v>
      </c>
      <c r="F415">
        <v>46.759109496999997</v>
      </c>
      <c r="G415">
        <v>1333.6861572</v>
      </c>
      <c r="H415">
        <v>1332.6225586</v>
      </c>
      <c r="I415">
        <v>1328.3852539</v>
      </c>
      <c r="J415">
        <v>1327.5158690999999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110.59929099999999</v>
      </c>
      <c r="B416" s="1">
        <f>DATE(2010,8,19) + TIME(14,22,58)</f>
        <v>40409.599282407406</v>
      </c>
      <c r="C416">
        <v>80</v>
      </c>
      <c r="D416">
        <v>79.889221191000004</v>
      </c>
      <c r="E416">
        <v>50</v>
      </c>
      <c r="F416">
        <v>47.101715087999999</v>
      </c>
      <c r="G416">
        <v>1333.6851807</v>
      </c>
      <c r="H416">
        <v>1332.6224365</v>
      </c>
      <c r="I416">
        <v>1328.3914795000001</v>
      </c>
      <c r="J416">
        <v>1327.5246582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111.71793700000001</v>
      </c>
      <c r="B417" s="1">
        <f>DATE(2010,8,20) + TIME(17,13,49)</f>
        <v>40410.717928240738</v>
      </c>
      <c r="C417">
        <v>80</v>
      </c>
      <c r="D417">
        <v>79.889343261999997</v>
      </c>
      <c r="E417">
        <v>50</v>
      </c>
      <c r="F417">
        <v>47.446605681999998</v>
      </c>
      <c r="G417">
        <v>1333.6842041</v>
      </c>
      <c r="H417">
        <v>1332.6221923999999</v>
      </c>
      <c r="I417">
        <v>1328.3978271000001</v>
      </c>
      <c r="J417">
        <v>1327.5335693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112.859634</v>
      </c>
      <c r="B418" s="1">
        <f>DATE(2010,8,21) + TIME(20,37,52)</f>
        <v>40411.859629629631</v>
      </c>
      <c r="C418">
        <v>80</v>
      </c>
      <c r="D418">
        <v>79.889465332</v>
      </c>
      <c r="E418">
        <v>50</v>
      </c>
      <c r="F418">
        <v>47.791564940999997</v>
      </c>
      <c r="G418">
        <v>1333.6833495999999</v>
      </c>
      <c r="H418">
        <v>1332.6220702999999</v>
      </c>
      <c r="I418">
        <v>1328.4041748</v>
      </c>
      <c r="J418">
        <v>1327.5427245999999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114.02860200000001</v>
      </c>
      <c r="B419" s="1">
        <f>DATE(2010,8,23) + TIME(0,41,11)</f>
        <v>40413.028599537036</v>
      </c>
      <c r="C419">
        <v>80</v>
      </c>
      <c r="D419">
        <v>79.889595032000003</v>
      </c>
      <c r="E419">
        <v>50</v>
      </c>
      <c r="F419">
        <v>48.135566711000003</v>
      </c>
      <c r="G419">
        <v>1333.6824951000001</v>
      </c>
      <c r="H419">
        <v>1332.6219481999999</v>
      </c>
      <c r="I419">
        <v>1328.4107666</v>
      </c>
      <c r="J419">
        <v>1327.5520019999999</v>
      </c>
      <c r="K419">
        <v>550</v>
      </c>
      <c r="L419">
        <v>0</v>
      </c>
      <c r="M419">
        <v>0</v>
      </c>
      <c r="N419">
        <v>550</v>
      </c>
    </row>
    <row r="420" spans="1:14" x14ac:dyDescent="0.25">
      <c r="A420">
        <v>115.225765</v>
      </c>
      <c r="B420" s="1">
        <f>DATE(2010,8,24) + TIME(5,25,6)</f>
        <v>40414.225763888891</v>
      </c>
      <c r="C420">
        <v>80</v>
      </c>
      <c r="D420">
        <v>79.889732361</v>
      </c>
      <c r="E420">
        <v>50</v>
      </c>
      <c r="F420">
        <v>48.477718353</v>
      </c>
      <c r="G420">
        <v>1333.6815185999999</v>
      </c>
      <c r="H420">
        <v>1332.6218262</v>
      </c>
      <c r="I420">
        <v>1328.4173584</v>
      </c>
      <c r="J420">
        <v>1327.5615233999999</v>
      </c>
      <c r="K420">
        <v>550</v>
      </c>
      <c r="L420">
        <v>0</v>
      </c>
      <c r="M420">
        <v>0</v>
      </c>
      <c r="N420">
        <v>550</v>
      </c>
    </row>
    <row r="421" spans="1:14" x14ac:dyDescent="0.25">
      <c r="A421">
        <v>116.44359799999999</v>
      </c>
      <c r="B421" s="1">
        <f>DATE(2010,8,25) + TIME(10,38,46)</f>
        <v>40415.44358796296</v>
      </c>
      <c r="C421">
        <v>80</v>
      </c>
      <c r="D421">
        <v>79.889862061000002</v>
      </c>
      <c r="E421">
        <v>50</v>
      </c>
      <c r="F421">
        <v>48.816047668000003</v>
      </c>
      <c r="G421">
        <v>1333.6806641000001</v>
      </c>
      <c r="H421">
        <v>1332.6217041</v>
      </c>
      <c r="I421">
        <v>1328.4241943</v>
      </c>
      <c r="J421">
        <v>1327.5711670000001</v>
      </c>
      <c r="K421">
        <v>550</v>
      </c>
      <c r="L421">
        <v>0</v>
      </c>
      <c r="M421">
        <v>0</v>
      </c>
      <c r="N421">
        <v>550</v>
      </c>
    </row>
    <row r="422" spans="1:14" x14ac:dyDescent="0.25">
      <c r="A422">
        <v>117.68324</v>
      </c>
      <c r="B422" s="1">
        <f>DATE(2010,8,26) + TIME(16,23,51)</f>
        <v>40416.683229166665</v>
      </c>
      <c r="C422">
        <v>80</v>
      </c>
      <c r="D422">
        <v>79.88999939</v>
      </c>
      <c r="E422">
        <v>50</v>
      </c>
      <c r="F422">
        <v>49.150081634999999</v>
      </c>
      <c r="G422">
        <v>1333.6798096</v>
      </c>
      <c r="H422">
        <v>1332.6217041</v>
      </c>
      <c r="I422">
        <v>1328.4310303</v>
      </c>
      <c r="J422">
        <v>1327.5808105000001</v>
      </c>
      <c r="K422">
        <v>550</v>
      </c>
      <c r="L422">
        <v>0</v>
      </c>
      <c r="M422">
        <v>0</v>
      </c>
      <c r="N422">
        <v>550</v>
      </c>
    </row>
    <row r="423" spans="1:14" x14ac:dyDescent="0.25">
      <c r="A423">
        <v>118.30781500000001</v>
      </c>
      <c r="B423" s="1">
        <f>DATE(2010,8,27) + TIME(7,23,15)</f>
        <v>40417.307812500003</v>
      </c>
      <c r="C423">
        <v>80</v>
      </c>
      <c r="D423">
        <v>79.890052795000003</v>
      </c>
      <c r="E423">
        <v>50</v>
      </c>
      <c r="F423">
        <v>49.355579376000001</v>
      </c>
      <c r="G423">
        <v>1333.6790771000001</v>
      </c>
      <c r="H423">
        <v>1332.6217041</v>
      </c>
      <c r="I423">
        <v>1328.4385986</v>
      </c>
      <c r="J423">
        <v>1327.5900879000001</v>
      </c>
      <c r="K423">
        <v>550</v>
      </c>
      <c r="L423">
        <v>0</v>
      </c>
      <c r="M423">
        <v>0</v>
      </c>
      <c r="N423">
        <v>550</v>
      </c>
    </row>
    <row r="424" spans="1:14" x14ac:dyDescent="0.25">
      <c r="A424">
        <v>118.929653</v>
      </c>
      <c r="B424" s="1">
        <f>DATE(2010,8,27) + TIME(22,18,42)</f>
        <v>40417.929652777777</v>
      </c>
      <c r="C424">
        <v>80</v>
      </c>
      <c r="D424">
        <v>79.890113830999994</v>
      </c>
      <c r="E424">
        <v>50</v>
      </c>
      <c r="F424">
        <v>49.547428130999997</v>
      </c>
      <c r="G424">
        <v>1333.6787108999999</v>
      </c>
      <c r="H424">
        <v>1332.6217041</v>
      </c>
      <c r="I424">
        <v>1328.4422606999999</v>
      </c>
      <c r="J424">
        <v>1327.5957031</v>
      </c>
      <c r="K424">
        <v>550</v>
      </c>
      <c r="L424">
        <v>0</v>
      </c>
      <c r="M424">
        <v>0</v>
      </c>
      <c r="N424">
        <v>550</v>
      </c>
    </row>
    <row r="425" spans="1:14" x14ac:dyDescent="0.25">
      <c r="A425">
        <v>119.550954</v>
      </c>
      <c r="B425" s="1">
        <f>DATE(2010,8,28) + TIME(13,13,22)</f>
        <v>40418.550949074073</v>
      </c>
      <c r="C425">
        <v>80</v>
      </c>
      <c r="D425">
        <v>79.890174865999995</v>
      </c>
      <c r="E425">
        <v>50</v>
      </c>
      <c r="F425">
        <v>49.728824615000001</v>
      </c>
      <c r="G425">
        <v>1333.6783447</v>
      </c>
      <c r="H425">
        <v>1332.6217041</v>
      </c>
      <c r="I425">
        <v>1328.4458007999999</v>
      </c>
      <c r="J425">
        <v>1327.6011963000001</v>
      </c>
      <c r="K425">
        <v>550</v>
      </c>
      <c r="L425">
        <v>0</v>
      </c>
      <c r="M425">
        <v>0</v>
      </c>
      <c r="N425">
        <v>550</v>
      </c>
    </row>
    <row r="426" spans="1:14" x14ac:dyDescent="0.25">
      <c r="A426">
        <v>120.172254</v>
      </c>
      <c r="B426" s="1">
        <f>DATE(2010,8,29) + TIME(4,8,2)</f>
        <v>40419.17224537037</v>
      </c>
      <c r="C426">
        <v>80</v>
      </c>
      <c r="D426">
        <v>79.890243530000006</v>
      </c>
      <c r="E426">
        <v>50</v>
      </c>
      <c r="F426">
        <v>49.901882172000001</v>
      </c>
      <c r="G426">
        <v>1333.6778564000001</v>
      </c>
      <c r="H426">
        <v>1332.6217041</v>
      </c>
      <c r="I426">
        <v>1328.4494629000001</v>
      </c>
      <c r="J426">
        <v>1327.6064452999999</v>
      </c>
      <c r="K426">
        <v>550</v>
      </c>
      <c r="L426">
        <v>0</v>
      </c>
      <c r="M426">
        <v>0</v>
      </c>
      <c r="N426">
        <v>550</v>
      </c>
    </row>
    <row r="427" spans="1:14" x14ac:dyDescent="0.25">
      <c r="A427">
        <v>120.793554</v>
      </c>
      <c r="B427" s="1">
        <f>DATE(2010,8,29) + TIME(19,2,43)</f>
        <v>40419.793553240743</v>
      </c>
      <c r="C427">
        <v>80</v>
      </c>
      <c r="D427">
        <v>79.890312195000007</v>
      </c>
      <c r="E427">
        <v>50</v>
      </c>
      <c r="F427">
        <v>50.068069457999997</v>
      </c>
      <c r="G427">
        <v>1333.6774902</v>
      </c>
      <c r="H427">
        <v>1332.6217041</v>
      </c>
      <c r="I427">
        <v>1328.4528809000001</v>
      </c>
      <c r="J427">
        <v>1327.6116943</v>
      </c>
      <c r="K427">
        <v>550</v>
      </c>
      <c r="L427">
        <v>0</v>
      </c>
      <c r="M427">
        <v>0</v>
      </c>
      <c r="N427">
        <v>550</v>
      </c>
    </row>
    <row r="428" spans="1:14" x14ac:dyDescent="0.25">
      <c r="A428">
        <v>121.41485400000001</v>
      </c>
      <c r="B428" s="1">
        <f>DATE(2010,8,30) + TIME(9,57,23)</f>
        <v>40420.414849537039</v>
      </c>
      <c r="C428">
        <v>80</v>
      </c>
      <c r="D428">
        <v>79.890380859000004</v>
      </c>
      <c r="E428">
        <v>50</v>
      </c>
      <c r="F428">
        <v>50.228507995999998</v>
      </c>
      <c r="G428">
        <v>1333.677124</v>
      </c>
      <c r="H428">
        <v>1332.6217041</v>
      </c>
      <c r="I428">
        <v>1328.4564209</v>
      </c>
      <c r="J428">
        <v>1327.6168213000001</v>
      </c>
      <c r="K428">
        <v>550</v>
      </c>
      <c r="L428">
        <v>0</v>
      </c>
      <c r="M428">
        <v>0</v>
      </c>
      <c r="N428">
        <v>550</v>
      </c>
    </row>
    <row r="429" spans="1:14" x14ac:dyDescent="0.25">
      <c r="A429">
        <v>122.03615499999999</v>
      </c>
      <c r="B429" s="1">
        <f>DATE(2010,8,31) + TIME(0,52,3)</f>
        <v>40421.036145833335</v>
      </c>
      <c r="C429">
        <v>80</v>
      </c>
      <c r="D429">
        <v>79.890449524000005</v>
      </c>
      <c r="E429">
        <v>50</v>
      </c>
      <c r="F429">
        <v>50.384094238000003</v>
      </c>
      <c r="G429">
        <v>1333.6767577999999</v>
      </c>
      <c r="H429">
        <v>1332.6217041</v>
      </c>
      <c r="I429">
        <v>1328.4599608999999</v>
      </c>
      <c r="J429">
        <v>1327.6218262</v>
      </c>
      <c r="K429">
        <v>550</v>
      </c>
      <c r="L429">
        <v>0</v>
      </c>
      <c r="M429">
        <v>0</v>
      </c>
      <c r="N429">
        <v>550</v>
      </c>
    </row>
    <row r="430" spans="1:14" x14ac:dyDescent="0.25">
      <c r="A430">
        <v>123</v>
      </c>
      <c r="B430" s="1">
        <f>DATE(2010,9,1) + TIME(0,0,0)</f>
        <v>40422</v>
      </c>
      <c r="C430">
        <v>80</v>
      </c>
      <c r="D430">
        <v>79.890563964999998</v>
      </c>
      <c r="E430">
        <v>50</v>
      </c>
      <c r="F430">
        <v>50.590019226000003</v>
      </c>
      <c r="G430">
        <v>1333.6763916</v>
      </c>
      <c r="H430">
        <v>1332.6217041</v>
      </c>
      <c r="I430">
        <v>1328.4631348</v>
      </c>
      <c r="J430">
        <v>1327.6269531</v>
      </c>
      <c r="K430">
        <v>550</v>
      </c>
      <c r="L430">
        <v>0</v>
      </c>
      <c r="M430">
        <v>0</v>
      </c>
      <c r="N430">
        <v>550</v>
      </c>
    </row>
    <row r="431" spans="1:14" x14ac:dyDescent="0.25">
      <c r="A431">
        <v>124.24260099999999</v>
      </c>
      <c r="B431" s="1">
        <f>DATE(2010,9,2) + TIME(5,49,20)</f>
        <v>40423.242592592593</v>
      </c>
      <c r="C431">
        <v>80</v>
      </c>
      <c r="D431">
        <v>79.890716553000004</v>
      </c>
      <c r="E431">
        <v>50</v>
      </c>
      <c r="F431">
        <v>50.833572388</v>
      </c>
      <c r="G431">
        <v>1333.6759033000001</v>
      </c>
      <c r="H431">
        <v>1332.6217041</v>
      </c>
      <c r="I431">
        <v>1328.4680175999999</v>
      </c>
      <c r="J431">
        <v>1327.6341553</v>
      </c>
      <c r="K431">
        <v>550</v>
      </c>
      <c r="L431">
        <v>0</v>
      </c>
      <c r="M431">
        <v>0</v>
      </c>
      <c r="N431">
        <v>550</v>
      </c>
    </row>
    <row r="432" spans="1:14" x14ac:dyDescent="0.25">
      <c r="A432">
        <v>125.495908</v>
      </c>
      <c r="B432" s="1">
        <f>DATE(2010,9,3) + TIME(11,54,6)</f>
        <v>40424.49590277778</v>
      </c>
      <c r="C432">
        <v>80</v>
      </c>
      <c r="D432">
        <v>79.890869140999996</v>
      </c>
      <c r="E432">
        <v>50</v>
      </c>
      <c r="F432">
        <v>51.087257385000001</v>
      </c>
      <c r="G432">
        <v>1333.6751709</v>
      </c>
      <c r="H432">
        <v>1332.6217041</v>
      </c>
      <c r="I432">
        <v>1328.4744873</v>
      </c>
      <c r="J432">
        <v>1327.6427002</v>
      </c>
      <c r="K432">
        <v>550</v>
      </c>
      <c r="L432">
        <v>0</v>
      </c>
      <c r="M432">
        <v>0</v>
      </c>
      <c r="N432">
        <v>550</v>
      </c>
    </row>
    <row r="433" spans="1:14" x14ac:dyDescent="0.25">
      <c r="A433">
        <v>126.76669099999999</v>
      </c>
      <c r="B433" s="1">
        <f>DATE(2010,9,4) + TIME(18,24,2)</f>
        <v>40425.766689814816</v>
      </c>
      <c r="C433">
        <v>80</v>
      </c>
      <c r="D433">
        <v>79.891014099000003</v>
      </c>
      <c r="E433">
        <v>50</v>
      </c>
      <c r="F433">
        <v>51.345420836999999</v>
      </c>
      <c r="G433">
        <v>1333.6745605000001</v>
      </c>
      <c r="H433">
        <v>1332.6218262</v>
      </c>
      <c r="I433">
        <v>1328.480957</v>
      </c>
      <c r="J433">
        <v>1327.6513672000001</v>
      </c>
      <c r="K433">
        <v>550</v>
      </c>
      <c r="L433">
        <v>0</v>
      </c>
      <c r="M433">
        <v>0</v>
      </c>
      <c r="N433">
        <v>550</v>
      </c>
    </row>
    <row r="434" spans="1:14" x14ac:dyDescent="0.25">
      <c r="A434">
        <v>128.05948699999999</v>
      </c>
      <c r="B434" s="1">
        <f>DATE(2010,9,6) + TIME(1,25,39)</f>
        <v>40427.059479166666</v>
      </c>
      <c r="C434">
        <v>80</v>
      </c>
      <c r="D434">
        <v>79.891159058</v>
      </c>
      <c r="E434">
        <v>50</v>
      </c>
      <c r="F434">
        <v>51.604747772000003</v>
      </c>
      <c r="G434">
        <v>1333.6738281</v>
      </c>
      <c r="H434">
        <v>1332.6218262</v>
      </c>
      <c r="I434">
        <v>1328.4874268000001</v>
      </c>
      <c r="J434">
        <v>1327.6602783000001</v>
      </c>
      <c r="K434">
        <v>550</v>
      </c>
      <c r="L434">
        <v>0</v>
      </c>
      <c r="M434">
        <v>0</v>
      </c>
      <c r="N434">
        <v>550</v>
      </c>
    </row>
    <row r="435" spans="1:14" x14ac:dyDescent="0.25">
      <c r="A435">
        <v>129.378908</v>
      </c>
      <c r="B435" s="1">
        <f>DATE(2010,9,7) + TIME(9,5,37)</f>
        <v>40428.378900462965</v>
      </c>
      <c r="C435">
        <v>80</v>
      </c>
      <c r="D435">
        <v>79.891304016000007</v>
      </c>
      <c r="E435">
        <v>50</v>
      </c>
      <c r="F435">
        <v>51.863124847000002</v>
      </c>
      <c r="G435">
        <v>1333.6732178</v>
      </c>
      <c r="H435">
        <v>1332.6219481999999</v>
      </c>
      <c r="I435">
        <v>1328.4940185999999</v>
      </c>
      <c r="J435">
        <v>1327.6691894999999</v>
      </c>
      <c r="K435">
        <v>550</v>
      </c>
      <c r="L435">
        <v>0</v>
      </c>
      <c r="M435">
        <v>0</v>
      </c>
      <c r="N435">
        <v>550</v>
      </c>
    </row>
    <row r="436" spans="1:14" x14ac:dyDescent="0.25">
      <c r="A436">
        <v>130.73030700000001</v>
      </c>
      <c r="B436" s="1">
        <f>DATE(2010,9,8) + TIME(17,31,38)</f>
        <v>40429.730300925927</v>
      </c>
      <c r="C436">
        <v>80</v>
      </c>
      <c r="D436">
        <v>79.891456603999998</v>
      </c>
      <c r="E436">
        <v>50</v>
      </c>
      <c r="F436">
        <v>52.119712829999997</v>
      </c>
      <c r="G436">
        <v>1333.6726074000001</v>
      </c>
      <c r="H436">
        <v>1332.6220702999999</v>
      </c>
      <c r="I436">
        <v>1328.5007324000001</v>
      </c>
      <c r="J436">
        <v>1327.6783447</v>
      </c>
      <c r="K436">
        <v>550</v>
      </c>
      <c r="L436">
        <v>0</v>
      </c>
      <c r="M436">
        <v>0</v>
      </c>
      <c r="N436">
        <v>550</v>
      </c>
    </row>
    <row r="437" spans="1:14" x14ac:dyDescent="0.25">
      <c r="A437">
        <v>132.10860500000001</v>
      </c>
      <c r="B437" s="1">
        <f>DATE(2010,9,10) + TIME(2,36,23)</f>
        <v>40431.108599537038</v>
      </c>
      <c r="C437">
        <v>80</v>
      </c>
      <c r="D437">
        <v>79.891609192000004</v>
      </c>
      <c r="E437">
        <v>50</v>
      </c>
      <c r="F437">
        <v>52.373271942000002</v>
      </c>
      <c r="G437">
        <v>1333.6717529</v>
      </c>
      <c r="H437">
        <v>1332.6220702999999</v>
      </c>
      <c r="I437">
        <v>1328.5074463000001</v>
      </c>
      <c r="J437">
        <v>1327.6875</v>
      </c>
      <c r="K437">
        <v>550</v>
      </c>
      <c r="L437">
        <v>0</v>
      </c>
      <c r="M437">
        <v>0</v>
      </c>
      <c r="N437">
        <v>550</v>
      </c>
    </row>
    <row r="438" spans="1:14" x14ac:dyDescent="0.25">
      <c r="A438">
        <v>133.519409</v>
      </c>
      <c r="B438" s="1">
        <f>DATE(2010,9,11) + TIME(12,27,56)</f>
        <v>40432.51939814815</v>
      </c>
      <c r="C438">
        <v>80</v>
      </c>
      <c r="D438">
        <v>79.891761779999996</v>
      </c>
      <c r="E438">
        <v>50</v>
      </c>
      <c r="F438">
        <v>52.623825072999999</v>
      </c>
      <c r="G438">
        <v>1333.6710204999999</v>
      </c>
      <c r="H438">
        <v>1332.6221923999999</v>
      </c>
      <c r="I438">
        <v>1328.5142822</v>
      </c>
      <c r="J438">
        <v>1327.6967772999999</v>
      </c>
      <c r="K438">
        <v>550</v>
      </c>
      <c r="L438">
        <v>0</v>
      </c>
      <c r="M438">
        <v>0</v>
      </c>
      <c r="N438">
        <v>550</v>
      </c>
    </row>
    <row r="439" spans="1:14" x14ac:dyDescent="0.25">
      <c r="A439">
        <v>134.23750000000001</v>
      </c>
      <c r="B439" s="1">
        <f>DATE(2010,9,12) + TIME(5,41,59)</f>
        <v>40433.237488425926</v>
      </c>
      <c r="C439">
        <v>80</v>
      </c>
      <c r="D439">
        <v>79.891822814999998</v>
      </c>
      <c r="E439">
        <v>50</v>
      </c>
      <c r="F439">
        <v>52.782451629999997</v>
      </c>
      <c r="G439">
        <v>1333.6702881000001</v>
      </c>
      <c r="H439">
        <v>1332.6223144999999</v>
      </c>
      <c r="I439">
        <v>1328.5216064000001</v>
      </c>
      <c r="J439">
        <v>1327.7055664</v>
      </c>
      <c r="K439">
        <v>550</v>
      </c>
      <c r="L439">
        <v>0</v>
      </c>
      <c r="M439">
        <v>0</v>
      </c>
      <c r="N439">
        <v>550</v>
      </c>
    </row>
    <row r="440" spans="1:14" x14ac:dyDescent="0.25">
      <c r="A440">
        <v>134.955591</v>
      </c>
      <c r="B440" s="1">
        <f>DATE(2010,9,12) + TIME(22,56,3)</f>
        <v>40433.955590277779</v>
      </c>
      <c r="C440">
        <v>80</v>
      </c>
      <c r="D440">
        <v>79.891891478999995</v>
      </c>
      <c r="E440">
        <v>50</v>
      </c>
      <c r="F440">
        <v>52.929237366000002</v>
      </c>
      <c r="G440">
        <v>1333.6699219</v>
      </c>
      <c r="H440">
        <v>1332.6223144999999</v>
      </c>
      <c r="I440">
        <v>1328.5252685999999</v>
      </c>
      <c r="J440">
        <v>1327.7110596</v>
      </c>
      <c r="K440">
        <v>550</v>
      </c>
      <c r="L440">
        <v>0</v>
      </c>
      <c r="M440">
        <v>0</v>
      </c>
      <c r="N440">
        <v>550</v>
      </c>
    </row>
    <row r="441" spans="1:14" x14ac:dyDescent="0.25">
      <c r="A441">
        <v>135.67368200000001</v>
      </c>
      <c r="B441" s="1">
        <f>DATE(2010,9,13) + TIME(16,10,6)</f>
        <v>40434.673680555556</v>
      </c>
      <c r="C441">
        <v>80</v>
      </c>
      <c r="D441">
        <v>79.891960143999995</v>
      </c>
      <c r="E441">
        <v>50</v>
      </c>
      <c r="F441">
        <v>53.066955565999997</v>
      </c>
      <c r="G441">
        <v>1333.6696777</v>
      </c>
      <c r="H441">
        <v>1332.6224365</v>
      </c>
      <c r="I441">
        <v>1328.5289307</v>
      </c>
      <c r="J441">
        <v>1327.7163086</v>
      </c>
      <c r="K441">
        <v>550</v>
      </c>
      <c r="L441">
        <v>0</v>
      </c>
      <c r="M441">
        <v>0</v>
      </c>
      <c r="N441">
        <v>550</v>
      </c>
    </row>
    <row r="442" spans="1:14" x14ac:dyDescent="0.25">
      <c r="A442">
        <v>136.391773</v>
      </c>
      <c r="B442" s="1">
        <f>DATE(2010,9,14) + TIME(9,24,9)</f>
        <v>40435.391770833332</v>
      </c>
      <c r="C442">
        <v>80</v>
      </c>
      <c r="D442">
        <v>79.892036438000005</v>
      </c>
      <c r="E442">
        <v>50</v>
      </c>
      <c r="F442">
        <v>53.197612761999999</v>
      </c>
      <c r="G442">
        <v>1333.6693115</v>
      </c>
      <c r="H442">
        <v>1332.6224365</v>
      </c>
      <c r="I442">
        <v>1328.5325928</v>
      </c>
      <c r="J442">
        <v>1327.7213135</v>
      </c>
      <c r="K442">
        <v>550</v>
      </c>
      <c r="L442">
        <v>0</v>
      </c>
      <c r="M442">
        <v>0</v>
      </c>
      <c r="N442">
        <v>550</v>
      </c>
    </row>
    <row r="443" spans="1:14" x14ac:dyDescent="0.25">
      <c r="A443">
        <v>137.10986500000001</v>
      </c>
      <c r="B443" s="1">
        <f>DATE(2010,9,15) + TIME(2,38,12)</f>
        <v>40436.109861111108</v>
      </c>
      <c r="C443">
        <v>80</v>
      </c>
      <c r="D443">
        <v>79.892112732000001</v>
      </c>
      <c r="E443">
        <v>50</v>
      </c>
      <c r="F443">
        <v>53.322647095000001</v>
      </c>
      <c r="G443">
        <v>1333.6689452999999</v>
      </c>
      <c r="H443">
        <v>1332.6225586</v>
      </c>
      <c r="I443">
        <v>1328.5361327999999</v>
      </c>
      <c r="J443">
        <v>1327.7263184000001</v>
      </c>
      <c r="K443">
        <v>550</v>
      </c>
      <c r="L443">
        <v>0</v>
      </c>
      <c r="M443">
        <v>0</v>
      </c>
      <c r="N443">
        <v>550</v>
      </c>
    </row>
    <row r="444" spans="1:14" x14ac:dyDescent="0.25">
      <c r="A444">
        <v>137.827956</v>
      </c>
      <c r="B444" s="1">
        <f>DATE(2010,9,15) + TIME(19,52,15)</f>
        <v>40436.827951388892</v>
      </c>
      <c r="C444">
        <v>80</v>
      </c>
      <c r="D444">
        <v>79.892189025999997</v>
      </c>
      <c r="E444">
        <v>50</v>
      </c>
      <c r="F444">
        <v>53.443107605000002</v>
      </c>
      <c r="G444">
        <v>1333.6687012</v>
      </c>
      <c r="H444">
        <v>1332.6226807</v>
      </c>
      <c r="I444">
        <v>1328.5396728999999</v>
      </c>
      <c r="J444">
        <v>1327.7312012</v>
      </c>
      <c r="K444">
        <v>550</v>
      </c>
      <c r="L444">
        <v>0</v>
      </c>
      <c r="M444">
        <v>0</v>
      </c>
      <c r="N444">
        <v>550</v>
      </c>
    </row>
    <row r="445" spans="1:14" x14ac:dyDescent="0.25">
      <c r="A445">
        <v>138.54604699999999</v>
      </c>
      <c r="B445" s="1">
        <f>DATE(2010,9,16) + TIME(13,6,18)</f>
        <v>40437.546041666668</v>
      </c>
      <c r="C445">
        <v>80</v>
      </c>
      <c r="D445">
        <v>79.892265320000007</v>
      </c>
      <c r="E445">
        <v>50</v>
      </c>
      <c r="F445">
        <v>53.559757232999999</v>
      </c>
      <c r="G445">
        <v>1333.6683350000001</v>
      </c>
      <c r="H445">
        <v>1332.6226807</v>
      </c>
      <c r="I445">
        <v>1328.5430908000001</v>
      </c>
      <c r="J445">
        <v>1327.7359618999999</v>
      </c>
      <c r="K445">
        <v>550</v>
      </c>
      <c r="L445">
        <v>0</v>
      </c>
      <c r="M445">
        <v>0</v>
      </c>
      <c r="N445">
        <v>550</v>
      </c>
    </row>
    <row r="446" spans="1:14" x14ac:dyDescent="0.25">
      <c r="A446">
        <v>139.264138</v>
      </c>
      <c r="B446" s="1">
        <f>DATE(2010,9,17) + TIME(6,20,21)</f>
        <v>40438.264131944445</v>
      </c>
      <c r="C446">
        <v>80</v>
      </c>
      <c r="D446">
        <v>79.892349242999998</v>
      </c>
      <c r="E446">
        <v>50</v>
      </c>
      <c r="F446">
        <v>53.673156738000003</v>
      </c>
      <c r="G446">
        <v>1333.6680908000001</v>
      </c>
      <c r="H446">
        <v>1332.6228027</v>
      </c>
      <c r="I446">
        <v>1328.5465088000001</v>
      </c>
      <c r="J446">
        <v>1327.7406006000001</v>
      </c>
      <c r="K446">
        <v>550</v>
      </c>
      <c r="L446">
        <v>0</v>
      </c>
      <c r="M446">
        <v>0</v>
      </c>
      <c r="N446">
        <v>550</v>
      </c>
    </row>
    <row r="447" spans="1:14" x14ac:dyDescent="0.25">
      <c r="A447">
        <v>139.98222899999999</v>
      </c>
      <c r="B447" s="1">
        <f>DATE(2010,9,17) + TIME(23,34,24)</f>
        <v>40438.982222222221</v>
      </c>
      <c r="C447">
        <v>80</v>
      </c>
      <c r="D447">
        <v>79.892425536999994</v>
      </c>
      <c r="E447">
        <v>50</v>
      </c>
      <c r="F447">
        <v>53.783725738999998</v>
      </c>
      <c r="G447">
        <v>1333.6677245999999</v>
      </c>
      <c r="H447">
        <v>1332.6229248</v>
      </c>
      <c r="I447">
        <v>1328.5499268000001</v>
      </c>
      <c r="J447">
        <v>1327.7451172000001</v>
      </c>
      <c r="K447">
        <v>550</v>
      </c>
      <c r="L447">
        <v>0</v>
      </c>
      <c r="M447">
        <v>0</v>
      </c>
      <c r="N447">
        <v>550</v>
      </c>
    </row>
    <row r="448" spans="1:14" x14ac:dyDescent="0.25">
      <c r="A448">
        <v>141.41841199999999</v>
      </c>
      <c r="B448" s="1">
        <f>DATE(2010,9,19) + TIME(10,2,30)</f>
        <v>40440.418402777781</v>
      </c>
      <c r="C448">
        <v>80</v>
      </c>
      <c r="D448">
        <v>79.892608643000003</v>
      </c>
      <c r="E448">
        <v>50</v>
      </c>
      <c r="F448">
        <v>53.9518013</v>
      </c>
      <c r="G448">
        <v>1333.6674805</v>
      </c>
      <c r="H448">
        <v>1332.6230469</v>
      </c>
      <c r="I448">
        <v>1328.5531006000001</v>
      </c>
      <c r="J448">
        <v>1327.7501221</v>
      </c>
      <c r="K448">
        <v>550</v>
      </c>
      <c r="L448">
        <v>0</v>
      </c>
      <c r="M448">
        <v>0</v>
      </c>
      <c r="N448">
        <v>550</v>
      </c>
    </row>
    <row r="449" spans="1:14" x14ac:dyDescent="0.25">
      <c r="A449">
        <v>142.85544999999999</v>
      </c>
      <c r="B449" s="1">
        <f>DATE(2010,9,20) + TIME(20,31,50)</f>
        <v>40441.855439814812</v>
      </c>
      <c r="C449">
        <v>80</v>
      </c>
      <c r="D449">
        <v>79.892768860000004</v>
      </c>
      <c r="E449">
        <v>50</v>
      </c>
      <c r="F449">
        <v>54.133312224999997</v>
      </c>
      <c r="G449">
        <v>1333.6668701000001</v>
      </c>
      <c r="H449">
        <v>1332.6231689000001</v>
      </c>
      <c r="I449">
        <v>1328.5593262</v>
      </c>
      <c r="J449">
        <v>1327.7578125</v>
      </c>
      <c r="K449">
        <v>550</v>
      </c>
      <c r="L449">
        <v>0</v>
      </c>
      <c r="M449">
        <v>0</v>
      </c>
      <c r="N449">
        <v>550</v>
      </c>
    </row>
    <row r="450" spans="1:14" x14ac:dyDescent="0.25">
      <c r="A450">
        <v>144.31501399999999</v>
      </c>
      <c r="B450" s="1">
        <f>DATE(2010,9,22) + TIME(7,33,37)</f>
        <v>40443.315011574072</v>
      </c>
      <c r="C450">
        <v>80</v>
      </c>
      <c r="D450">
        <v>79.892936707000004</v>
      </c>
      <c r="E450">
        <v>50</v>
      </c>
      <c r="F450">
        <v>54.321121216000002</v>
      </c>
      <c r="G450">
        <v>1333.6663818</v>
      </c>
      <c r="H450">
        <v>1332.6234131000001</v>
      </c>
      <c r="I450">
        <v>1328.5655518000001</v>
      </c>
      <c r="J450">
        <v>1327.7657471</v>
      </c>
      <c r="K450">
        <v>550</v>
      </c>
      <c r="L450">
        <v>0</v>
      </c>
      <c r="M450">
        <v>0</v>
      </c>
      <c r="N450">
        <v>550</v>
      </c>
    </row>
    <row r="451" spans="1:14" x14ac:dyDescent="0.25">
      <c r="A451">
        <v>145.802637</v>
      </c>
      <c r="B451" s="1">
        <f>DATE(2010,9,23) + TIME(19,15,47)</f>
        <v>40444.802627314813</v>
      </c>
      <c r="C451">
        <v>80</v>
      </c>
      <c r="D451">
        <v>79.893104553000001</v>
      </c>
      <c r="E451">
        <v>50</v>
      </c>
      <c r="F451">
        <v>54.511478424000003</v>
      </c>
      <c r="G451">
        <v>1333.6658935999999</v>
      </c>
      <c r="H451">
        <v>1332.6236572</v>
      </c>
      <c r="I451">
        <v>1328.5718993999999</v>
      </c>
      <c r="J451">
        <v>1327.7739257999999</v>
      </c>
      <c r="K451">
        <v>550</v>
      </c>
      <c r="L451">
        <v>0</v>
      </c>
      <c r="M451">
        <v>0</v>
      </c>
      <c r="N451">
        <v>550</v>
      </c>
    </row>
    <row r="452" spans="1:14" x14ac:dyDescent="0.25">
      <c r="A452">
        <v>147.32427000000001</v>
      </c>
      <c r="B452" s="1">
        <f>DATE(2010,9,25) + TIME(7,46,56)</f>
        <v>40446.324259259258</v>
      </c>
      <c r="C452">
        <v>80</v>
      </c>
      <c r="D452">
        <v>79.893272400000001</v>
      </c>
      <c r="E452">
        <v>50</v>
      </c>
      <c r="F452">
        <v>54.702590942</v>
      </c>
      <c r="G452">
        <v>1333.6654053</v>
      </c>
      <c r="H452">
        <v>1332.6240233999999</v>
      </c>
      <c r="I452">
        <v>1328.5783690999999</v>
      </c>
      <c r="J452">
        <v>1327.7822266000001</v>
      </c>
      <c r="K452">
        <v>550</v>
      </c>
      <c r="L452">
        <v>0</v>
      </c>
      <c r="M452">
        <v>0</v>
      </c>
      <c r="N452">
        <v>550</v>
      </c>
    </row>
    <row r="453" spans="1:14" x14ac:dyDescent="0.25">
      <c r="A453">
        <v>148.88554199999999</v>
      </c>
      <c r="B453" s="1">
        <f>DATE(2010,9,26) + TIME(21,15,10)</f>
        <v>40447.88553240741</v>
      </c>
      <c r="C453">
        <v>80</v>
      </c>
      <c r="D453">
        <v>79.893447875999996</v>
      </c>
      <c r="E453">
        <v>50</v>
      </c>
      <c r="F453">
        <v>54.893718718999999</v>
      </c>
      <c r="G453">
        <v>1333.6650391000001</v>
      </c>
      <c r="H453">
        <v>1332.6242675999999</v>
      </c>
      <c r="I453">
        <v>1328.5849608999999</v>
      </c>
      <c r="J453">
        <v>1327.7907714999999</v>
      </c>
      <c r="K453">
        <v>550</v>
      </c>
      <c r="L453">
        <v>0</v>
      </c>
      <c r="M453">
        <v>0</v>
      </c>
      <c r="N453">
        <v>550</v>
      </c>
    </row>
    <row r="454" spans="1:14" x14ac:dyDescent="0.25">
      <c r="A454">
        <v>150.47184300000001</v>
      </c>
      <c r="B454" s="1">
        <f>DATE(2010,9,28) + TIME(11,19,27)</f>
        <v>40449.47184027778</v>
      </c>
      <c r="C454">
        <v>80</v>
      </c>
      <c r="D454">
        <v>79.893623352000006</v>
      </c>
      <c r="E454">
        <v>50</v>
      </c>
      <c r="F454">
        <v>55.083400726000001</v>
      </c>
      <c r="G454">
        <v>1333.6645507999999</v>
      </c>
      <c r="H454">
        <v>1332.6246338000001</v>
      </c>
      <c r="I454">
        <v>1328.5916748</v>
      </c>
      <c r="J454">
        <v>1327.7993164</v>
      </c>
      <c r="K454">
        <v>550</v>
      </c>
      <c r="L454">
        <v>0</v>
      </c>
      <c r="M454">
        <v>0</v>
      </c>
      <c r="N454">
        <v>550</v>
      </c>
    </row>
    <row r="455" spans="1:14" x14ac:dyDescent="0.25">
      <c r="A455">
        <v>152.089393</v>
      </c>
      <c r="B455" s="1">
        <f>DATE(2010,9,30) + TIME(2,8,43)</f>
        <v>40451.089386574073</v>
      </c>
      <c r="C455">
        <v>80</v>
      </c>
      <c r="D455">
        <v>79.893806458</v>
      </c>
      <c r="E455">
        <v>50</v>
      </c>
      <c r="F455">
        <v>55.271430969000001</v>
      </c>
      <c r="G455">
        <v>1333.6641846</v>
      </c>
      <c r="H455">
        <v>1332.625</v>
      </c>
      <c r="I455">
        <v>1328.5983887</v>
      </c>
      <c r="J455">
        <v>1327.8079834</v>
      </c>
      <c r="K455">
        <v>550</v>
      </c>
      <c r="L455">
        <v>0</v>
      </c>
      <c r="M455">
        <v>0</v>
      </c>
      <c r="N455">
        <v>550</v>
      </c>
    </row>
    <row r="456" spans="1:14" x14ac:dyDescent="0.25">
      <c r="A456">
        <v>153</v>
      </c>
      <c r="B456" s="1">
        <f>DATE(2010,10,1) + TIME(0,0,0)</f>
        <v>40452</v>
      </c>
      <c r="C456">
        <v>80</v>
      </c>
      <c r="D456">
        <v>79.893890381000006</v>
      </c>
      <c r="E456">
        <v>50</v>
      </c>
      <c r="F456">
        <v>55.402481078999998</v>
      </c>
      <c r="G456">
        <v>1333.6638184000001</v>
      </c>
      <c r="H456">
        <v>1332.6253661999999</v>
      </c>
      <c r="I456">
        <v>1328.6052245999999</v>
      </c>
      <c r="J456">
        <v>1327.8162841999999</v>
      </c>
      <c r="K456">
        <v>550</v>
      </c>
      <c r="L456">
        <v>0</v>
      </c>
      <c r="M456">
        <v>0</v>
      </c>
      <c r="N456">
        <v>550</v>
      </c>
    </row>
    <row r="457" spans="1:14" x14ac:dyDescent="0.25">
      <c r="A457">
        <v>153.82629399999999</v>
      </c>
      <c r="B457" s="1">
        <f>DATE(2010,10,1) + TIME(19,49,51)</f>
        <v>40452.826284722221</v>
      </c>
      <c r="C457">
        <v>80</v>
      </c>
      <c r="D457">
        <v>79.893966675000001</v>
      </c>
      <c r="E457">
        <v>50</v>
      </c>
      <c r="F457">
        <v>55.515361786</v>
      </c>
      <c r="G457">
        <v>1333.6636963000001</v>
      </c>
      <c r="H457">
        <v>1332.6256103999999</v>
      </c>
      <c r="I457">
        <v>1328.609375</v>
      </c>
      <c r="J457">
        <v>1327.8218993999999</v>
      </c>
      <c r="K457">
        <v>550</v>
      </c>
      <c r="L457">
        <v>0</v>
      </c>
      <c r="M457">
        <v>0</v>
      </c>
      <c r="N457">
        <v>550</v>
      </c>
    </row>
    <row r="458" spans="1:14" x14ac:dyDescent="0.25">
      <c r="A458">
        <v>154.65024500000001</v>
      </c>
      <c r="B458" s="1">
        <f>DATE(2010,10,2) + TIME(15,36,21)</f>
        <v>40453.650243055556</v>
      </c>
      <c r="C458">
        <v>80</v>
      </c>
      <c r="D458">
        <v>79.894058228000006</v>
      </c>
      <c r="E458">
        <v>50</v>
      </c>
      <c r="F458">
        <v>55.620559692</v>
      </c>
      <c r="G458">
        <v>1333.6634521000001</v>
      </c>
      <c r="H458">
        <v>1332.6258545000001</v>
      </c>
      <c r="I458">
        <v>1328.6130370999999</v>
      </c>
      <c r="J458">
        <v>1327.8269043</v>
      </c>
      <c r="K458">
        <v>550</v>
      </c>
      <c r="L458">
        <v>0</v>
      </c>
      <c r="M458">
        <v>0</v>
      </c>
      <c r="N458">
        <v>550</v>
      </c>
    </row>
    <row r="459" spans="1:14" x14ac:dyDescent="0.25">
      <c r="A459">
        <v>155.47419600000001</v>
      </c>
      <c r="B459" s="1">
        <f>DATE(2010,10,3) + TIME(11,22,50)</f>
        <v>40454.474189814813</v>
      </c>
      <c r="C459">
        <v>80</v>
      </c>
      <c r="D459">
        <v>79.894142150999997</v>
      </c>
      <c r="E459">
        <v>50</v>
      </c>
      <c r="F459">
        <v>55.720233917000002</v>
      </c>
      <c r="G459">
        <v>1333.6633300999999</v>
      </c>
      <c r="H459">
        <v>1332.6260986</v>
      </c>
      <c r="I459">
        <v>1328.6165771000001</v>
      </c>
      <c r="J459">
        <v>1327.8316649999999</v>
      </c>
      <c r="K459">
        <v>550</v>
      </c>
      <c r="L459">
        <v>0</v>
      </c>
      <c r="M459">
        <v>0</v>
      </c>
      <c r="N459">
        <v>550</v>
      </c>
    </row>
    <row r="460" spans="1:14" x14ac:dyDescent="0.25">
      <c r="A460">
        <v>156.298147</v>
      </c>
      <c r="B460" s="1">
        <f>DATE(2010,10,4) + TIME(7,9,19)</f>
        <v>40455.298136574071</v>
      </c>
      <c r="C460">
        <v>80</v>
      </c>
      <c r="D460">
        <v>79.894233704000001</v>
      </c>
      <c r="E460">
        <v>50</v>
      </c>
      <c r="F460">
        <v>55.815738678000002</v>
      </c>
      <c r="G460">
        <v>1333.6632079999999</v>
      </c>
      <c r="H460">
        <v>1332.6262207</v>
      </c>
      <c r="I460">
        <v>1328.6201172000001</v>
      </c>
      <c r="J460">
        <v>1327.8363036999999</v>
      </c>
      <c r="K460">
        <v>550</v>
      </c>
      <c r="L460">
        <v>0</v>
      </c>
      <c r="M460">
        <v>0</v>
      </c>
      <c r="N460">
        <v>550</v>
      </c>
    </row>
    <row r="461" spans="1:14" x14ac:dyDescent="0.25">
      <c r="A461">
        <v>157.12209799999999</v>
      </c>
      <c r="B461" s="1">
        <f>DATE(2010,10,5) + TIME(2,55,49)</f>
        <v>40456.122094907405</v>
      </c>
      <c r="C461">
        <v>80</v>
      </c>
      <c r="D461">
        <v>79.894325256000002</v>
      </c>
      <c r="E461">
        <v>50</v>
      </c>
      <c r="F461">
        <v>55.908023833999998</v>
      </c>
      <c r="G461">
        <v>1333.6630858999999</v>
      </c>
      <c r="H461">
        <v>1332.6264647999999</v>
      </c>
      <c r="I461">
        <v>1328.6235352000001</v>
      </c>
      <c r="J461">
        <v>1327.8408202999999</v>
      </c>
      <c r="K461">
        <v>550</v>
      </c>
      <c r="L461">
        <v>0</v>
      </c>
      <c r="M461">
        <v>0</v>
      </c>
      <c r="N461">
        <v>550</v>
      </c>
    </row>
    <row r="462" spans="1:14" x14ac:dyDescent="0.25">
      <c r="A462">
        <v>157.94604899999999</v>
      </c>
      <c r="B462" s="1">
        <f>DATE(2010,10,5) + TIME(22,42,18)</f>
        <v>40456.94604166667</v>
      </c>
      <c r="C462">
        <v>80</v>
      </c>
      <c r="D462">
        <v>79.894416809000006</v>
      </c>
      <c r="E462">
        <v>50</v>
      </c>
      <c r="F462">
        <v>55.997741699000002</v>
      </c>
      <c r="G462">
        <v>1333.6628418</v>
      </c>
      <c r="H462">
        <v>1332.6267089999999</v>
      </c>
      <c r="I462">
        <v>1328.6269531</v>
      </c>
      <c r="J462">
        <v>1327.8453368999999</v>
      </c>
      <c r="K462">
        <v>550</v>
      </c>
      <c r="L462">
        <v>0</v>
      </c>
      <c r="M462">
        <v>0</v>
      </c>
      <c r="N462">
        <v>550</v>
      </c>
    </row>
    <row r="463" spans="1:14" x14ac:dyDescent="0.25">
      <c r="A463">
        <v>158.77000000000001</v>
      </c>
      <c r="B463" s="1">
        <f>DATE(2010,10,6) + TIME(18,28,48)</f>
        <v>40457.769999999997</v>
      </c>
      <c r="C463">
        <v>80</v>
      </c>
      <c r="D463">
        <v>79.894508361999996</v>
      </c>
      <c r="E463">
        <v>50</v>
      </c>
      <c r="F463">
        <v>56.085357666</v>
      </c>
      <c r="G463">
        <v>1333.6627197</v>
      </c>
      <c r="H463">
        <v>1332.6269531</v>
      </c>
      <c r="I463">
        <v>1328.630249</v>
      </c>
      <c r="J463">
        <v>1327.8496094</v>
      </c>
      <c r="K463">
        <v>550</v>
      </c>
      <c r="L463">
        <v>0</v>
      </c>
      <c r="M463">
        <v>0</v>
      </c>
      <c r="N463">
        <v>550</v>
      </c>
    </row>
    <row r="464" spans="1:14" x14ac:dyDescent="0.25">
      <c r="A464">
        <v>160.417902</v>
      </c>
      <c r="B464" s="1">
        <f>DATE(2010,10,8) + TIME(10,1,46)</f>
        <v>40459.417893518519</v>
      </c>
      <c r="C464">
        <v>80</v>
      </c>
      <c r="D464">
        <v>79.894714355000005</v>
      </c>
      <c r="E464">
        <v>50</v>
      </c>
      <c r="F464">
        <v>56.215965271000002</v>
      </c>
      <c r="G464">
        <v>1333.6625977000001</v>
      </c>
      <c r="H464">
        <v>1332.6271973</v>
      </c>
      <c r="I464">
        <v>1328.6334228999999</v>
      </c>
      <c r="J464">
        <v>1327.8543701000001</v>
      </c>
      <c r="K464">
        <v>550</v>
      </c>
      <c r="L464">
        <v>0</v>
      </c>
      <c r="M464">
        <v>0</v>
      </c>
      <c r="N464">
        <v>550</v>
      </c>
    </row>
    <row r="465" spans="1:14" x14ac:dyDescent="0.25">
      <c r="A465">
        <v>162.071564</v>
      </c>
      <c r="B465" s="1">
        <f>DATE(2010,10,10) + TIME(1,43,3)</f>
        <v>40461.071562500001</v>
      </c>
      <c r="C465">
        <v>80</v>
      </c>
      <c r="D465">
        <v>79.894912719999994</v>
      </c>
      <c r="E465">
        <v>50</v>
      </c>
      <c r="F465">
        <v>56.360965729</v>
      </c>
      <c r="G465">
        <v>1333.6623535000001</v>
      </c>
      <c r="H465">
        <v>1332.6275635</v>
      </c>
      <c r="I465">
        <v>1328.6395264</v>
      </c>
      <c r="J465">
        <v>1327.8615723</v>
      </c>
      <c r="K465">
        <v>550</v>
      </c>
      <c r="L465">
        <v>0</v>
      </c>
      <c r="M465">
        <v>0</v>
      </c>
      <c r="N465">
        <v>550</v>
      </c>
    </row>
    <row r="466" spans="1:14" x14ac:dyDescent="0.25">
      <c r="A466">
        <v>163.75086899999999</v>
      </c>
      <c r="B466" s="1">
        <f>DATE(2010,10,11) + TIME(18,1,15)</f>
        <v>40462.750868055555</v>
      </c>
      <c r="C466">
        <v>80</v>
      </c>
      <c r="D466">
        <v>79.895095824999999</v>
      </c>
      <c r="E466">
        <v>50</v>
      </c>
      <c r="F466">
        <v>56.513019561999997</v>
      </c>
      <c r="G466">
        <v>1333.6621094</v>
      </c>
      <c r="H466">
        <v>1332.6280518000001</v>
      </c>
      <c r="I466">
        <v>1328.6456298999999</v>
      </c>
      <c r="J466">
        <v>1327.8691406</v>
      </c>
      <c r="K466">
        <v>550</v>
      </c>
      <c r="L466">
        <v>0</v>
      </c>
      <c r="M466">
        <v>0</v>
      </c>
      <c r="N466">
        <v>550</v>
      </c>
    </row>
    <row r="467" spans="1:14" x14ac:dyDescent="0.25">
      <c r="A467">
        <v>165.462729</v>
      </c>
      <c r="B467" s="1">
        <f>DATE(2010,10,13) + TIME(11,6,19)</f>
        <v>40464.462719907409</v>
      </c>
      <c r="C467">
        <v>80</v>
      </c>
      <c r="D467">
        <v>79.895286560000002</v>
      </c>
      <c r="E467">
        <v>50</v>
      </c>
      <c r="F467">
        <v>56.668651580999999</v>
      </c>
      <c r="G467">
        <v>1333.6618652</v>
      </c>
      <c r="H467">
        <v>1332.6285399999999</v>
      </c>
      <c r="I467">
        <v>1328.6519774999999</v>
      </c>
      <c r="J467">
        <v>1327.8769531</v>
      </c>
      <c r="K467">
        <v>550</v>
      </c>
      <c r="L467">
        <v>0</v>
      </c>
      <c r="M467">
        <v>0</v>
      </c>
      <c r="N467">
        <v>550</v>
      </c>
    </row>
    <row r="468" spans="1:14" x14ac:dyDescent="0.25">
      <c r="A468">
        <v>167.21458799999999</v>
      </c>
      <c r="B468" s="1">
        <f>DATE(2010,10,15) + TIME(5,9,0)</f>
        <v>40466.214583333334</v>
      </c>
      <c r="C468">
        <v>80</v>
      </c>
      <c r="D468">
        <v>79.895484924000002</v>
      </c>
      <c r="E468">
        <v>50</v>
      </c>
      <c r="F468">
        <v>56.826339722</v>
      </c>
      <c r="G468">
        <v>1333.6616211</v>
      </c>
      <c r="H468">
        <v>1332.6290283000001</v>
      </c>
      <c r="I468">
        <v>1328.6583252</v>
      </c>
      <c r="J468">
        <v>1327.8848877</v>
      </c>
      <c r="K468">
        <v>550</v>
      </c>
      <c r="L468">
        <v>0</v>
      </c>
      <c r="M468">
        <v>0</v>
      </c>
      <c r="N468">
        <v>550</v>
      </c>
    </row>
    <row r="469" spans="1:14" x14ac:dyDescent="0.25">
      <c r="A469">
        <v>169.00913600000001</v>
      </c>
      <c r="B469" s="1">
        <f>DATE(2010,10,17) + TIME(0,13,9)</f>
        <v>40468.009131944447</v>
      </c>
      <c r="C469">
        <v>80</v>
      </c>
      <c r="D469">
        <v>79.895683289000004</v>
      </c>
      <c r="E469">
        <v>50</v>
      </c>
      <c r="F469">
        <v>56.985324859999999</v>
      </c>
      <c r="G469">
        <v>1333.6613769999999</v>
      </c>
      <c r="H469">
        <v>1332.6295166</v>
      </c>
      <c r="I469">
        <v>1328.6647949000001</v>
      </c>
      <c r="J469">
        <v>1327.8930664</v>
      </c>
      <c r="K469">
        <v>550</v>
      </c>
      <c r="L469">
        <v>0</v>
      </c>
      <c r="M469">
        <v>0</v>
      </c>
      <c r="N469">
        <v>550</v>
      </c>
    </row>
    <row r="470" spans="1:14" x14ac:dyDescent="0.25">
      <c r="A470">
        <v>170.847476</v>
      </c>
      <c r="B470" s="1">
        <f>DATE(2010,10,18) + TIME(20,20,21)</f>
        <v>40469.84746527778</v>
      </c>
      <c r="C470">
        <v>80</v>
      </c>
      <c r="D470">
        <v>79.895889281999999</v>
      </c>
      <c r="E470">
        <v>50</v>
      </c>
      <c r="F470">
        <v>57.145206451</v>
      </c>
      <c r="G470">
        <v>1333.6612548999999</v>
      </c>
      <c r="H470">
        <v>1332.6301269999999</v>
      </c>
      <c r="I470">
        <v>1328.6713867000001</v>
      </c>
      <c r="J470">
        <v>1327.9013672000001</v>
      </c>
      <c r="K470">
        <v>550</v>
      </c>
      <c r="L470">
        <v>0</v>
      </c>
      <c r="M470">
        <v>0</v>
      </c>
      <c r="N470">
        <v>550</v>
      </c>
    </row>
    <row r="471" spans="1:14" x14ac:dyDescent="0.25">
      <c r="A471">
        <v>172.715127</v>
      </c>
      <c r="B471" s="1">
        <f>DATE(2010,10,20) + TIME(17,9,47)</f>
        <v>40471.715127314812</v>
      </c>
      <c r="C471">
        <v>80</v>
      </c>
      <c r="D471">
        <v>79.896095275999997</v>
      </c>
      <c r="E471">
        <v>50</v>
      </c>
      <c r="F471">
        <v>57.305099487</v>
      </c>
      <c r="G471">
        <v>1333.6610106999999</v>
      </c>
      <c r="H471">
        <v>1332.6306152</v>
      </c>
      <c r="I471">
        <v>1328.6779785000001</v>
      </c>
      <c r="J471">
        <v>1327.9097899999999</v>
      </c>
      <c r="K471">
        <v>550</v>
      </c>
      <c r="L471">
        <v>0</v>
      </c>
      <c r="M471">
        <v>0</v>
      </c>
      <c r="N471">
        <v>550</v>
      </c>
    </row>
    <row r="472" spans="1:14" x14ac:dyDescent="0.25">
      <c r="A472">
        <v>174.59667200000001</v>
      </c>
      <c r="B472" s="1">
        <f>DATE(2010,10,22) + TIME(14,19,12)</f>
        <v>40473.596666666665</v>
      </c>
      <c r="C472">
        <v>80</v>
      </c>
      <c r="D472">
        <v>79.896301269999995</v>
      </c>
      <c r="E472">
        <v>50</v>
      </c>
      <c r="F472">
        <v>57.463874816999997</v>
      </c>
      <c r="G472">
        <v>1333.6608887</v>
      </c>
      <c r="H472">
        <v>1332.6312256000001</v>
      </c>
      <c r="I472">
        <v>1328.6846923999999</v>
      </c>
      <c r="J472">
        <v>1327.9182129000001</v>
      </c>
      <c r="K472">
        <v>550</v>
      </c>
      <c r="L472">
        <v>0</v>
      </c>
      <c r="M472">
        <v>0</v>
      </c>
      <c r="N472">
        <v>550</v>
      </c>
    </row>
    <row r="473" spans="1:14" x14ac:dyDescent="0.25">
      <c r="A473">
        <v>176.48093</v>
      </c>
      <c r="B473" s="1">
        <f>DATE(2010,10,24) + TIME(11,32,32)</f>
        <v>40475.480925925927</v>
      </c>
      <c r="C473">
        <v>80</v>
      </c>
      <c r="D473">
        <v>79.896507263000004</v>
      </c>
      <c r="E473">
        <v>50</v>
      </c>
      <c r="F473">
        <v>57.620410919000001</v>
      </c>
      <c r="G473">
        <v>1333.6607666</v>
      </c>
      <c r="H473">
        <v>1332.6318358999999</v>
      </c>
      <c r="I473">
        <v>1328.6912841999999</v>
      </c>
      <c r="J473">
        <v>1327.9267577999999</v>
      </c>
      <c r="K473">
        <v>550</v>
      </c>
      <c r="L473">
        <v>0</v>
      </c>
      <c r="M473">
        <v>0</v>
      </c>
      <c r="N473">
        <v>550</v>
      </c>
    </row>
    <row r="474" spans="1:14" x14ac:dyDescent="0.25">
      <c r="A474">
        <v>178.37661600000001</v>
      </c>
      <c r="B474" s="1">
        <f>DATE(2010,10,26) + TIME(9,2,19)</f>
        <v>40477.376608796294</v>
      </c>
      <c r="C474">
        <v>80</v>
      </c>
      <c r="D474">
        <v>79.896713257000002</v>
      </c>
      <c r="E474">
        <v>50</v>
      </c>
      <c r="F474">
        <v>57.774528502999999</v>
      </c>
      <c r="G474">
        <v>1333.6606445</v>
      </c>
      <c r="H474">
        <v>1332.6324463000001</v>
      </c>
      <c r="I474">
        <v>1328.6979980000001</v>
      </c>
      <c r="J474">
        <v>1327.9350586</v>
      </c>
      <c r="K474">
        <v>550</v>
      </c>
      <c r="L474">
        <v>0</v>
      </c>
      <c r="M474">
        <v>0</v>
      </c>
      <c r="N474">
        <v>550</v>
      </c>
    </row>
    <row r="475" spans="1:14" x14ac:dyDescent="0.25">
      <c r="A475">
        <v>180.280608</v>
      </c>
      <c r="B475" s="1">
        <f>DATE(2010,10,28) + TIME(6,44,4)</f>
        <v>40479.280601851853</v>
      </c>
      <c r="C475">
        <v>80</v>
      </c>
      <c r="D475">
        <v>79.896919249999996</v>
      </c>
      <c r="E475">
        <v>50</v>
      </c>
      <c r="F475">
        <v>57.926033019999998</v>
      </c>
      <c r="G475">
        <v>1333.6606445</v>
      </c>
      <c r="H475">
        <v>1332.6331786999999</v>
      </c>
      <c r="I475">
        <v>1328.7044678</v>
      </c>
      <c r="J475">
        <v>1327.9434814000001</v>
      </c>
      <c r="K475">
        <v>550</v>
      </c>
      <c r="L475">
        <v>0</v>
      </c>
      <c r="M475">
        <v>0</v>
      </c>
      <c r="N475">
        <v>550</v>
      </c>
    </row>
    <row r="476" spans="1:14" x14ac:dyDescent="0.25">
      <c r="A476">
        <v>182.19708199999999</v>
      </c>
      <c r="B476" s="1">
        <f>DATE(2010,10,30) + TIME(4,43,47)</f>
        <v>40481.197071759256</v>
      </c>
      <c r="C476">
        <v>80</v>
      </c>
      <c r="D476">
        <v>79.897132873999993</v>
      </c>
      <c r="E476">
        <v>50</v>
      </c>
      <c r="F476">
        <v>58.075027466000002</v>
      </c>
      <c r="G476">
        <v>1333.6605225000001</v>
      </c>
      <c r="H476">
        <v>1332.6337891000001</v>
      </c>
      <c r="I476">
        <v>1328.7110596</v>
      </c>
      <c r="J476">
        <v>1327.9516602000001</v>
      </c>
      <c r="K476">
        <v>550</v>
      </c>
      <c r="L476">
        <v>0</v>
      </c>
      <c r="M476">
        <v>0</v>
      </c>
      <c r="N476">
        <v>550</v>
      </c>
    </row>
    <row r="477" spans="1:14" x14ac:dyDescent="0.25">
      <c r="A477">
        <v>184</v>
      </c>
      <c r="B477" s="1">
        <f>DATE(2010,11,1) + TIME(0,0,0)</f>
        <v>40483</v>
      </c>
      <c r="C477">
        <v>80</v>
      </c>
      <c r="D477">
        <v>79.897323607999994</v>
      </c>
      <c r="E477">
        <v>50</v>
      </c>
      <c r="F477">
        <v>58.216800689999999</v>
      </c>
      <c r="G477">
        <v>1333.6605225000001</v>
      </c>
      <c r="H477">
        <v>1332.6343993999999</v>
      </c>
      <c r="I477">
        <v>1328.7175293</v>
      </c>
      <c r="J477">
        <v>1327.9599608999999</v>
      </c>
      <c r="K477">
        <v>550</v>
      </c>
      <c r="L477">
        <v>0</v>
      </c>
      <c r="M477">
        <v>0</v>
      </c>
      <c r="N477">
        <v>550</v>
      </c>
    </row>
    <row r="478" spans="1:14" x14ac:dyDescent="0.25">
      <c r="A478">
        <v>184.000001</v>
      </c>
      <c r="B478" s="1">
        <f>DATE(2010,11,1) + TIME(0,0,0)</f>
        <v>40483</v>
      </c>
      <c r="C478">
        <v>80</v>
      </c>
      <c r="D478">
        <v>79.897293090999995</v>
      </c>
      <c r="E478">
        <v>50</v>
      </c>
      <c r="F478">
        <v>58.216835021999998</v>
      </c>
      <c r="G478">
        <v>1332.3975829999999</v>
      </c>
      <c r="H478">
        <v>1332.7150879000001</v>
      </c>
      <c r="I478">
        <v>1329.6329346</v>
      </c>
      <c r="J478">
        <v>1328.9857178</v>
      </c>
      <c r="K478">
        <v>0</v>
      </c>
      <c r="L478">
        <v>550</v>
      </c>
      <c r="M478">
        <v>550</v>
      </c>
      <c r="N478">
        <v>0</v>
      </c>
    </row>
    <row r="479" spans="1:14" x14ac:dyDescent="0.25">
      <c r="A479">
        <v>184.00000399999999</v>
      </c>
      <c r="B479" s="1">
        <f>DATE(2010,11,1) + TIME(0,0,0)</f>
        <v>40483</v>
      </c>
      <c r="C479">
        <v>80</v>
      </c>
      <c r="D479">
        <v>79.897247313999998</v>
      </c>
      <c r="E479">
        <v>50</v>
      </c>
      <c r="F479">
        <v>58.216873169000003</v>
      </c>
      <c r="G479">
        <v>1332.0858154</v>
      </c>
      <c r="H479">
        <v>1332.4833983999999</v>
      </c>
      <c r="I479">
        <v>1329.9510498</v>
      </c>
      <c r="J479">
        <v>1329.3580322</v>
      </c>
      <c r="K479">
        <v>0</v>
      </c>
      <c r="L479">
        <v>550</v>
      </c>
      <c r="M479">
        <v>550</v>
      </c>
      <c r="N479">
        <v>0</v>
      </c>
    </row>
    <row r="480" spans="1:14" x14ac:dyDescent="0.25">
      <c r="A480">
        <v>184.000013</v>
      </c>
      <c r="B480" s="1">
        <f>DATE(2010,11,1) + TIME(0,0,1)</f>
        <v>40483.000011574077</v>
      </c>
      <c r="C480">
        <v>80</v>
      </c>
      <c r="D480">
        <v>79.897201538000004</v>
      </c>
      <c r="E480">
        <v>50</v>
      </c>
      <c r="F480">
        <v>58.216892242</v>
      </c>
      <c r="G480">
        <v>1331.776001</v>
      </c>
      <c r="H480">
        <v>1332.1865233999999</v>
      </c>
      <c r="I480">
        <v>1330.3687743999999</v>
      </c>
      <c r="J480">
        <v>1329.770874</v>
      </c>
      <c r="K480">
        <v>0</v>
      </c>
      <c r="L480">
        <v>550</v>
      </c>
      <c r="M480">
        <v>550</v>
      </c>
      <c r="N480">
        <v>0</v>
      </c>
    </row>
    <row r="481" spans="1:14" x14ac:dyDescent="0.25">
      <c r="A481">
        <v>184.00004000000001</v>
      </c>
      <c r="B481" s="1">
        <f>DATE(2010,11,1) + TIME(0,0,3)</f>
        <v>40483.000034722223</v>
      </c>
      <c r="C481">
        <v>80</v>
      </c>
      <c r="D481">
        <v>79.897155761999997</v>
      </c>
      <c r="E481">
        <v>50</v>
      </c>
      <c r="F481">
        <v>58.216846466</v>
      </c>
      <c r="G481">
        <v>1331.4885254000001</v>
      </c>
      <c r="H481">
        <v>1331.8666992000001</v>
      </c>
      <c r="I481">
        <v>1330.8118896000001</v>
      </c>
      <c r="J481">
        <v>1330.1939697</v>
      </c>
      <c r="K481">
        <v>0</v>
      </c>
      <c r="L481">
        <v>550</v>
      </c>
      <c r="M481">
        <v>550</v>
      </c>
      <c r="N481">
        <v>0</v>
      </c>
    </row>
    <row r="482" spans="1:14" x14ac:dyDescent="0.25">
      <c r="A482">
        <v>184.00012100000001</v>
      </c>
      <c r="B482" s="1">
        <f>DATE(2010,11,1) + TIME(0,0,10)</f>
        <v>40483.000115740739</v>
      </c>
      <c r="C482">
        <v>80</v>
      </c>
      <c r="D482">
        <v>79.897109985</v>
      </c>
      <c r="E482">
        <v>50</v>
      </c>
      <c r="F482">
        <v>58.216583252</v>
      </c>
      <c r="G482">
        <v>1331.2177733999999</v>
      </c>
      <c r="H482">
        <v>1331.5388184000001</v>
      </c>
      <c r="I482">
        <v>1331.2386475000001</v>
      </c>
      <c r="J482">
        <v>1330.5986327999999</v>
      </c>
      <c r="K482">
        <v>0</v>
      </c>
      <c r="L482">
        <v>550</v>
      </c>
      <c r="M482">
        <v>550</v>
      </c>
      <c r="N482">
        <v>0</v>
      </c>
    </row>
    <row r="483" spans="1:14" x14ac:dyDescent="0.25">
      <c r="A483">
        <v>184.00036399999999</v>
      </c>
      <c r="B483" s="1">
        <f>DATE(2010,11,1) + TIME(0,0,31)</f>
        <v>40483.000358796293</v>
      </c>
      <c r="C483">
        <v>80</v>
      </c>
      <c r="D483">
        <v>79.897048949999999</v>
      </c>
      <c r="E483">
        <v>50</v>
      </c>
      <c r="F483">
        <v>58.215637207</v>
      </c>
      <c r="G483">
        <v>1330.9868164</v>
      </c>
      <c r="H483">
        <v>1331.2463379000001</v>
      </c>
      <c r="I483">
        <v>1331.6026611</v>
      </c>
      <c r="J483">
        <v>1330.934082</v>
      </c>
      <c r="K483">
        <v>0</v>
      </c>
      <c r="L483">
        <v>550</v>
      </c>
      <c r="M483">
        <v>550</v>
      </c>
      <c r="N483">
        <v>0</v>
      </c>
    </row>
    <row r="484" spans="1:14" x14ac:dyDescent="0.25">
      <c r="A484">
        <v>184.001093</v>
      </c>
      <c r="B484" s="1">
        <f>DATE(2010,11,1) + TIME(0,1,34)</f>
        <v>40483.001087962963</v>
      </c>
      <c r="C484">
        <v>80</v>
      </c>
      <c r="D484">
        <v>79.896957396999994</v>
      </c>
      <c r="E484">
        <v>50</v>
      </c>
      <c r="F484">
        <v>58.212581634999999</v>
      </c>
      <c r="G484">
        <v>1330.8249512</v>
      </c>
      <c r="H484">
        <v>1331.0467529</v>
      </c>
      <c r="I484">
        <v>1331.8455810999999</v>
      </c>
      <c r="J484">
        <v>1331.152832</v>
      </c>
      <c r="K484">
        <v>0</v>
      </c>
      <c r="L484">
        <v>550</v>
      </c>
      <c r="M484">
        <v>550</v>
      </c>
      <c r="N484">
        <v>0</v>
      </c>
    </row>
    <row r="485" spans="1:14" x14ac:dyDescent="0.25">
      <c r="A485">
        <v>184.00327999999999</v>
      </c>
      <c r="B485" s="1">
        <f>DATE(2010,11,1) + TIME(0,4,43)</f>
        <v>40483.003275462965</v>
      </c>
      <c r="C485">
        <v>80</v>
      </c>
      <c r="D485">
        <v>79.896713257000002</v>
      </c>
      <c r="E485">
        <v>50</v>
      </c>
      <c r="F485">
        <v>58.203193665000001</v>
      </c>
      <c r="G485">
        <v>1330.7344971</v>
      </c>
      <c r="H485">
        <v>1330.9429932</v>
      </c>
      <c r="I485">
        <v>1331.9650879000001</v>
      </c>
      <c r="J485">
        <v>1331.2597656</v>
      </c>
      <c r="K485">
        <v>0</v>
      </c>
      <c r="L485">
        <v>550</v>
      </c>
      <c r="M485">
        <v>550</v>
      </c>
      <c r="N485">
        <v>0</v>
      </c>
    </row>
    <row r="486" spans="1:14" x14ac:dyDescent="0.25">
      <c r="A486">
        <v>184.00984099999999</v>
      </c>
      <c r="B486" s="1">
        <f>DATE(2010,11,1) + TIME(0,14,10)</f>
        <v>40483.009837962964</v>
      </c>
      <c r="C486">
        <v>80</v>
      </c>
      <c r="D486">
        <v>79.896011353000006</v>
      </c>
      <c r="E486">
        <v>50</v>
      </c>
      <c r="F486">
        <v>58.174926757999998</v>
      </c>
      <c r="G486">
        <v>1330.6962891000001</v>
      </c>
      <c r="H486">
        <v>1330.9012451000001</v>
      </c>
      <c r="I486">
        <v>1332.0030518000001</v>
      </c>
      <c r="J486">
        <v>1331.2937012</v>
      </c>
      <c r="K486">
        <v>0</v>
      </c>
      <c r="L486">
        <v>550</v>
      </c>
      <c r="M486">
        <v>550</v>
      </c>
      <c r="N486">
        <v>0</v>
      </c>
    </row>
    <row r="487" spans="1:14" x14ac:dyDescent="0.25">
      <c r="A487">
        <v>184.02952400000001</v>
      </c>
      <c r="B487" s="1">
        <f>DATE(2010,11,1) + TIME(0,42,30)</f>
        <v>40483.029513888891</v>
      </c>
      <c r="C487">
        <v>80</v>
      </c>
      <c r="D487">
        <v>79.893913268999995</v>
      </c>
      <c r="E487">
        <v>50</v>
      </c>
      <c r="F487">
        <v>58.091041564999998</v>
      </c>
      <c r="G487">
        <v>1330.6859131000001</v>
      </c>
      <c r="H487">
        <v>1330.8892822</v>
      </c>
      <c r="I487">
        <v>1332.0063477000001</v>
      </c>
      <c r="J487">
        <v>1331.296875</v>
      </c>
      <c r="K487">
        <v>0</v>
      </c>
      <c r="L487">
        <v>550</v>
      </c>
      <c r="M487">
        <v>550</v>
      </c>
      <c r="N487">
        <v>0</v>
      </c>
    </row>
    <row r="488" spans="1:14" x14ac:dyDescent="0.25">
      <c r="A488">
        <v>184.088573</v>
      </c>
      <c r="B488" s="1">
        <f>DATE(2010,11,1) + TIME(2,7,32)</f>
        <v>40483.088564814818</v>
      </c>
      <c r="C488">
        <v>80</v>
      </c>
      <c r="D488">
        <v>79.887649535999998</v>
      </c>
      <c r="E488">
        <v>50</v>
      </c>
      <c r="F488">
        <v>57.848136902</v>
      </c>
      <c r="G488">
        <v>1330.6839600000001</v>
      </c>
      <c r="H488">
        <v>1330.8839111</v>
      </c>
      <c r="I488">
        <v>1332.0009766000001</v>
      </c>
      <c r="J488">
        <v>1331.2930908000001</v>
      </c>
      <c r="K488">
        <v>0</v>
      </c>
      <c r="L488">
        <v>550</v>
      </c>
      <c r="M488">
        <v>550</v>
      </c>
      <c r="N488">
        <v>0</v>
      </c>
    </row>
    <row r="489" spans="1:14" x14ac:dyDescent="0.25">
      <c r="A489">
        <v>184.22052400000001</v>
      </c>
      <c r="B489" s="1">
        <f>DATE(2010,11,1) + TIME(5,17,33)</f>
        <v>40483.220520833333</v>
      </c>
      <c r="C489">
        <v>80</v>
      </c>
      <c r="D489">
        <v>79.873718261999997</v>
      </c>
      <c r="E489">
        <v>50</v>
      </c>
      <c r="F489">
        <v>57.344486236999998</v>
      </c>
      <c r="G489">
        <v>1330.6820068</v>
      </c>
      <c r="H489">
        <v>1330.8729248</v>
      </c>
      <c r="I489">
        <v>1331.9931641000001</v>
      </c>
      <c r="J489">
        <v>1331.2873535000001</v>
      </c>
      <c r="K489">
        <v>0</v>
      </c>
      <c r="L489">
        <v>550</v>
      </c>
      <c r="M489">
        <v>550</v>
      </c>
      <c r="N489">
        <v>0</v>
      </c>
    </row>
    <row r="490" spans="1:14" x14ac:dyDescent="0.25">
      <c r="A490">
        <v>184.356133</v>
      </c>
      <c r="B490" s="1">
        <f>DATE(2010,11,1) + TIME(8,32,49)</f>
        <v>40483.356122685182</v>
      </c>
      <c r="C490">
        <v>80</v>
      </c>
      <c r="D490">
        <v>79.859436035000002</v>
      </c>
      <c r="E490">
        <v>50</v>
      </c>
      <c r="F490">
        <v>56.860992432000003</v>
      </c>
      <c r="G490">
        <v>1330.6788329999999</v>
      </c>
      <c r="H490">
        <v>1330.8518065999999</v>
      </c>
      <c r="I490">
        <v>1332.0008545000001</v>
      </c>
      <c r="J490">
        <v>1331.2912598</v>
      </c>
      <c r="K490">
        <v>0</v>
      </c>
      <c r="L490">
        <v>550</v>
      </c>
      <c r="M490">
        <v>550</v>
      </c>
      <c r="N490">
        <v>0</v>
      </c>
    </row>
    <row r="491" spans="1:14" x14ac:dyDescent="0.25">
      <c r="A491">
        <v>184.49539200000001</v>
      </c>
      <c r="B491" s="1">
        <f>DATE(2010,11,1) + TIME(11,53,21)</f>
        <v>40483.495381944442</v>
      </c>
      <c r="C491">
        <v>80</v>
      </c>
      <c r="D491">
        <v>79.844795227000006</v>
      </c>
      <c r="E491">
        <v>50</v>
      </c>
      <c r="F491">
        <v>56.397338867000002</v>
      </c>
      <c r="G491">
        <v>1330.6739502</v>
      </c>
      <c r="H491">
        <v>1330.8337402</v>
      </c>
      <c r="I491">
        <v>1332.0109863</v>
      </c>
      <c r="J491">
        <v>1331.2966309000001</v>
      </c>
      <c r="K491">
        <v>0</v>
      </c>
      <c r="L491">
        <v>550</v>
      </c>
      <c r="M491">
        <v>550</v>
      </c>
      <c r="N491">
        <v>0</v>
      </c>
    </row>
    <row r="492" spans="1:14" x14ac:dyDescent="0.25">
      <c r="A492">
        <v>184.63806700000001</v>
      </c>
      <c r="B492" s="1">
        <f>DATE(2010,11,1) + TIME(15,18,49)</f>
        <v>40483.638067129628</v>
      </c>
      <c r="C492">
        <v>80</v>
      </c>
      <c r="D492">
        <v>79.829811096</v>
      </c>
      <c r="E492">
        <v>50</v>
      </c>
      <c r="F492">
        <v>55.953903197999999</v>
      </c>
      <c r="G492">
        <v>1330.6690673999999</v>
      </c>
      <c r="H492">
        <v>1330.8161620999999</v>
      </c>
      <c r="I492">
        <v>1332.0234375</v>
      </c>
      <c r="J492">
        <v>1331.3034668</v>
      </c>
      <c r="K492">
        <v>0</v>
      </c>
      <c r="L492">
        <v>550</v>
      </c>
      <c r="M492">
        <v>550</v>
      </c>
      <c r="N492">
        <v>0</v>
      </c>
    </row>
    <row r="493" spans="1:14" x14ac:dyDescent="0.25">
      <c r="A493">
        <v>184.78376900000001</v>
      </c>
      <c r="B493" s="1">
        <f>DATE(2010,11,1) + TIME(18,48,37)</f>
        <v>40483.783761574072</v>
      </c>
      <c r="C493">
        <v>80</v>
      </c>
      <c r="D493">
        <v>79.814521790000001</v>
      </c>
      <c r="E493">
        <v>50</v>
      </c>
      <c r="F493">
        <v>55.531326294000003</v>
      </c>
      <c r="G493">
        <v>1330.6640625</v>
      </c>
      <c r="H493">
        <v>1330.7987060999999</v>
      </c>
      <c r="I493">
        <v>1332.0380858999999</v>
      </c>
      <c r="J493">
        <v>1331.3118896000001</v>
      </c>
      <c r="K493">
        <v>0</v>
      </c>
      <c r="L493">
        <v>550</v>
      </c>
      <c r="M493">
        <v>550</v>
      </c>
      <c r="N493">
        <v>0</v>
      </c>
    </row>
    <row r="494" spans="1:14" x14ac:dyDescent="0.25">
      <c r="A494">
        <v>184.932545</v>
      </c>
      <c r="B494" s="1">
        <f>DATE(2010,11,1) + TIME(22,22,51)</f>
        <v>40483.932534722226</v>
      </c>
      <c r="C494">
        <v>80</v>
      </c>
      <c r="D494">
        <v>79.798919678000004</v>
      </c>
      <c r="E494">
        <v>50</v>
      </c>
      <c r="F494">
        <v>55.128910064999999</v>
      </c>
      <c r="G494">
        <v>1330.6593018000001</v>
      </c>
      <c r="H494">
        <v>1330.7813721</v>
      </c>
      <c r="I494">
        <v>1332.0549315999999</v>
      </c>
      <c r="J494">
        <v>1331.3215332</v>
      </c>
      <c r="K494">
        <v>0</v>
      </c>
      <c r="L494">
        <v>550</v>
      </c>
      <c r="M494">
        <v>550</v>
      </c>
      <c r="N494">
        <v>0</v>
      </c>
    </row>
    <row r="495" spans="1:14" x14ac:dyDescent="0.25">
      <c r="A495">
        <v>185.08466100000001</v>
      </c>
      <c r="B495" s="1">
        <f>DATE(2010,11,2) + TIME(2,1,54)</f>
        <v>40484.084652777776</v>
      </c>
      <c r="C495">
        <v>80</v>
      </c>
      <c r="D495">
        <v>79.782966614000003</v>
      </c>
      <c r="E495">
        <v>50</v>
      </c>
      <c r="F495">
        <v>54.745540619000003</v>
      </c>
      <c r="G495">
        <v>1330.6545410000001</v>
      </c>
      <c r="H495">
        <v>1330.7640381000001</v>
      </c>
      <c r="I495">
        <v>1332.0736084</v>
      </c>
      <c r="J495">
        <v>1331.3326416</v>
      </c>
      <c r="K495">
        <v>0</v>
      </c>
      <c r="L495">
        <v>550</v>
      </c>
      <c r="M495">
        <v>550</v>
      </c>
      <c r="N495">
        <v>0</v>
      </c>
    </row>
    <row r="496" spans="1:14" x14ac:dyDescent="0.25">
      <c r="A496">
        <v>185.240341</v>
      </c>
      <c r="B496" s="1">
        <f>DATE(2010,11,2) + TIME(5,46,5)</f>
        <v>40484.240335648145</v>
      </c>
      <c r="C496">
        <v>80</v>
      </c>
      <c r="D496">
        <v>79.766632079999994</v>
      </c>
      <c r="E496">
        <v>50</v>
      </c>
      <c r="F496">
        <v>54.380413054999998</v>
      </c>
      <c r="G496">
        <v>1330.6497803</v>
      </c>
      <c r="H496">
        <v>1330.7467041</v>
      </c>
      <c r="I496">
        <v>1332.0941161999999</v>
      </c>
      <c r="J496">
        <v>1331.3448486</v>
      </c>
      <c r="K496">
        <v>0</v>
      </c>
      <c r="L496">
        <v>550</v>
      </c>
      <c r="M496">
        <v>550</v>
      </c>
      <c r="N496">
        <v>0</v>
      </c>
    </row>
    <row r="497" spans="1:14" x14ac:dyDescent="0.25">
      <c r="A497">
        <v>185.39983599999999</v>
      </c>
      <c r="B497" s="1">
        <f>DATE(2010,11,2) + TIME(9,35,45)</f>
        <v>40484.399826388886</v>
      </c>
      <c r="C497">
        <v>80</v>
      </c>
      <c r="D497">
        <v>79.749893188000001</v>
      </c>
      <c r="E497">
        <v>50</v>
      </c>
      <c r="F497">
        <v>54.032821654999999</v>
      </c>
      <c r="G497">
        <v>1330.6451416</v>
      </c>
      <c r="H497">
        <v>1330.7294922000001</v>
      </c>
      <c r="I497">
        <v>1332.1163329999999</v>
      </c>
      <c r="J497">
        <v>1331.3581543</v>
      </c>
      <c r="K497">
        <v>0</v>
      </c>
      <c r="L497">
        <v>550</v>
      </c>
      <c r="M497">
        <v>550</v>
      </c>
      <c r="N497">
        <v>0</v>
      </c>
    </row>
    <row r="498" spans="1:14" x14ac:dyDescent="0.25">
      <c r="A498">
        <v>185.56339600000001</v>
      </c>
      <c r="B498" s="1">
        <f>DATE(2010,11,2) + TIME(13,31,17)</f>
        <v>40484.563391203701</v>
      </c>
      <c r="C498">
        <v>80</v>
      </c>
      <c r="D498">
        <v>79.732711792000003</v>
      </c>
      <c r="E498">
        <v>50</v>
      </c>
      <c r="F498">
        <v>53.702194214000002</v>
      </c>
      <c r="G498">
        <v>1330.640625</v>
      </c>
      <c r="H498">
        <v>1330.7122803</v>
      </c>
      <c r="I498">
        <v>1332.1401367000001</v>
      </c>
      <c r="J498">
        <v>1331.3725586</v>
      </c>
      <c r="K498">
        <v>0</v>
      </c>
      <c r="L498">
        <v>550</v>
      </c>
      <c r="M498">
        <v>550</v>
      </c>
      <c r="N498">
        <v>0</v>
      </c>
    </row>
    <row r="499" spans="1:14" x14ac:dyDescent="0.25">
      <c r="A499">
        <v>185.73129499999999</v>
      </c>
      <c r="B499" s="1">
        <f>DATE(2010,11,2) + TIME(17,33,3)</f>
        <v>40484.73128472222</v>
      </c>
      <c r="C499">
        <v>80</v>
      </c>
      <c r="D499">
        <v>79.715057372999993</v>
      </c>
      <c r="E499">
        <v>50</v>
      </c>
      <c r="F499">
        <v>53.388053894000002</v>
      </c>
      <c r="G499">
        <v>1330.6359863</v>
      </c>
      <c r="H499">
        <v>1330.6950684000001</v>
      </c>
      <c r="I499">
        <v>1332.1654053</v>
      </c>
      <c r="J499">
        <v>1331.3879394999999</v>
      </c>
      <c r="K499">
        <v>0</v>
      </c>
      <c r="L499">
        <v>550</v>
      </c>
      <c r="M499">
        <v>550</v>
      </c>
      <c r="N499">
        <v>0</v>
      </c>
    </row>
    <row r="500" spans="1:14" x14ac:dyDescent="0.25">
      <c r="A500">
        <v>185.90397300000001</v>
      </c>
      <c r="B500" s="1">
        <f>DATE(2010,11,2) + TIME(21,41,43)</f>
        <v>40484.903969907406</v>
      </c>
      <c r="C500">
        <v>80</v>
      </c>
      <c r="D500">
        <v>79.696868895999998</v>
      </c>
      <c r="E500">
        <v>50</v>
      </c>
      <c r="F500">
        <v>53.089763640999998</v>
      </c>
      <c r="G500">
        <v>1330.6314697</v>
      </c>
      <c r="H500">
        <v>1330.6778564000001</v>
      </c>
      <c r="I500">
        <v>1332.1921387</v>
      </c>
      <c r="J500">
        <v>1331.4042969</v>
      </c>
      <c r="K500">
        <v>0</v>
      </c>
      <c r="L500">
        <v>550</v>
      </c>
      <c r="M500">
        <v>550</v>
      </c>
      <c r="N500">
        <v>0</v>
      </c>
    </row>
    <row r="501" spans="1:14" x14ac:dyDescent="0.25">
      <c r="A501">
        <v>186.08185399999999</v>
      </c>
      <c r="B501" s="1">
        <f>DATE(2010,11,3) + TIME(1,57,52)</f>
        <v>40485.08185185185</v>
      </c>
      <c r="C501">
        <v>80</v>
      </c>
      <c r="D501">
        <v>79.678100585999999</v>
      </c>
      <c r="E501">
        <v>50</v>
      </c>
      <c r="F501">
        <v>52.806880950999997</v>
      </c>
      <c r="G501">
        <v>1330.6268310999999</v>
      </c>
      <c r="H501">
        <v>1330.6604004000001</v>
      </c>
      <c r="I501">
        <v>1332.2200928</v>
      </c>
      <c r="J501">
        <v>1331.4215088000001</v>
      </c>
      <c r="K501">
        <v>0</v>
      </c>
      <c r="L501">
        <v>550</v>
      </c>
      <c r="M501">
        <v>550</v>
      </c>
      <c r="N501">
        <v>0</v>
      </c>
    </row>
    <row r="502" spans="1:14" x14ac:dyDescent="0.25">
      <c r="A502">
        <v>186.26541800000001</v>
      </c>
      <c r="B502" s="1">
        <f>DATE(2010,11,3) + TIME(6,22,12)</f>
        <v>40485.265416666669</v>
      </c>
      <c r="C502">
        <v>80</v>
      </c>
      <c r="D502">
        <v>79.658683776999993</v>
      </c>
      <c r="E502">
        <v>50</v>
      </c>
      <c r="F502">
        <v>52.539016724</v>
      </c>
      <c r="G502">
        <v>1330.6223144999999</v>
      </c>
      <c r="H502">
        <v>1330.6430664</v>
      </c>
      <c r="I502">
        <v>1332.2492675999999</v>
      </c>
      <c r="J502">
        <v>1331.4394531</v>
      </c>
      <c r="K502">
        <v>0</v>
      </c>
      <c r="L502">
        <v>550</v>
      </c>
      <c r="M502">
        <v>550</v>
      </c>
      <c r="N502">
        <v>0</v>
      </c>
    </row>
    <row r="503" spans="1:14" x14ac:dyDescent="0.25">
      <c r="A503">
        <v>186.45521400000001</v>
      </c>
      <c r="B503" s="1">
        <f>DATE(2010,11,3) + TIME(10,55,30)</f>
        <v>40485.455208333333</v>
      </c>
      <c r="C503">
        <v>80</v>
      </c>
      <c r="D503">
        <v>79.638565063000001</v>
      </c>
      <c r="E503">
        <v>50</v>
      </c>
      <c r="F503">
        <v>52.285835265999999</v>
      </c>
      <c r="G503">
        <v>1330.6176757999999</v>
      </c>
      <c r="H503">
        <v>1330.6254882999999</v>
      </c>
      <c r="I503">
        <v>1332.2795410000001</v>
      </c>
      <c r="J503">
        <v>1331.4581298999999</v>
      </c>
      <c r="K503">
        <v>0</v>
      </c>
      <c r="L503">
        <v>550</v>
      </c>
      <c r="M503">
        <v>550</v>
      </c>
      <c r="N503">
        <v>0</v>
      </c>
    </row>
    <row r="504" spans="1:14" x14ac:dyDescent="0.25">
      <c r="A504">
        <v>186.651848</v>
      </c>
      <c r="B504" s="1">
        <f>DATE(2010,11,3) + TIME(15,38,39)</f>
        <v>40485.65184027778</v>
      </c>
      <c r="C504">
        <v>80</v>
      </c>
      <c r="D504">
        <v>79.617637634000005</v>
      </c>
      <c r="E504">
        <v>50</v>
      </c>
      <c r="F504">
        <v>52.047046661000003</v>
      </c>
      <c r="G504">
        <v>1330.6109618999999</v>
      </c>
      <c r="H504">
        <v>1330.6086425999999</v>
      </c>
      <c r="I504">
        <v>1332.3107910000001</v>
      </c>
      <c r="J504">
        <v>1331.4775391000001</v>
      </c>
      <c r="K504">
        <v>0</v>
      </c>
      <c r="L504">
        <v>550</v>
      </c>
      <c r="M504">
        <v>550</v>
      </c>
      <c r="N504">
        <v>0</v>
      </c>
    </row>
    <row r="505" spans="1:14" x14ac:dyDescent="0.25">
      <c r="A505">
        <v>186.8561</v>
      </c>
      <c r="B505" s="1">
        <f>DATE(2010,11,3) + TIME(20,32,47)</f>
        <v>40485.856099537035</v>
      </c>
      <c r="C505">
        <v>80</v>
      </c>
      <c r="D505">
        <v>79.595771790000001</v>
      </c>
      <c r="E505">
        <v>50</v>
      </c>
      <c r="F505">
        <v>51.822322845000002</v>
      </c>
      <c r="G505">
        <v>1330.6009521000001</v>
      </c>
      <c r="H505">
        <v>1330.5928954999999</v>
      </c>
      <c r="I505">
        <v>1332.3430175999999</v>
      </c>
      <c r="J505">
        <v>1331.4975586</v>
      </c>
      <c r="K505">
        <v>0</v>
      </c>
      <c r="L505">
        <v>550</v>
      </c>
      <c r="M505">
        <v>550</v>
      </c>
      <c r="N505">
        <v>0</v>
      </c>
    </row>
    <row r="506" spans="1:14" x14ac:dyDescent="0.25">
      <c r="A506">
        <v>187.06883400000001</v>
      </c>
      <c r="B506" s="1">
        <f>DATE(2010,11,4) + TIME(1,39,7)</f>
        <v>40486.068831018521</v>
      </c>
      <c r="C506">
        <v>80</v>
      </c>
      <c r="D506">
        <v>79.572845459000007</v>
      </c>
      <c r="E506">
        <v>50</v>
      </c>
      <c r="F506">
        <v>51.611404419000003</v>
      </c>
      <c r="G506">
        <v>1330.5908202999999</v>
      </c>
      <c r="H506">
        <v>1330.5770264</v>
      </c>
      <c r="I506">
        <v>1332.3759766000001</v>
      </c>
      <c r="J506">
        <v>1331.5181885</v>
      </c>
      <c r="K506">
        <v>0</v>
      </c>
      <c r="L506">
        <v>550</v>
      </c>
      <c r="M506">
        <v>550</v>
      </c>
      <c r="N506">
        <v>0</v>
      </c>
    </row>
    <row r="507" spans="1:14" x14ac:dyDescent="0.25">
      <c r="A507">
        <v>187.291066</v>
      </c>
      <c r="B507" s="1">
        <f>DATE(2010,11,4) + TIME(6,59,8)</f>
        <v>40486.291064814817</v>
      </c>
      <c r="C507">
        <v>80</v>
      </c>
      <c r="D507">
        <v>79.548728943</v>
      </c>
      <c r="E507">
        <v>50</v>
      </c>
      <c r="F507">
        <v>51.414070129000002</v>
      </c>
      <c r="G507">
        <v>1330.5805664</v>
      </c>
      <c r="H507">
        <v>1330.5607910000001</v>
      </c>
      <c r="I507">
        <v>1332.4097899999999</v>
      </c>
      <c r="J507">
        <v>1331.5393065999999</v>
      </c>
      <c r="K507">
        <v>0</v>
      </c>
      <c r="L507">
        <v>550</v>
      </c>
      <c r="M507">
        <v>550</v>
      </c>
      <c r="N507">
        <v>0</v>
      </c>
    </row>
    <row r="508" spans="1:14" x14ac:dyDescent="0.25">
      <c r="A508">
        <v>187.52399800000001</v>
      </c>
      <c r="B508" s="1">
        <f>DATE(2010,11,4) + TIME(12,34,33)</f>
        <v>40486.523993055554</v>
      </c>
      <c r="C508">
        <v>80</v>
      </c>
      <c r="D508">
        <v>79.523262024000005</v>
      </c>
      <c r="E508">
        <v>50</v>
      </c>
      <c r="F508">
        <v>51.230102539000001</v>
      </c>
      <c r="G508">
        <v>1330.5700684000001</v>
      </c>
      <c r="H508">
        <v>1330.5443115</v>
      </c>
      <c r="I508">
        <v>1332.4442139</v>
      </c>
      <c r="J508">
        <v>1331.5609131000001</v>
      </c>
      <c r="K508">
        <v>0</v>
      </c>
      <c r="L508">
        <v>550</v>
      </c>
      <c r="M508">
        <v>550</v>
      </c>
      <c r="N508">
        <v>0</v>
      </c>
    </row>
    <row r="509" spans="1:14" x14ac:dyDescent="0.25">
      <c r="A509">
        <v>187.76906399999999</v>
      </c>
      <c r="B509" s="1">
        <f>DATE(2010,11,4) + TIME(18,27,27)</f>
        <v>40486.769062500003</v>
      </c>
      <c r="C509">
        <v>80</v>
      </c>
      <c r="D509">
        <v>79.496147156000006</v>
      </c>
      <c r="E509">
        <v>50</v>
      </c>
      <c r="F509">
        <v>51.059299469000003</v>
      </c>
      <c r="G509">
        <v>1330.5593262</v>
      </c>
      <c r="H509">
        <v>1330.5274658000001</v>
      </c>
      <c r="I509">
        <v>1332.4792480000001</v>
      </c>
      <c r="J509">
        <v>1331.5828856999999</v>
      </c>
      <c r="K509">
        <v>0</v>
      </c>
      <c r="L509">
        <v>550</v>
      </c>
      <c r="M509">
        <v>550</v>
      </c>
      <c r="N509">
        <v>0</v>
      </c>
    </row>
    <row r="510" spans="1:14" x14ac:dyDescent="0.25">
      <c r="A510">
        <v>188.027996</v>
      </c>
      <c r="B510" s="1">
        <f>DATE(2010,11,5) + TIME(0,40,18)</f>
        <v>40487.027986111112</v>
      </c>
      <c r="C510">
        <v>80</v>
      </c>
      <c r="D510">
        <v>79.467094420999999</v>
      </c>
      <c r="E510">
        <v>50</v>
      </c>
      <c r="F510">
        <v>50.901466370000001</v>
      </c>
      <c r="G510">
        <v>1330.5482178</v>
      </c>
      <c r="H510">
        <v>1330.5102539</v>
      </c>
      <c r="I510">
        <v>1332.5147704999999</v>
      </c>
      <c r="J510">
        <v>1331.6052245999999</v>
      </c>
      <c r="K510">
        <v>0</v>
      </c>
      <c r="L510">
        <v>550</v>
      </c>
      <c r="M510">
        <v>550</v>
      </c>
      <c r="N510">
        <v>0</v>
      </c>
    </row>
    <row r="511" spans="1:14" x14ac:dyDescent="0.25">
      <c r="A511">
        <v>188.30290299999999</v>
      </c>
      <c r="B511" s="1">
        <f>DATE(2010,11,5) + TIME(7,16,10)</f>
        <v>40487.302893518521</v>
      </c>
      <c r="C511">
        <v>80</v>
      </c>
      <c r="D511">
        <v>79.435798645000006</v>
      </c>
      <c r="E511">
        <v>50</v>
      </c>
      <c r="F511">
        <v>50.756420134999999</v>
      </c>
      <c r="G511">
        <v>1330.5368652</v>
      </c>
      <c r="H511">
        <v>1330.4924315999999</v>
      </c>
      <c r="I511">
        <v>1332.5506591999999</v>
      </c>
      <c r="J511">
        <v>1331.6280518000001</v>
      </c>
      <c r="K511">
        <v>0</v>
      </c>
      <c r="L511">
        <v>550</v>
      </c>
      <c r="M511">
        <v>550</v>
      </c>
      <c r="N511">
        <v>0</v>
      </c>
    </row>
    <row r="512" spans="1:14" x14ac:dyDescent="0.25">
      <c r="A512">
        <v>188.596397</v>
      </c>
      <c r="B512" s="1">
        <f>DATE(2010,11,5) + TIME(14,18,48)</f>
        <v>40487.596388888887</v>
      </c>
      <c r="C512">
        <v>80</v>
      </c>
      <c r="D512">
        <v>79.401870728000006</v>
      </c>
      <c r="E512">
        <v>50</v>
      </c>
      <c r="F512">
        <v>50.623966217000003</v>
      </c>
      <c r="G512">
        <v>1330.5249022999999</v>
      </c>
      <c r="H512">
        <v>1330.473999</v>
      </c>
      <c r="I512">
        <v>1332.5870361</v>
      </c>
      <c r="J512">
        <v>1331.651001</v>
      </c>
      <c r="K512">
        <v>0</v>
      </c>
      <c r="L512">
        <v>550</v>
      </c>
      <c r="M512">
        <v>550</v>
      </c>
      <c r="N512">
        <v>0</v>
      </c>
    </row>
    <row r="513" spans="1:14" x14ac:dyDescent="0.25">
      <c r="A513">
        <v>188.911743</v>
      </c>
      <c r="B513" s="1">
        <f>DATE(2010,11,5) + TIME(21,52,54)</f>
        <v>40487.911736111113</v>
      </c>
      <c r="C513">
        <v>80</v>
      </c>
      <c r="D513">
        <v>79.364837645999998</v>
      </c>
      <c r="E513">
        <v>50</v>
      </c>
      <c r="F513">
        <v>50.503910064999999</v>
      </c>
      <c r="G513">
        <v>1330.5124512</v>
      </c>
      <c r="H513">
        <v>1330.4548339999999</v>
      </c>
      <c r="I513">
        <v>1332.6235352000001</v>
      </c>
      <c r="J513">
        <v>1331.6741943</v>
      </c>
      <c r="K513">
        <v>0</v>
      </c>
      <c r="L513">
        <v>550</v>
      </c>
      <c r="M513">
        <v>550</v>
      </c>
      <c r="N513">
        <v>0</v>
      </c>
    </row>
    <row r="514" spans="1:14" x14ac:dyDescent="0.25">
      <c r="A514">
        <v>189.25305499999999</v>
      </c>
      <c r="B514" s="1">
        <f>DATE(2010,11,6) + TIME(6,4,23)</f>
        <v>40488.25304398148</v>
      </c>
      <c r="C514">
        <v>80</v>
      </c>
      <c r="D514">
        <v>79.324073791999993</v>
      </c>
      <c r="E514">
        <v>50</v>
      </c>
      <c r="F514">
        <v>50.396060943999998</v>
      </c>
      <c r="G514">
        <v>1330.4995117000001</v>
      </c>
      <c r="H514">
        <v>1330.4346923999999</v>
      </c>
      <c r="I514">
        <v>1332.6601562000001</v>
      </c>
      <c r="J514">
        <v>1331.6975098</v>
      </c>
      <c r="K514">
        <v>0</v>
      </c>
      <c r="L514">
        <v>550</v>
      </c>
      <c r="M514">
        <v>550</v>
      </c>
      <c r="N514">
        <v>0</v>
      </c>
    </row>
    <row r="515" spans="1:14" x14ac:dyDescent="0.25">
      <c r="A515">
        <v>189.62574900000001</v>
      </c>
      <c r="B515" s="1">
        <f>DATE(2010,11,6) + TIME(15,1,4)</f>
        <v>40488.625740740739</v>
      </c>
      <c r="C515">
        <v>80</v>
      </c>
      <c r="D515">
        <v>79.278793335000003</v>
      </c>
      <c r="E515">
        <v>50</v>
      </c>
      <c r="F515">
        <v>50.300197601000001</v>
      </c>
      <c r="G515">
        <v>1330.4855957</v>
      </c>
      <c r="H515">
        <v>1330.4135742000001</v>
      </c>
      <c r="I515">
        <v>1332.6967772999999</v>
      </c>
      <c r="J515">
        <v>1331.7209473</v>
      </c>
      <c r="K515">
        <v>0</v>
      </c>
      <c r="L515">
        <v>550</v>
      </c>
      <c r="M515">
        <v>550</v>
      </c>
      <c r="N515">
        <v>0</v>
      </c>
    </row>
    <row r="516" spans="1:14" x14ac:dyDescent="0.25">
      <c r="A516">
        <v>189.813728</v>
      </c>
      <c r="B516" s="1">
        <f>DATE(2010,11,6) + TIME(19,31,46)</f>
        <v>40488.813726851855</v>
      </c>
      <c r="C516">
        <v>80</v>
      </c>
      <c r="D516">
        <v>79.255294800000001</v>
      </c>
      <c r="E516">
        <v>50</v>
      </c>
      <c r="F516">
        <v>50.256713867000002</v>
      </c>
      <c r="G516">
        <v>1330.4715576000001</v>
      </c>
      <c r="H516">
        <v>1330.3920897999999</v>
      </c>
      <c r="I516">
        <v>1332.7363281</v>
      </c>
      <c r="J516">
        <v>1331.7459716999999</v>
      </c>
      <c r="K516">
        <v>0</v>
      </c>
      <c r="L516">
        <v>550</v>
      </c>
      <c r="M516">
        <v>550</v>
      </c>
      <c r="N516">
        <v>0</v>
      </c>
    </row>
    <row r="517" spans="1:14" x14ac:dyDescent="0.25">
      <c r="A517">
        <v>190.00170800000001</v>
      </c>
      <c r="B517" s="1">
        <f>DATE(2010,11,7) + TIME(0,2,27)</f>
        <v>40489.001701388886</v>
      </c>
      <c r="C517">
        <v>80</v>
      </c>
      <c r="D517">
        <v>79.231544494999994</v>
      </c>
      <c r="E517">
        <v>50</v>
      </c>
      <c r="F517">
        <v>50.217853546000001</v>
      </c>
      <c r="G517">
        <v>1330.4638672000001</v>
      </c>
      <c r="H517">
        <v>1330.3804932</v>
      </c>
      <c r="I517">
        <v>1332.7540283000001</v>
      </c>
      <c r="J517">
        <v>1331.7573242000001</v>
      </c>
      <c r="K517">
        <v>0</v>
      </c>
      <c r="L517">
        <v>550</v>
      </c>
      <c r="M517">
        <v>550</v>
      </c>
      <c r="N517">
        <v>0</v>
      </c>
    </row>
    <row r="518" spans="1:14" x14ac:dyDescent="0.25">
      <c r="A518">
        <v>190.18968699999999</v>
      </c>
      <c r="B518" s="1">
        <f>DATE(2010,11,7) + TIME(4,33,8)</f>
        <v>40489.189675925925</v>
      </c>
      <c r="C518">
        <v>80</v>
      </c>
      <c r="D518">
        <v>79.207511901999993</v>
      </c>
      <c r="E518">
        <v>50</v>
      </c>
      <c r="F518">
        <v>50.183170318999998</v>
      </c>
      <c r="G518">
        <v>1330.4562988</v>
      </c>
      <c r="H518">
        <v>1330.3690185999999</v>
      </c>
      <c r="I518">
        <v>1332.770874</v>
      </c>
      <c r="J518">
        <v>1331.7680664</v>
      </c>
      <c r="K518">
        <v>0</v>
      </c>
      <c r="L518">
        <v>550</v>
      </c>
      <c r="M518">
        <v>550</v>
      </c>
      <c r="N518">
        <v>0</v>
      </c>
    </row>
    <row r="519" spans="1:14" x14ac:dyDescent="0.25">
      <c r="A519">
        <v>190.377667</v>
      </c>
      <c r="B519" s="1">
        <f>DATE(2010,11,7) + TIME(9,3,50)</f>
        <v>40489.377662037034</v>
      </c>
      <c r="C519">
        <v>80</v>
      </c>
      <c r="D519">
        <v>79.183174132999994</v>
      </c>
      <c r="E519">
        <v>50</v>
      </c>
      <c r="F519">
        <v>50.152244568</v>
      </c>
      <c r="G519">
        <v>1330.4487305</v>
      </c>
      <c r="H519">
        <v>1330.3576660000001</v>
      </c>
      <c r="I519">
        <v>1332.7868652</v>
      </c>
      <c r="J519">
        <v>1331.7783202999999</v>
      </c>
      <c r="K519">
        <v>0</v>
      </c>
      <c r="L519">
        <v>550</v>
      </c>
      <c r="M519">
        <v>550</v>
      </c>
      <c r="N519">
        <v>0</v>
      </c>
    </row>
    <row r="520" spans="1:14" x14ac:dyDescent="0.25">
      <c r="A520">
        <v>190.56564599999999</v>
      </c>
      <c r="B520" s="1">
        <f>DATE(2010,11,7) + TIME(13,34,31)</f>
        <v>40489.565636574072</v>
      </c>
      <c r="C520">
        <v>80</v>
      </c>
      <c r="D520">
        <v>79.158515929999993</v>
      </c>
      <c r="E520">
        <v>50</v>
      </c>
      <c r="F520">
        <v>50.124694824000002</v>
      </c>
      <c r="G520">
        <v>1330.4412841999999</v>
      </c>
      <c r="H520">
        <v>1330.3464355000001</v>
      </c>
      <c r="I520">
        <v>1332.8020019999999</v>
      </c>
      <c r="J520">
        <v>1331.7880858999999</v>
      </c>
      <c r="K520">
        <v>0</v>
      </c>
      <c r="L520">
        <v>550</v>
      </c>
      <c r="M520">
        <v>550</v>
      </c>
      <c r="N520">
        <v>0</v>
      </c>
    </row>
    <row r="521" spans="1:14" x14ac:dyDescent="0.25">
      <c r="A521">
        <v>190.94160500000001</v>
      </c>
      <c r="B521" s="1">
        <f>DATE(2010,11,7) + TIME(22,35,54)</f>
        <v>40489.94159722222</v>
      </c>
      <c r="C521">
        <v>80</v>
      </c>
      <c r="D521">
        <v>79.109138489000003</v>
      </c>
      <c r="E521">
        <v>50</v>
      </c>
      <c r="F521">
        <v>50.080619812000002</v>
      </c>
      <c r="G521">
        <v>1330.4334716999999</v>
      </c>
      <c r="H521">
        <v>1330.3345947</v>
      </c>
      <c r="I521">
        <v>1332.8144531</v>
      </c>
      <c r="J521">
        <v>1331.7963867000001</v>
      </c>
      <c r="K521">
        <v>0</v>
      </c>
      <c r="L521">
        <v>550</v>
      </c>
      <c r="M521">
        <v>550</v>
      </c>
      <c r="N521">
        <v>0</v>
      </c>
    </row>
    <row r="522" spans="1:14" x14ac:dyDescent="0.25">
      <c r="A522">
        <v>191.31927200000001</v>
      </c>
      <c r="B522" s="1">
        <f>DATE(2010,11,8) + TIME(7,39,45)</f>
        <v>40490.31927083333</v>
      </c>
      <c r="C522">
        <v>80</v>
      </c>
      <c r="D522">
        <v>79.058433532999999</v>
      </c>
      <c r="E522">
        <v>50</v>
      </c>
      <c r="F522">
        <v>50.045257567999997</v>
      </c>
      <c r="G522">
        <v>1330.4195557</v>
      </c>
      <c r="H522">
        <v>1330.3139647999999</v>
      </c>
      <c r="I522">
        <v>1332.8389893000001</v>
      </c>
      <c r="J522">
        <v>1331.8122559000001</v>
      </c>
      <c r="K522">
        <v>0</v>
      </c>
      <c r="L522">
        <v>550</v>
      </c>
      <c r="M522">
        <v>550</v>
      </c>
      <c r="N522">
        <v>0</v>
      </c>
    </row>
    <row r="523" spans="1:14" x14ac:dyDescent="0.25">
      <c r="A523">
        <v>191.70474100000001</v>
      </c>
      <c r="B523" s="1">
        <f>DATE(2010,11,8) + TIME(16,54,49)</f>
        <v>40490.704733796294</v>
      </c>
      <c r="C523">
        <v>80</v>
      </c>
      <c r="D523">
        <v>79.005592346</v>
      </c>
      <c r="E523">
        <v>50</v>
      </c>
      <c r="F523">
        <v>50.016639709000003</v>
      </c>
      <c r="G523">
        <v>1330.4056396000001</v>
      </c>
      <c r="H523">
        <v>1330.293457</v>
      </c>
      <c r="I523">
        <v>1332.8598632999999</v>
      </c>
      <c r="J523">
        <v>1331.8258057</v>
      </c>
      <c r="K523">
        <v>0</v>
      </c>
      <c r="L523">
        <v>550</v>
      </c>
      <c r="M523">
        <v>550</v>
      </c>
      <c r="N523">
        <v>0</v>
      </c>
    </row>
    <row r="524" spans="1:14" x14ac:dyDescent="0.25">
      <c r="A524">
        <v>192.10036500000001</v>
      </c>
      <c r="B524" s="1">
        <f>DATE(2010,11,9) + TIME(2,24,31)</f>
        <v>40491.100358796299</v>
      </c>
      <c r="C524">
        <v>80</v>
      </c>
      <c r="D524">
        <v>78.950256347999996</v>
      </c>
      <c r="E524">
        <v>50</v>
      </c>
      <c r="F524">
        <v>49.993530272999998</v>
      </c>
      <c r="G524">
        <v>1330.3917236</v>
      </c>
      <c r="H524">
        <v>1330.2729492000001</v>
      </c>
      <c r="I524">
        <v>1332.8789062000001</v>
      </c>
      <c r="J524">
        <v>1331.8382568</v>
      </c>
      <c r="K524">
        <v>0</v>
      </c>
      <c r="L524">
        <v>550</v>
      </c>
      <c r="M524">
        <v>550</v>
      </c>
      <c r="N524">
        <v>0</v>
      </c>
    </row>
    <row r="525" spans="1:14" x14ac:dyDescent="0.25">
      <c r="A525">
        <v>192.50866500000001</v>
      </c>
      <c r="B525" s="1">
        <f>DATE(2010,11,9) + TIME(12,12,28)</f>
        <v>40491.508657407408</v>
      </c>
      <c r="C525">
        <v>80</v>
      </c>
      <c r="D525">
        <v>78.892005920000003</v>
      </c>
      <c r="E525">
        <v>50</v>
      </c>
      <c r="F525">
        <v>49.974945067999997</v>
      </c>
      <c r="G525">
        <v>1330.3776855000001</v>
      </c>
      <c r="H525">
        <v>1330.2523193</v>
      </c>
      <c r="I525">
        <v>1332.8961182</v>
      </c>
      <c r="J525">
        <v>1331.8496094</v>
      </c>
      <c r="K525">
        <v>0</v>
      </c>
      <c r="L525">
        <v>550</v>
      </c>
      <c r="M525">
        <v>550</v>
      </c>
      <c r="N525">
        <v>0</v>
      </c>
    </row>
    <row r="526" spans="1:14" x14ac:dyDescent="0.25">
      <c r="A526">
        <v>192.932413</v>
      </c>
      <c r="B526" s="1">
        <f>DATE(2010,11,9) + TIME(22,22,40)</f>
        <v>40491.93240740741</v>
      </c>
      <c r="C526">
        <v>80</v>
      </c>
      <c r="D526">
        <v>78.830383300999998</v>
      </c>
      <c r="E526">
        <v>50</v>
      </c>
      <c r="F526">
        <v>49.960079192999999</v>
      </c>
      <c r="G526">
        <v>1330.3634033000001</v>
      </c>
      <c r="H526">
        <v>1330.2314452999999</v>
      </c>
      <c r="I526">
        <v>1332.9118652</v>
      </c>
      <c r="J526">
        <v>1331.8599853999999</v>
      </c>
      <c r="K526">
        <v>0</v>
      </c>
      <c r="L526">
        <v>550</v>
      </c>
      <c r="M526">
        <v>550</v>
      </c>
      <c r="N526">
        <v>0</v>
      </c>
    </row>
    <row r="527" spans="1:14" x14ac:dyDescent="0.25">
      <c r="A527">
        <v>193.37538599999999</v>
      </c>
      <c r="B527" s="1">
        <f>DATE(2010,11,10) + TIME(9,0,33)</f>
        <v>40492.375381944446</v>
      </c>
      <c r="C527">
        <v>80</v>
      </c>
      <c r="D527">
        <v>78.764755249000004</v>
      </c>
      <c r="E527">
        <v>50</v>
      </c>
      <c r="F527">
        <v>49.948257446</v>
      </c>
      <c r="G527">
        <v>1330.3487548999999</v>
      </c>
      <c r="H527">
        <v>1330.2102050999999</v>
      </c>
      <c r="I527">
        <v>1332.9261475000001</v>
      </c>
      <c r="J527">
        <v>1331.8695068</v>
      </c>
      <c r="K527">
        <v>0</v>
      </c>
      <c r="L527">
        <v>550</v>
      </c>
      <c r="M527">
        <v>550</v>
      </c>
      <c r="N527">
        <v>0</v>
      </c>
    </row>
    <row r="528" spans="1:14" x14ac:dyDescent="0.25">
      <c r="A528">
        <v>193.841238</v>
      </c>
      <c r="B528" s="1">
        <f>DATE(2010,11,10) + TIME(20,11,22)</f>
        <v>40492.841226851851</v>
      </c>
      <c r="C528">
        <v>80</v>
      </c>
      <c r="D528">
        <v>78.694465636999993</v>
      </c>
      <c r="E528">
        <v>50</v>
      </c>
      <c r="F528">
        <v>49.938934326000002</v>
      </c>
      <c r="G528">
        <v>1330.3336182</v>
      </c>
      <c r="H528">
        <v>1330.1884766000001</v>
      </c>
      <c r="I528">
        <v>1332.9367675999999</v>
      </c>
      <c r="J528">
        <v>1331.8767089999999</v>
      </c>
      <c r="K528">
        <v>0</v>
      </c>
      <c r="L528">
        <v>550</v>
      </c>
      <c r="M528">
        <v>550</v>
      </c>
      <c r="N528">
        <v>0</v>
      </c>
    </row>
    <row r="529" spans="1:14" x14ac:dyDescent="0.25">
      <c r="A529">
        <v>194.321834</v>
      </c>
      <c r="B529" s="1">
        <f>DATE(2010,11,11) + TIME(7,43,26)</f>
        <v>40493.321828703702</v>
      </c>
      <c r="C529">
        <v>80</v>
      </c>
      <c r="D529">
        <v>78.620544433999996</v>
      </c>
      <c r="E529">
        <v>50</v>
      </c>
      <c r="F529">
        <v>49.931789397999999</v>
      </c>
      <c r="G529">
        <v>1330.3181152</v>
      </c>
      <c r="H529">
        <v>1330.1661377</v>
      </c>
      <c r="I529">
        <v>1332.9461670000001</v>
      </c>
      <c r="J529">
        <v>1331.8830565999999</v>
      </c>
      <c r="K529">
        <v>0</v>
      </c>
      <c r="L529">
        <v>550</v>
      </c>
      <c r="M529">
        <v>550</v>
      </c>
      <c r="N529">
        <v>0</v>
      </c>
    </row>
    <row r="530" spans="1:14" x14ac:dyDescent="0.25">
      <c r="A530">
        <v>194.82047600000001</v>
      </c>
      <c r="B530" s="1">
        <f>DATE(2010,11,11) + TIME(19,41,29)</f>
        <v>40493.820474537039</v>
      </c>
      <c r="C530">
        <v>80</v>
      </c>
      <c r="D530">
        <v>78.542411803999997</v>
      </c>
      <c r="E530">
        <v>50</v>
      </c>
      <c r="F530">
        <v>49.926353454999997</v>
      </c>
      <c r="G530">
        <v>1330.3022461</v>
      </c>
      <c r="H530">
        <v>1330.1435547000001</v>
      </c>
      <c r="I530">
        <v>1332.9543457</v>
      </c>
      <c r="J530">
        <v>1331.8886719</v>
      </c>
      <c r="K530">
        <v>0</v>
      </c>
      <c r="L530">
        <v>550</v>
      </c>
      <c r="M530">
        <v>550</v>
      </c>
      <c r="N530">
        <v>0</v>
      </c>
    </row>
    <row r="531" spans="1:14" x14ac:dyDescent="0.25">
      <c r="A531">
        <v>195.340157</v>
      </c>
      <c r="B531" s="1">
        <f>DATE(2010,11,12) + TIME(8,9,49)</f>
        <v>40494.340150462966</v>
      </c>
      <c r="C531">
        <v>80</v>
      </c>
      <c r="D531">
        <v>78.459503174000005</v>
      </c>
      <c r="E531">
        <v>50</v>
      </c>
      <c r="F531">
        <v>49.922248840000002</v>
      </c>
      <c r="G531">
        <v>1330.2862548999999</v>
      </c>
      <c r="H531">
        <v>1330.1206055</v>
      </c>
      <c r="I531">
        <v>1332.9614257999999</v>
      </c>
      <c r="J531">
        <v>1331.8936768000001</v>
      </c>
      <c r="K531">
        <v>0</v>
      </c>
      <c r="L531">
        <v>550</v>
      </c>
      <c r="M531">
        <v>550</v>
      </c>
      <c r="N531">
        <v>0</v>
      </c>
    </row>
    <row r="532" spans="1:14" x14ac:dyDescent="0.25">
      <c r="A532">
        <v>195.884379</v>
      </c>
      <c r="B532" s="1">
        <f>DATE(2010,11,12) + TIME(21,13,30)</f>
        <v>40494.884375000001</v>
      </c>
      <c r="C532">
        <v>80</v>
      </c>
      <c r="D532">
        <v>78.371147156000006</v>
      </c>
      <c r="E532">
        <v>50</v>
      </c>
      <c r="F532">
        <v>49.919185638000002</v>
      </c>
      <c r="G532">
        <v>1330.2697754000001</v>
      </c>
      <c r="H532">
        <v>1330.0972899999999</v>
      </c>
      <c r="I532">
        <v>1332.9674072</v>
      </c>
      <c r="J532">
        <v>1331.8980713000001</v>
      </c>
      <c r="K532">
        <v>0</v>
      </c>
      <c r="L532">
        <v>550</v>
      </c>
      <c r="M532">
        <v>550</v>
      </c>
      <c r="N532">
        <v>0</v>
      </c>
    </row>
    <row r="533" spans="1:14" x14ac:dyDescent="0.25">
      <c r="A533">
        <v>196.457348</v>
      </c>
      <c r="B533" s="1">
        <f>DATE(2010,11,13) + TIME(10,58,34)</f>
        <v>40495.457337962966</v>
      </c>
      <c r="C533">
        <v>80</v>
      </c>
      <c r="D533">
        <v>78.276542664000004</v>
      </c>
      <c r="E533">
        <v>50</v>
      </c>
      <c r="F533">
        <v>49.916927338000001</v>
      </c>
      <c r="G533">
        <v>1330.2529297000001</v>
      </c>
      <c r="H533">
        <v>1330.0733643000001</v>
      </c>
      <c r="I533">
        <v>1332.9725341999999</v>
      </c>
      <c r="J533">
        <v>1331.9018555</v>
      </c>
      <c r="K533">
        <v>0</v>
      </c>
      <c r="L533">
        <v>550</v>
      </c>
      <c r="M533">
        <v>550</v>
      </c>
      <c r="N533">
        <v>0</v>
      </c>
    </row>
    <row r="534" spans="1:14" x14ac:dyDescent="0.25">
      <c r="A534">
        <v>197.06524999999999</v>
      </c>
      <c r="B534" s="1">
        <f>DATE(2010,11,14) + TIME(1,33,57)</f>
        <v>40496.065243055556</v>
      </c>
      <c r="C534">
        <v>80</v>
      </c>
      <c r="D534">
        <v>78.174537658999995</v>
      </c>
      <c r="E534">
        <v>50</v>
      </c>
      <c r="F534">
        <v>49.915283203000001</v>
      </c>
      <c r="G534">
        <v>1330.2355957</v>
      </c>
      <c r="H534">
        <v>1330.0489502</v>
      </c>
      <c r="I534">
        <v>1332.9768065999999</v>
      </c>
      <c r="J534">
        <v>1331.9051514</v>
      </c>
      <c r="K534">
        <v>0</v>
      </c>
      <c r="L534">
        <v>550</v>
      </c>
      <c r="M534">
        <v>550</v>
      </c>
      <c r="N534">
        <v>0</v>
      </c>
    </row>
    <row r="535" spans="1:14" x14ac:dyDescent="0.25">
      <c r="A535">
        <v>197.71442999999999</v>
      </c>
      <c r="B535" s="1">
        <f>DATE(2010,11,14) + TIME(17,8,46)</f>
        <v>40496.714421296296</v>
      </c>
      <c r="C535">
        <v>80</v>
      </c>
      <c r="D535">
        <v>78.063919067</v>
      </c>
      <c r="E535">
        <v>50</v>
      </c>
      <c r="F535">
        <v>49.914108276</v>
      </c>
      <c r="G535">
        <v>1330.2176514</v>
      </c>
      <c r="H535">
        <v>1330.0235596</v>
      </c>
      <c r="I535">
        <v>1332.9803466999999</v>
      </c>
      <c r="J535">
        <v>1331.9079589999999</v>
      </c>
      <c r="K535">
        <v>0</v>
      </c>
      <c r="L535">
        <v>550</v>
      </c>
      <c r="M535">
        <v>550</v>
      </c>
      <c r="N535">
        <v>0</v>
      </c>
    </row>
    <row r="536" spans="1:14" x14ac:dyDescent="0.25">
      <c r="A536">
        <v>198.390953</v>
      </c>
      <c r="B536" s="1">
        <f>DATE(2010,11,15) + TIME(9,22,58)</f>
        <v>40497.390949074077</v>
      </c>
      <c r="C536">
        <v>80</v>
      </c>
      <c r="D536">
        <v>77.946563721000004</v>
      </c>
      <c r="E536">
        <v>50</v>
      </c>
      <c r="F536">
        <v>49.913307189999998</v>
      </c>
      <c r="G536">
        <v>1330.1988524999999</v>
      </c>
      <c r="H536">
        <v>1329.9973144999999</v>
      </c>
      <c r="I536">
        <v>1332.9831543</v>
      </c>
      <c r="J536">
        <v>1331.9104004000001</v>
      </c>
      <c r="K536">
        <v>0</v>
      </c>
      <c r="L536">
        <v>550</v>
      </c>
      <c r="M536">
        <v>550</v>
      </c>
      <c r="N536">
        <v>0</v>
      </c>
    </row>
    <row r="537" spans="1:14" x14ac:dyDescent="0.25">
      <c r="A537">
        <v>199.08333500000001</v>
      </c>
      <c r="B537" s="1">
        <f>DATE(2010,11,16) + TIME(2,0,0)</f>
        <v>40498.083333333336</v>
      </c>
      <c r="C537">
        <v>80</v>
      </c>
      <c r="D537">
        <v>77.824043274000005</v>
      </c>
      <c r="E537">
        <v>50</v>
      </c>
      <c r="F537">
        <v>49.912773131999998</v>
      </c>
      <c r="G537">
        <v>1330.1798096</v>
      </c>
      <c r="H537">
        <v>1329.9705810999999</v>
      </c>
      <c r="I537">
        <v>1332.9851074000001</v>
      </c>
      <c r="J537">
        <v>1331.9123535000001</v>
      </c>
      <c r="K537">
        <v>0</v>
      </c>
      <c r="L537">
        <v>550</v>
      </c>
      <c r="M537">
        <v>550</v>
      </c>
      <c r="N537">
        <v>0</v>
      </c>
    </row>
    <row r="538" spans="1:14" x14ac:dyDescent="0.25">
      <c r="A538">
        <v>199.798214</v>
      </c>
      <c r="B538" s="1">
        <f>DATE(2010,11,16) + TIME(19,9,25)</f>
        <v>40498.798206018517</v>
      </c>
      <c r="C538">
        <v>80</v>
      </c>
      <c r="D538">
        <v>77.695198059000006</v>
      </c>
      <c r="E538">
        <v>50</v>
      </c>
      <c r="F538">
        <v>49.912425995</v>
      </c>
      <c r="G538">
        <v>1330.1606445</v>
      </c>
      <c r="H538">
        <v>1329.9438477000001</v>
      </c>
      <c r="I538">
        <v>1332.9864502</v>
      </c>
      <c r="J538">
        <v>1331.9139404</v>
      </c>
      <c r="K538">
        <v>0</v>
      </c>
      <c r="L538">
        <v>550</v>
      </c>
      <c r="M538">
        <v>550</v>
      </c>
      <c r="N538">
        <v>0</v>
      </c>
    </row>
    <row r="539" spans="1:14" x14ac:dyDescent="0.25">
      <c r="A539">
        <v>200.53218899999999</v>
      </c>
      <c r="B539" s="1">
        <f>DATE(2010,11,17) + TIME(12,46,21)</f>
        <v>40499.532187500001</v>
      </c>
      <c r="C539">
        <v>80</v>
      </c>
      <c r="D539">
        <v>77.560409546000002</v>
      </c>
      <c r="E539">
        <v>50</v>
      </c>
      <c r="F539">
        <v>49.912200927999997</v>
      </c>
      <c r="G539">
        <v>1330.1413574000001</v>
      </c>
      <c r="H539">
        <v>1329.9168701000001</v>
      </c>
      <c r="I539">
        <v>1332.9871826000001</v>
      </c>
      <c r="J539">
        <v>1331.9150391000001</v>
      </c>
      <c r="K539">
        <v>0</v>
      </c>
      <c r="L539">
        <v>550</v>
      </c>
      <c r="M539">
        <v>550</v>
      </c>
      <c r="N539">
        <v>0</v>
      </c>
    </row>
    <row r="540" spans="1:14" x14ac:dyDescent="0.25">
      <c r="A540">
        <v>201.27197000000001</v>
      </c>
      <c r="B540" s="1">
        <f>DATE(2010,11,18) + TIME(6,31,38)</f>
        <v>40500.271967592591</v>
      </c>
      <c r="C540">
        <v>80</v>
      </c>
      <c r="D540">
        <v>77.421722411999994</v>
      </c>
      <c r="E540">
        <v>50</v>
      </c>
      <c r="F540">
        <v>49.912063599</v>
      </c>
      <c r="G540">
        <v>1330.1219481999999</v>
      </c>
      <c r="H540">
        <v>1329.8898925999999</v>
      </c>
      <c r="I540">
        <v>1332.9871826000001</v>
      </c>
      <c r="J540">
        <v>1331.9157714999999</v>
      </c>
      <c r="K540">
        <v>0</v>
      </c>
      <c r="L540">
        <v>550</v>
      </c>
      <c r="M540">
        <v>550</v>
      </c>
      <c r="N540">
        <v>0</v>
      </c>
    </row>
    <row r="541" spans="1:14" x14ac:dyDescent="0.25">
      <c r="A541">
        <v>202.02195599999999</v>
      </c>
      <c r="B541" s="1">
        <f>DATE(2010,11,19) + TIME(0,31,37)</f>
        <v>40501.021956018521</v>
      </c>
      <c r="C541">
        <v>80</v>
      </c>
      <c r="D541">
        <v>77.278457642000006</v>
      </c>
      <c r="E541">
        <v>50</v>
      </c>
      <c r="F541">
        <v>49.911968231000003</v>
      </c>
      <c r="G541">
        <v>1330.1027832</v>
      </c>
      <c r="H541">
        <v>1329.8631591999999</v>
      </c>
      <c r="I541">
        <v>1332.9860839999999</v>
      </c>
      <c r="J541">
        <v>1331.9157714999999</v>
      </c>
      <c r="K541">
        <v>0</v>
      </c>
      <c r="L541">
        <v>550</v>
      </c>
      <c r="M541">
        <v>550</v>
      </c>
      <c r="N541">
        <v>0</v>
      </c>
    </row>
    <row r="542" spans="1:14" x14ac:dyDescent="0.25">
      <c r="A542">
        <v>202.78676400000001</v>
      </c>
      <c r="B542" s="1">
        <f>DATE(2010,11,19) + TIME(18,52,56)</f>
        <v>40501.786759259259</v>
      </c>
      <c r="C542">
        <v>80</v>
      </c>
      <c r="D542">
        <v>77.129844665999997</v>
      </c>
      <c r="E542">
        <v>50</v>
      </c>
      <c r="F542">
        <v>49.911907196000001</v>
      </c>
      <c r="G542">
        <v>1330.0836182</v>
      </c>
      <c r="H542">
        <v>1329.8366699000001</v>
      </c>
      <c r="I542">
        <v>1332.9847411999999</v>
      </c>
      <c r="J542">
        <v>1331.9156493999999</v>
      </c>
      <c r="K542">
        <v>0</v>
      </c>
      <c r="L542">
        <v>550</v>
      </c>
      <c r="M542">
        <v>550</v>
      </c>
      <c r="N542">
        <v>0</v>
      </c>
    </row>
    <row r="543" spans="1:14" x14ac:dyDescent="0.25">
      <c r="A543">
        <v>203.570694</v>
      </c>
      <c r="B543" s="1">
        <f>DATE(2010,11,20) + TIME(13,41,47)</f>
        <v>40502.57068287037</v>
      </c>
      <c r="C543">
        <v>80</v>
      </c>
      <c r="D543">
        <v>76.975151061999995</v>
      </c>
      <c r="E543">
        <v>50</v>
      </c>
      <c r="F543">
        <v>49.911865233999997</v>
      </c>
      <c r="G543">
        <v>1330.0646973</v>
      </c>
      <c r="H543">
        <v>1329.8103027</v>
      </c>
      <c r="I543">
        <v>1332.9831543</v>
      </c>
      <c r="J543">
        <v>1331.9154053</v>
      </c>
      <c r="K543">
        <v>0</v>
      </c>
      <c r="L543">
        <v>550</v>
      </c>
      <c r="M543">
        <v>550</v>
      </c>
      <c r="N543">
        <v>0</v>
      </c>
    </row>
    <row r="544" spans="1:14" x14ac:dyDescent="0.25">
      <c r="A544">
        <v>204.37831299999999</v>
      </c>
      <c r="B544" s="1">
        <f>DATE(2010,11,21) + TIME(9,4,46)</f>
        <v>40503.378310185188</v>
      </c>
      <c r="C544">
        <v>80</v>
      </c>
      <c r="D544">
        <v>76.813560486</v>
      </c>
      <c r="E544">
        <v>50</v>
      </c>
      <c r="F544">
        <v>49.911834716999998</v>
      </c>
      <c r="G544">
        <v>1330.0455322</v>
      </c>
      <c r="H544">
        <v>1329.7839355000001</v>
      </c>
      <c r="I544">
        <v>1332.9815673999999</v>
      </c>
      <c r="J544">
        <v>1331.9150391000001</v>
      </c>
      <c r="K544">
        <v>0</v>
      </c>
      <c r="L544">
        <v>550</v>
      </c>
      <c r="M544">
        <v>550</v>
      </c>
      <c r="N544">
        <v>0</v>
      </c>
    </row>
    <row r="545" spans="1:14" x14ac:dyDescent="0.25">
      <c r="A545">
        <v>205.21464700000001</v>
      </c>
      <c r="B545" s="1">
        <f>DATE(2010,11,22) + TIME(5,9,5)</f>
        <v>40504.214641203704</v>
      </c>
      <c r="C545">
        <v>80</v>
      </c>
      <c r="D545">
        <v>76.644165039000001</v>
      </c>
      <c r="E545">
        <v>50</v>
      </c>
      <c r="F545">
        <v>49.911811829000001</v>
      </c>
      <c r="G545">
        <v>1330.0264893000001</v>
      </c>
      <c r="H545">
        <v>1329.7574463000001</v>
      </c>
      <c r="I545">
        <v>1332.9796143000001</v>
      </c>
      <c r="J545">
        <v>1331.9146728999999</v>
      </c>
      <c r="K545">
        <v>0</v>
      </c>
      <c r="L545">
        <v>550</v>
      </c>
      <c r="M545">
        <v>550</v>
      </c>
      <c r="N545">
        <v>0</v>
      </c>
    </row>
    <row r="546" spans="1:14" x14ac:dyDescent="0.25">
      <c r="A546">
        <v>206.08532099999999</v>
      </c>
      <c r="B546" s="1">
        <f>DATE(2010,11,23) + TIME(2,2,51)</f>
        <v>40505.085312499999</v>
      </c>
      <c r="C546">
        <v>80</v>
      </c>
      <c r="D546">
        <v>76.465904236</v>
      </c>
      <c r="E546">
        <v>50</v>
      </c>
      <c r="F546">
        <v>49.91179657</v>
      </c>
      <c r="G546">
        <v>1330.0070800999999</v>
      </c>
      <c r="H546">
        <v>1329.7307129000001</v>
      </c>
      <c r="I546">
        <v>1332.9776611</v>
      </c>
      <c r="J546">
        <v>1331.9141846</v>
      </c>
      <c r="K546">
        <v>0</v>
      </c>
      <c r="L546">
        <v>550</v>
      </c>
      <c r="M546">
        <v>550</v>
      </c>
      <c r="N546">
        <v>0</v>
      </c>
    </row>
    <row r="547" spans="1:14" x14ac:dyDescent="0.25">
      <c r="A547">
        <v>207.00121200000001</v>
      </c>
      <c r="B547" s="1">
        <f>DATE(2010,11,24) + TIME(0,1,44)</f>
        <v>40506.001203703701</v>
      </c>
      <c r="C547">
        <v>80</v>
      </c>
      <c r="D547">
        <v>76.276840210000003</v>
      </c>
      <c r="E547">
        <v>50</v>
      </c>
      <c r="F547">
        <v>49.911781310999999</v>
      </c>
      <c r="G547">
        <v>1329.9875488</v>
      </c>
      <c r="H547">
        <v>1329.7037353999999</v>
      </c>
      <c r="I547">
        <v>1332.9755858999999</v>
      </c>
      <c r="J547">
        <v>1331.9136963000001</v>
      </c>
      <c r="K547">
        <v>0</v>
      </c>
      <c r="L547">
        <v>550</v>
      </c>
      <c r="M547">
        <v>550</v>
      </c>
      <c r="N547">
        <v>0</v>
      </c>
    </row>
    <row r="548" spans="1:14" x14ac:dyDescent="0.25">
      <c r="A548">
        <v>207.96053800000001</v>
      </c>
      <c r="B548" s="1">
        <f>DATE(2010,11,24) + TIME(23,3,10)</f>
        <v>40506.960532407407</v>
      </c>
      <c r="C548">
        <v>80</v>
      </c>
      <c r="D548">
        <v>76.077064514</v>
      </c>
      <c r="E548">
        <v>50</v>
      </c>
      <c r="F548">
        <v>49.911773682000003</v>
      </c>
      <c r="G548">
        <v>1329.9674072</v>
      </c>
      <c r="H548">
        <v>1329.6761475000001</v>
      </c>
      <c r="I548">
        <v>1332.9733887</v>
      </c>
      <c r="J548">
        <v>1331.9132079999999</v>
      </c>
      <c r="K548">
        <v>0</v>
      </c>
      <c r="L548">
        <v>550</v>
      </c>
      <c r="M548">
        <v>550</v>
      </c>
      <c r="N548">
        <v>0</v>
      </c>
    </row>
    <row r="549" spans="1:14" x14ac:dyDescent="0.25">
      <c r="A549">
        <v>208.96624299999999</v>
      </c>
      <c r="B549" s="1">
        <f>DATE(2010,11,25) + TIME(23,11,23)</f>
        <v>40507.966238425928</v>
      </c>
      <c r="C549">
        <v>80</v>
      </c>
      <c r="D549">
        <v>75.865913391000007</v>
      </c>
      <c r="E549">
        <v>50</v>
      </c>
      <c r="F549">
        <v>49.911762238000001</v>
      </c>
      <c r="G549">
        <v>1329.9470214999999</v>
      </c>
      <c r="H549">
        <v>1329.6481934000001</v>
      </c>
      <c r="I549">
        <v>1332.9710693</v>
      </c>
      <c r="J549">
        <v>1331.9127197</v>
      </c>
      <c r="K549">
        <v>0</v>
      </c>
      <c r="L549">
        <v>550</v>
      </c>
      <c r="M549">
        <v>550</v>
      </c>
      <c r="N549">
        <v>0</v>
      </c>
    </row>
    <row r="550" spans="1:14" x14ac:dyDescent="0.25">
      <c r="A550">
        <v>210.016594</v>
      </c>
      <c r="B550" s="1">
        <f>DATE(2010,11,27) + TIME(0,23,53)</f>
        <v>40509.016585648147</v>
      </c>
      <c r="C550">
        <v>80</v>
      </c>
      <c r="D550">
        <v>75.643516540999997</v>
      </c>
      <c r="E550">
        <v>50</v>
      </c>
      <c r="F550">
        <v>49.911754608000003</v>
      </c>
      <c r="G550">
        <v>1329.9262695</v>
      </c>
      <c r="H550">
        <v>1329.6196289</v>
      </c>
      <c r="I550">
        <v>1332.9686279</v>
      </c>
      <c r="J550">
        <v>1331.9121094</v>
      </c>
      <c r="K550">
        <v>0</v>
      </c>
      <c r="L550">
        <v>550</v>
      </c>
      <c r="M550">
        <v>550</v>
      </c>
      <c r="N550">
        <v>0</v>
      </c>
    </row>
    <row r="551" spans="1:14" x14ac:dyDescent="0.25">
      <c r="A551">
        <v>211.10937999999999</v>
      </c>
      <c r="B551" s="1">
        <f>DATE(2010,11,28) + TIME(2,37,30)</f>
        <v>40510.109375</v>
      </c>
      <c r="C551">
        <v>80</v>
      </c>
      <c r="D551">
        <v>75.41015625</v>
      </c>
      <c r="E551">
        <v>50</v>
      </c>
      <c r="F551">
        <v>49.911743164000001</v>
      </c>
      <c r="G551">
        <v>1329.9052733999999</v>
      </c>
      <c r="H551">
        <v>1329.5908202999999</v>
      </c>
      <c r="I551">
        <v>1332.9660644999999</v>
      </c>
      <c r="J551">
        <v>1331.911499</v>
      </c>
      <c r="K551">
        <v>0</v>
      </c>
      <c r="L551">
        <v>550</v>
      </c>
      <c r="M551">
        <v>550</v>
      </c>
      <c r="N551">
        <v>0</v>
      </c>
    </row>
    <row r="552" spans="1:14" x14ac:dyDescent="0.25">
      <c r="A552">
        <v>212.220044</v>
      </c>
      <c r="B552" s="1">
        <f>DATE(2010,11,29) + TIME(5,16,51)</f>
        <v>40511.220034722224</v>
      </c>
      <c r="C552">
        <v>80</v>
      </c>
      <c r="D552">
        <v>75.169830321999996</v>
      </c>
      <c r="E552">
        <v>50</v>
      </c>
      <c r="F552">
        <v>49.911731719999999</v>
      </c>
      <c r="G552">
        <v>1329.8839111</v>
      </c>
      <c r="H552">
        <v>1329.5616454999999</v>
      </c>
      <c r="I552">
        <v>1332.963501</v>
      </c>
      <c r="J552">
        <v>1331.9110106999999</v>
      </c>
      <c r="K552">
        <v>0</v>
      </c>
      <c r="L552">
        <v>550</v>
      </c>
      <c r="M552">
        <v>550</v>
      </c>
      <c r="N552">
        <v>0</v>
      </c>
    </row>
    <row r="553" spans="1:14" x14ac:dyDescent="0.25">
      <c r="A553">
        <v>213.340193</v>
      </c>
      <c r="B553" s="1">
        <f>DATE(2010,11,30) + TIME(8,9,52)</f>
        <v>40512.340185185189</v>
      </c>
      <c r="C553">
        <v>80</v>
      </c>
      <c r="D553">
        <v>74.924270629999995</v>
      </c>
      <c r="E553">
        <v>50</v>
      </c>
      <c r="F553">
        <v>49.911716460999997</v>
      </c>
      <c r="G553">
        <v>1329.862793</v>
      </c>
      <c r="H553">
        <v>1329.5328368999999</v>
      </c>
      <c r="I553">
        <v>1332.9609375</v>
      </c>
      <c r="J553">
        <v>1331.9104004000001</v>
      </c>
      <c r="K553">
        <v>0</v>
      </c>
      <c r="L553">
        <v>550</v>
      </c>
      <c r="M553">
        <v>550</v>
      </c>
      <c r="N553">
        <v>0</v>
      </c>
    </row>
    <row r="554" spans="1:14" x14ac:dyDescent="0.25">
      <c r="A554">
        <v>214</v>
      </c>
      <c r="B554" s="1">
        <f>DATE(2010,12,1) + TIME(0,0,0)</f>
        <v>40513</v>
      </c>
      <c r="C554">
        <v>80</v>
      </c>
      <c r="D554">
        <v>74.760002135999997</v>
      </c>
      <c r="E554">
        <v>50</v>
      </c>
      <c r="F554">
        <v>49.911685943999998</v>
      </c>
      <c r="G554">
        <v>1329.8422852000001</v>
      </c>
      <c r="H554">
        <v>1329.5050048999999</v>
      </c>
      <c r="I554">
        <v>1332.9584961</v>
      </c>
      <c r="J554">
        <v>1331.9099120999999</v>
      </c>
      <c r="K554">
        <v>0</v>
      </c>
      <c r="L554">
        <v>550</v>
      </c>
      <c r="M554">
        <v>550</v>
      </c>
      <c r="N554">
        <v>0</v>
      </c>
    </row>
    <row r="555" spans="1:14" x14ac:dyDescent="0.25">
      <c r="A555">
        <v>215.13722300000001</v>
      </c>
      <c r="B555" s="1">
        <f>DATE(2010,12,2) + TIME(3,17,36)</f>
        <v>40514.13722222222</v>
      </c>
      <c r="C555">
        <v>80</v>
      </c>
      <c r="D555">
        <v>74.511512756000002</v>
      </c>
      <c r="E555">
        <v>50</v>
      </c>
      <c r="F555">
        <v>49.911682128999999</v>
      </c>
      <c r="G555">
        <v>1329.8289795000001</v>
      </c>
      <c r="H555">
        <v>1329.4859618999999</v>
      </c>
      <c r="I555">
        <v>1332.9570312000001</v>
      </c>
      <c r="J555">
        <v>1331.909668</v>
      </c>
      <c r="K555">
        <v>0</v>
      </c>
      <c r="L555">
        <v>550</v>
      </c>
      <c r="M555">
        <v>550</v>
      </c>
      <c r="N555">
        <v>0</v>
      </c>
    </row>
    <row r="556" spans="1:14" x14ac:dyDescent="0.25">
      <c r="A556">
        <v>216.31716499999999</v>
      </c>
      <c r="B556" s="1">
        <f>DATE(2010,12,3) + TIME(7,36,43)</f>
        <v>40515.317164351851</v>
      </c>
      <c r="C556">
        <v>80</v>
      </c>
      <c r="D556">
        <v>74.252723693999997</v>
      </c>
      <c r="E556">
        <v>50</v>
      </c>
      <c r="F556">
        <v>49.911674499999997</v>
      </c>
      <c r="G556">
        <v>1329.8089600000001</v>
      </c>
      <c r="H556">
        <v>1329.4587402</v>
      </c>
      <c r="I556">
        <v>1332.9545897999999</v>
      </c>
      <c r="J556">
        <v>1331.9091797000001</v>
      </c>
      <c r="K556">
        <v>0</v>
      </c>
      <c r="L556">
        <v>550</v>
      </c>
      <c r="M556">
        <v>550</v>
      </c>
      <c r="N556">
        <v>0</v>
      </c>
    </row>
    <row r="557" spans="1:14" x14ac:dyDescent="0.25">
      <c r="A557">
        <v>217.53518600000001</v>
      </c>
      <c r="B557" s="1">
        <f>DATE(2010,12,4) + TIME(12,50,40)</f>
        <v>40516.535185185188</v>
      </c>
      <c r="C557">
        <v>80</v>
      </c>
      <c r="D557">
        <v>73.984527588000006</v>
      </c>
      <c r="E557">
        <v>50</v>
      </c>
      <c r="F557">
        <v>49.911666869999998</v>
      </c>
      <c r="G557">
        <v>1329.7888184000001</v>
      </c>
      <c r="H557">
        <v>1329.4312743999999</v>
      </c>
      <c r="I557">
        <v>1332.9521483999999</v>
      </c>
      <c r="J557">
        <v>1331.9088135</v>
      </c>
      <c r="K557">
        <v>0</v>
      </c>
      <c r="L557">
        <v>550</v>
      </c>
      <c r="M557">
        <v>550</v>
      </c>
      <c r="N557">
        <v>0</v>
      </c>
    </row>
    <row r="558" spans="1:14" x14ac:dyDescent="0.25">
      <c r="A558">
        <v>218.807006</v>
      </c>
      <c r="B558" s="1">
        <f>DATE(2010,12,5) + TIME(19,22,5)</f>
        <v>40517.807002314818</v>
      </c>
      <c r="C558">
        <v>80</v>
      </c>
      <c r="D558">
        <v>73.704788207999997</v>
      </c>
      <c r="E558">
        <v>50</v>
      </c>
      <c r="F558">
        <v>49.911659241000002</v>
      </c>
      <c r="G558">
        <v>1329.7685547000001</v>
      </c>
      <c r="H558">
        <v>1329.4036865</v>
      </c>
      <c r="I558">
        <v>1332.949707</v>
      </c>
      <c r="J558">
        <v>1331.9083252</v>
      </c>
      <c r="K558">
        <v>0</v>
      </c>
      <c r="L558">
        <v>550</v>
      </c>
      <c r="M558">
        <v>550</v>
      </c>
      <c r="N558">
        <v>0</v>
      </c>
    </row>
    <row r="559" spans="1:14" x14ac:dyDescent="0.25">
      <c r="A559">
        <v>220.13369800000001</v>
      </c>
      <c r="B559" s="1">
        <f>DATE(2010,12,7) + TIME(3,12,31)</f>
        <v>40519.133692129632</v>
      </c>
      <c r="C559">
        <v>80</v>
      </c>
      <c r="D559">
        <v>73.413352966000005</v>
      </c>
      <c r="E559">
        <v>50</v>
      </c>
      <c r="F559">
        <v>49.911651611000003</v>
      </c>
      <c r="G559">
        <v>1329.7480469</v>
      </c>
      <c r="H559">
        <v>1329.3758545000001</v>
      </c>
      <c r="I559">
        <v>1332.9471435999999</v>
      </c>
      <c r="J559">
        <v>1331.9080810999999</v>
      </c>
      <c r="K559">
        <v>0</v>
      </c>
      <c r="L559">
        <v>550</v>
      </c>
      <c r="M559">
        <v>550</v>
      </c>
      <c r="N559">
        <v>0</v>
      </c>
    </row>
    <row r="560" spans="1:14" x14ac:dyDescent="0.25">
      <c r="A560">
        <v>221.48406800000001</v>
      </c>
      <c r="B560" s="1">
        <f>DATE(2010,12,8) + TIME(11,37,3)</f>
        <v>40520.4840625</v>
      </c>
      <c r="C560">
        <v>80</v>
      </c>
      <c r="D560">
        <v>73.114944457999997</v>
      </c>
      <c r="E560">
        <v>50</v>
      </c>
      <c r="F560">
        <v>49.911640167000002</v>
      </c>
      <c r="G560">
        <v>1329.7274170000001</v>
      </c>
      <c r="H560">
        <v>1329.3477783000001</v>
      </c>
      <c r="I560">
        <v>1332.9447021000001</v>
      </c>
      <c r="J560">
        <v>1331.9077147999999</v>
      </c>
      <c r="K560">
        <v>0</v>
      </c>
      <c r="L560">
        <v>550</v>
      </c>
      <c r="M560">
        <v>550</v>
      </c>
      <c r="N560">
        <v>0</v>
      </c>
    </row>
    <row r="561" spans="1:14" x14ac:dyDescent="0.25">
      <c r="A561">
        <v>222.866715</v>
      </c>
      <c r="B561" s="1">
        <f>DATE(2010,12,9) + TIME(20,48,4)</f>
        <v>40521.866712962961</v>
      </c>
      <c r="C561">
        <v>80</v>
      </c>
      <c r="D561">
        <v>72.809104919000006</v>
      </c>
      <c r="E561">
        <v>50</v>
      </c>
      <c r="F561">
        <v>49.911628723</v>
      </c>
      <c r="G561">
        <v>1329.7069091999999</v>
      </c>
      <c r="H561">
        <v>1329.3198242000001</v>
      </c>
      <c r="I561">
        <v>1332.9422606999999</v>
      </c>
      <c r="J561">
        <v>1331.9074707</v>
      </c>
      <c r="K561">
        <v>0</v>
      </c>
      <c r="L561">
        <v>550</v>
      </c>
      <c r="M561">
        <v>550</v>
      </c>
      <c r="N561">
        <v>0</v>
      </c>
    </row>
    <row r="562" spans="1:14" x14ac:dyDescent="0.25">
      <c r="A562">
        <v>224.290279</v>
      </c>
      <c r="B562" s="1">
        <f>DATE(2010,12,11) + TIME(6,58,0)</f>
        <v>40523.290277777778</v>
      </c>
      <c r="C562">
        <v>80</v>
      </c>
      <c r="D562">
        <v>72.495071410999998</v>
      </c>
      <c r="E562">
        <v>50</v>
      </c>
      <c r="F562">
        <v>49.911621093999997</v>
      </c>
      <c r="G562">
        <v>1329.6865233999999</v>
      </c>
      <c r="H562">
        <v>1329.2921143000001</v>
      </c>
      <c r="I562">
        <v>1332.9399414</v>
      </c>
      <c r="J562">
        <v>1331.9073486</v>
      </c>
      <c r="K562">
        <v>0</v>
      </c>
      <c r="L562">
        <v>550</v>
      </c>
      <c r="M562">
        <v>550</v>
      </c>
      <c r="N562">
        <v>0</v>
      </c>
    </row>
    <row r="563" spans="1:14" x14ac:dyDescent="0.25">
      <c r="A563">
        <v>225.764285</v>
      </c>
      <c r="B563" s="1">
        <f>DATE(2010,12,12) + TIME(18,20,34)</f>
        <v>40524.764282407406</v>
      </c>
      <c r="C563">
        <v>80</v>
      </c>
      <c r="D563">
        <v>72.171737671000002</v>
      </c>
      <c r="E563">
        <v>50</v>
      </c>
      <c r="F563">
        <v>49.911613463999998</v>
      </c>
      <c r="G563">
        <v>1329.6661377</v>
      </c>
      <c r="H563">
        <v>1329.2644043</v>
      </c>
      <c r="I563">
        <v>1332.9376221</v>
      </c>
      <c r="J563">
        <v>1331.9072266000001</v>
      </c>
      <c r="K563">
        <v>0</v>
      </c>
      <c r="L563">
        <v>550</v>
      </c>
      <c r="M563">
        <v>550</v>
      </c>
      <c r="N563">
        <v>0</v>
      </c>
    </row>
    <row r="564" spans="1:14" x14ac:dyDescent="0.25">
      <c r="A564">
        <v>227.29753299999999</v>
      </c>
      <c r="B564" s="1">
        <f>DATE(2010,12,14) + TIME(7,8,26)</f>
        <v>40526.297523148147</v>
      </c>
      <c r="C564">
        <v>80</v>
      </c>
      <c r="D564">
        <v>71.837974548000005</v>
      </c>
      <c r="E564">
        <v>50</v>
      </c>
      <c r="F564">
        <v>49.911609650000003</v>
      </c>
      <c r="G564">
        <v>1329.6457519999999</v>
      </c>
      <c r="H564">
        <v>1329.2366943</v>
      </c>
      <c r="I564">
        <v>1332.9351807</v>
      </c>
      <c r="J564">
        <v>1331.9071045000001</v>
      </c>
      <c r="K564">
        <v>0</v>
      </c>
      <c r="L564">
        <v>550</v>
      </c>
      <c r="M564">
        <v>550</v>
      </c>
      <c r="N564">
        <v>0</v>
      </c>
    </row>
    <row r="565" spans="1:14" x14ac:dyDescent="0.25">
      <c r="A565">
        <v>228.864034</v>
      </c>
      <c r="B565" s="1">
        <f>DATE(2010,12,15) + TIME(20,44,12)</f>
        <v>40527.864027777781</v>
      </c>
      <c r="C565">
        <v>80</v>
      </c>
      <c r="D565">
        <v>71.497253418</v>
      </c>
      <c r="E565">
        <v>50</v>
      </c>
      <c r="F565">
        <v>49.911605835000003</v>
      </c>
      <c r="G565">
        <v>1329.6253661999999</v>
      </c>
      <c r="H565">
        <v>1329.2089844</v>
      </c>
      <c r="I565">
        <v>1332.9328613</v>
      </c>
      <c r="J565">
        <v>1331.9069824000001</v>
      </c>
      <c r="K565">
        <v>0</v>
      </c>
      <c r="L565">
        <v>550</v>
      </c>
      <c r="M565">
        <v>550</v>
      </c>
      <c r="N565">
        <v>0</v>
      </c>
    </row>
    <row r="566" spans="1:14" x14ac:dyDescent="0.25">
      <c r="A566">
        <v>230.475583</v>
      </c>
      <c r="B566" s="1">
        <f>DATE(2010,12,17) + TIME(11,24,50)</f>
        <v>40529.475578703707</v>
      </c>
      <c r="C566">
        <v>80</v>
      </c>
      <c r="D566">
        <v>71.148765564000001</v>
      </c>
      <c r="E566">
        <v>50</v>
      </c>
      <c r="F566">
        <v>49.911605835000003</v>
      </c>
      <c r="G566">
        <v>1329.6051024999999</v>
      </c>
      <c r="H566">
        <v>1329.1813964999999</v>
      </c>
      <c r="I566">
        <v>1332.9305420000001</v>
      </c>
      <c r="J566">
        <v>1331.9071045000001</v>
      </c>
      <c r="K566">
        <v>0</v>
      </c>
      <c r="L566">
        <v>550</v>
      </c>
      <c r="M566">
        <v>550</v>
      </c>
      <c r="N566">
        <v>0</v>
      </c>
    </row>
    <row r="567" spans="1:14" x14ac:dyDescent="0.25">
      <c r="A567">
        <v>232.144317</v>
      </c>
      <c r="B567" s="1">
        <f>DATE(2010,12,19) + TIME(3,27,48)</f>
        <v>40531.144305555557</v>
      </c>
      <c r="C567">
        <v>80</v>
      </c>
      <c r="D567">
        <v>70.791252135999997</v>
      </c>
      <c r="E567">
        <v>50</v>
      </c>
      <c r="F567">
        <v>49.911605835000003</v>
      </c>
      <c r="G567">
        <v>1329.5848389</v>
      </c>
      <c r="H567">
        <v>1329.1539307</v>
      </c>
      <c r="I567">
        <v>1332.9283447</v>
      </c>
      <c r="J567">
        <v>1331.9071045000001</v>
      </c>
      <c r="K567">
        <v>0</v>
      </c>
      <c r="L567">
        <v>550</v>
      </c>
      <c r="M567">
        <v>550</v>
      </c>
      <c r="N567">
        <v>0</v>
      </c>
    </row>
    <row r="568" spans="1:14" x14ac:dyDescent="0.25">
      <c r="A568">
        <v>233.85354899999999</v>
      </c>
      <c r="B568" s="1">
        <f>DATE(2010,12,20) + TIME(20,29,6)</f>
        <v>40532.853541666664</v>
      </c>
      <c r="C568">
        <v>80</v>
      </c>
      <c r="D568">
        <v>70.426841736</v>
      </c>
      <c r="E568">
        <v>50</v>
      </c>
      <c r="F568">
        <v>49.911613463999998</v>
      </c>
      <c r="G568">
        <v>1329.5646973</v>
      </c>
      <c r="H568">
        <v>1329.1265868999999</v>
      </c>
      <c r="I568">
        <v>1332.9261475000001</v>
      </c>
      <c r="J568">
        <v>1331.9072266000001</v>
      </c>
      <c r="K568">
        <v>0</v>
      </c>
      <c r="L568">
        <v>550</v>
      </c>
      <c r="M568">
        <v>550</v>
      </c>
      <c r="N568">
        <v>0</v>
      </c>
    </row>
    <row r="569" spans="1:14" x14ac:dyDescent="0.25">
      <c r="A569">
        <v>235.61153300000001</v>
      </c>
      <c r="B569" s="1">
        <f>DATE(2010,12,22) + TIME(14,40,36)</f>
        <v>40534.611527777779</v>
      </c>
      <c r="C569">
        <v>80</v>
      </c>
      <c r="D569">
        <v>70.055175781000003</v>
      </c>
      <c r="E569">
        <v>50</v>
      </c>
      <c r="F569">
        <v>49.911621093999997</v>
      </c>
      <c r="G569">
        <v>1329.5446777</v>
      </c>
      <c r="H569">
        <v>1329.0993652</v>
      </c>
      <c r="I569">
        <v>1332.9239502</v>
      </c>
      <c r="J569">
        <v>1331.9073486</v>
      </c>
      <c r="K569">
        <v>0</v>
      </c>
      <c r="L569">
        <v>550</v>
      </c>
      <c r="M569">
        <v>550</v>
      </c>
      <c r="N569">
        <v>0</v>
      </c>
    </row>
    <row r="570" spans="1:14" x14ac:dyDescent="0.25">
      <c r="A570">
        <v>237.407793</v>
      </c>
      <c r="B570" s="1">
        <f>DATE(2010,12,24) + TIME(9,47,13)</f>
        <v>40536.407789351855</v>
      </c>
      <c r="C570">
        <v>80</v>
      </c>
      <c r="D570">
        <v>69.677459717000005</v>
      </c>
      <c r="E570">
        <v>50</v>
      </c>
      <c r="F570">
        <v>49.911628723</v>
      </c>
      <c r="G570">
        <v>1329.5247803</v>
      </c>
      <c r="H570">
        <v>1329.0725098</v>
      </c>
      <c r="I570">
        <v>1332.9217529</v>
      </c>
      <c r="J570">
        <v>1331.9075928</v>
      </c>
      <c r="K570">
        <v>0</v>
      </c>
      <c r="L570">
        <v>550</v>
      </c>
      <c r="M570">
        <v>550</v>
      </c>
      <c r="N570">
        <v>0</v>
      </c>
    </row>
    <row r="571" spans="1:14" x14ac:dyDescent="0.25">
      <c r="A571">
        <v>239.252017</v>
      </c>
      <c r="B571" s="1">
        <f>DATE(2010,12,26) + TIME(6,2,54)</f>
        <v>40538.252013888887</v>
      </c>
      <c r="C571">
        <v>80</v>
      </c>
      <c r="D571">
        <v>69.293365479000002</v>
      </c>
      <c r="E571">
        <v>50</v>
      </c>
      <c r="F571">
        <v>49.911643982000001</v>
      </c>
      <c r="G571">
        <v>1329.5051269999999</v>
      </c>
      <c r="H571">
        <v>1329.0457764</v>
      </c>
      <c r="I571">
        <v>1332.9196777</v>
      </c>
      <c r="J571">
        <v>1331.9078368999999</v>
      </c>
      <c r="K571">
        <v>0</v>
      </c>
      <c r="L571">
        <v>550</v>
      </c>
      <c r="M571">
        <v>550</v>
      </c>
      <c r="N571">
        <v>0</v>
      </c>
    </row>
    <row r="572" spans="1:14" x14ac:dyDescent="0.25">
      <c r="A572">
        <v>241.14224200000001</v>
      </c>
      <c r="B572" s="1">
        <f>DATE(2010,12,28) + TIME(3,24,49)</f>
        <v>40540.142233796294</v>
      </c>
      <c r="C572">
        <v>80</v>
      </c>
      <c r="D572">
        <v>68.903343200999998</v>
      </c>
      <c r="E572">
        <v>50</v>
      </c>
      <c r="F572">
        <v>49.911663054999998</v>
      </c>
      <c r="G572">
        <v>1329.4857178</v>
      </c>
      <c r="H572">
        <v>1329.0192870999999</v>
      </c>
      <c r="I572">
        <v>1332.9176024999999</v>
      </c>
      <c r="J572">
        <v>1331.9080810999999</v>
      </c>
      <c r="K572">
        <v>0</v>
      </c>
      <c r="L572">
        <v>550</v>
      </c>
      <c r="M572">
        <v>550</v>
      </c>
      <c r="N572">
        <v>0</v>
      </c>
    </row>
    <row r="573" spans="1:14" x14ac:dyDescent="0.25">
      <c r="A573">
        <v>243.070573</v>
      </c>
      <c r="B573" s="1">
        <f>DATE(2010,12,30) + TIME(1,41,37)</f>
        <v>40542.070567129631</v>
      </c>
      <c r="C573">
        <v>80</v>
      </c>
      <c r="D573">
        <v>68.508590698000006</v>
      </c>
      <c r="E573">
        <v>50</v>
      </c>
      <c r="F573">
        <v>49.911685943999998</v>
      </c>
      <c r="G573">
        <v>1329.4664307</v>
      </c>
      <c r="H573">
        <v>1328.9931641000001</v>
      </c>
      <c r="I573">
        <v>1332.9156493999999</v>
      </c>
      <c r="J573">
        <v>1331.9084473</v>
      </c>
      <c r="K573">
        <v>0</v>
      </c>
      <c r="L573">
        <v>550</v>
      </c>
      <c r="M573">
        <v>550</v>
      </c>
      <c r="N573">
        <v>0</v>
      </c>
    </row>
    <row r="574" spans="1:14" x14ac:dyDescent="0.25">
      <c r="A574">
        <v>245</v>
      </c>
      <c r="B574" s="1">
        <f>DATE(2011,1,1) + TIME(0,0,0)</f>
        <v>40544</v>
      </c>
      <c r="C574">
        <v>80</v>
      </c>
      <c r="D574">
        <v>68.113830566000004</v>
      </c>
      <c r="E574">
        <v>50</v>
      </c>
      <c r="F574">
        <v>49.911705017000003</v>
      </c>
      <c r="G574">
        <v>1329.4475098</v>
      </c>
      <c r="H574">
        <v>1328.9674072</v>
      </c>
      <c r="I574">
        <v>1332.9135742000001</v>
      </c>
      <c r="J574">
        <v>1331.9088135</v>
      </c>
      <c r="K574">
        <v>0</v>
      </c>
      <c r="L574">
        <v>550</v>
      </c>
      <c r="M574">
        <v>550</v>
      </c>
      <c r="N574">
        <v>0</v>
      </c>
    </row>
    <row r="575" spans="1:14" x14ac:dyDescent="0.25">
      <c r="A575">
        <v>246.98056700000001</v>
      </c>
      <c r="B575" s="1">
        <f>DATE(2011,1,2) + TIME(23,32,0)</f>
        <v>40545.980555555558</v>
      </c>
      <c r="C575">
        <v>80</v>
      </c>
      <c r="D575">
        <v>67.715248107999997</v>
      </c>
      <c r="E575">
        <v>50</v>
      </c>
      <c r="F575">
        <v>49.911727904999999</v>
      </c>
      <c r="G575">
        <v>1329.4289550999999</v>
      </c>
      <c r="H575">
        <v>1328.9422606999999</v>
      </c>
      <c r="I575">
        <v>1332.9113769999999</v>
      </c>
      <c r="J575">
        <v>1331.9090576000001</v>
      </c>
      <c r="K575">
        <v>0</v>
      </c>
      <c r="L575">
        <v>550</v>
      </c>
      <c r="M575">
        <v>550</v>
      </c>
      <c r="N575">
        <v>0</v>
      </c>
    </row>
    <row r="576" spans="1:14" x14ac:dyDescent="0.25">
      <c r="A576">
        <v>249.085106</v>
      </c>
      <c r="B576" s="1">
        <f>DATE(2011,1,5) + TIME(2,2,33)</f>
        <v>40548.085104166668</v>
      </c>
      <c r="C576">
        <v>80</v>
      </c>
      <c r="D576">
        <v>67.304435729999994</v>
      </c>
      <c r="E576">
        <v>50</v>
      </c>
      <c r="F576">
        <v>49.911758423000002</v>
      </c>
      <c r="G576">
        <v>1329.4107666</v>
      </c>
      <c r="H576">
        <v>1328.9173584</v>
      </c>
      <c r="I576">
        <v>1332.9091797000001</v>
      </c>
      <c r="J576">
        <v>1331.9093018000001</v>
      </c>
      <c r="K576">
        <v>0</v>
      </c>
      <c r="L576">
        <v>550</v>
      </c>
      <c r="M576">
        <v>550</v>
      </c>
      <c r="N576">
        <v>0</v>
      </c>
    </row>
    <row r="577" spans="1:14" x14ac:dyDescent="0.25">
      <c r="A577">
        <v>251.232201</v>
      </c>
      <c r="B577" s="1">
        <f>DATE(2011,1,7) + TIME(5,34,22)</f>
        <v>40550.232199074075</v>
      </c>
      <c r="C577">
        <v>80</v>
      </c>
      <c r="D577">
        <v>66.886596679999997</v>
      </c>
      <c r="E577">
        <v>50</v>
      </c>
      <c r="F577">
        <v>49.911788940000001</v>
      </c>
      <c r="G577">
        <v>1329.3922118999999</v>
      </c>
      <c r="H577">
        <v>1328.8923339999999</v>
      </c>
      <c r="I577">
        <v>1332.9071045000001</v>
      </c>
      <c r="J577">
        <v>1331.909668</v>
      </c>
      <c r="K577">
        <v>0</v>
      </c>
      <c r="L577">
        <v>550</v>
      </c>
      <c r="M577">
        <v>550</v>
      </c>
      <c r="N577">
        <v>0</v>
      </c>
    </row>
    <row r="578" spans="1:14" x14ac:dyDescent="0.25">
      <c r="A578">
        <v>253.43983800000001</v>
      </c>
      <c r="B578" s="1">
        <f>DATE(2011,1,9) + TIME(10,33,22)</f>
        <v>40552.439837962964</v>
      </c>
      <c r="C578">
        <v>80</v>
      </c>
      <c r="D578">
        <v>66.461692810000002</v>
      </c>
      <c r="E578">
        <v>50</v>
      </c>
      <c r="F578">
        <v>49.911823273000003</v>
      </c>
      <c r="G578">
        <v>1329.3739014</v>
      </c>
      <c r="H578">
        <v>1328.8675536999999</v>
      </c>
      <c r="I578">
        <v>1332.9050293</v>
      </c>
      <c r="J578">
        <v>1331.9100341999999</v>
      </c>
      <c r="K578">
        <v>0</v>
      </c>
      <c r="L578">
        <v>550</v>
      </c>
      <c r="M578">
        <v>550</v>
      </c>
      <c r="N578">
        <v>0</v>
      </c>
    </row>
    <row r="579" spans="1:14" x14ac:dyDescent="0.25">
      <c r="A579">
        <v>255.701674</v>
      </c>
      <c r="B579" s="1">
        <f>DATE(2011,1,11) + TIME(16,50,24)</f>
        <v>40554.701666666668</v>
      </c>
      <c r="C579">
        <v>80</v>
      </c>
      <c r="D579">
        <v>66.03062439</v>
      </c>
      <c r="E579">
        <v>50</v>
      </c>
      <c r="F579">
        <v>49.911865233999997</v>
      </c>
      <c r="G579">
        <v>1329.3558350000001</v>
      </c>
      <c r="H579">
        <v>1328.8428954999999</v>
      </c>
      <c r="I579">
        <v>1332.9029541</v>
      </c>
      <c r="J579">
        <v>1331.9104004000001</v>
      </c>
      <c r="K579">
        <v>0</v>
      </c>
      <c r="L579">
        <v>550</v>
      </c>
      <c r="M579">
        <v>550</v>
      </c>
      <c r="N579">
        <v>0</v>
      </c>
    </row>
    <row r="580" spans="1:14" x14ac:dyDescent="0.25">
      <c r="A580">
        <v>257.99566099999998</v>
      </c>
      <c r="B580" s="1">
        <f>DATE(2011,1,13) + TIME(23,53,45)</f>
        <v>40556.995659722219</v>
      </c>
      <c r="C580">
        <v>80</v>
      </c>
      <c r="D580">
        <v>65.596008300999998</v>
      </c>
      <c r="E580">
        <v>50</v>
      </c>
      <c r="F580">
        <v>49.911907196000001</v>
      </c>
      <c r="G580">
        <v>1329.3378906</v>
      </c>
      <c r="H580">
        <v>1328.8184814000001</v>
      </c>
      <c r="I580">
        <v>1332.9008789</v>
      </c>
      <c r="J580">
        <v>1331.9108887</v>
      </c>
      <c r="K580">
        <v>0</v>
      </c>
      <c r="L580">
        <v>550</v>
      </c>
      <c r="M580">
        <v>550</v>
      </c>
      <c r="N580">
        <v>0</v>
      </c>
    </row>
    <row r="581" spans="1:14" x14ac:dyDescent="0.25">
      <c r="A581">
        <v>260.339135</v>
      </c>
      <c r="B581" s="1">
        <f>DATE(2011,1,16) + TIME(8,8,21)</f>
        <v>40559.339131944442</v>
      </c>
      <c r="C581">
        <v>80</v>
      </c>
      <c r="D581">
        <v>65.157531738000003</v>
      </c>
      <c r="E581">
        <v>50</v>
      </c>
      <c r="F581">
        <v>49.911960602000001</v>
      </c>
      <c r="G581">
        <v>1329.3203125</v>
      </c>
      <c r="H581">
        <v>1328.7945557</v>
      </c>
      <c r="I581">
        <v>1332.8989257999999</v>
      </c>
      <c r="J581">
        <v>1331.9113769999999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262.75101999999998</v>
      </c>
      <c r="B582" s="1">
        <f>DATE(2011,1,18) + TIME(18,1,28)</f>
        <v>40561.751018518517</v>
      </c>
      <c r="C582">
        <v>80</v>
      </c>
      <c r="D582">
        <v>64.713562011999997</v>
      </c>
      <c r="E582">
        <v>50</v>
      </c>
      <c r="F582">
        <v>49.912017822000003</v>
      </c>
      <c r="G582">
        <v>1329.3031006000001</v>
      </c>
      <c r="H582">
        <v>1328.7709961</v>
      </c>
      <c r="I582">
        <v>1332.8970947</v>
      </c>
      <c r="J582">
        <v>1331.9119873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265.19888800000001</v>
      </c>
      <c r="B583" s="1">
        <f>DATE(2011,1,21) + TIME(4,46,23)</f>
        <v>40564.198877314811</v>
      </c>
      <c r="C583">
        <v>80</v>
      </c>
      <c r="D583">
        <v>64.266151428000001</v>
      </c>
      <c r="E583">
        <v>50</v>
      </c>
      <c r="F583">
        <v>49.912078856999997</v>
      </c>
      <c r="G583">
        <v>1329.2860106999999</v>
      </c>
      <c r="H583">
        <v>1328.7476807</v>
      </c>
      <c r="I583">
        <v>1332.8952637</v>
      </c>
      <c r="J583">
        <v>1331.9124756000001</v>
      </c>
      <c r="K583">
        <v>0</v>
      </c>
      <c r="L583">
        <v>550</v>
      </c>
      <c r="M583">
        <v>550</v>
      </c>
      <c r="N583">
        <v>0</v>
      </c>
    </row>
    <row r="584" spans="1:14" x14ac:dyDescent="0.25">
      <c r="A584">
        <v>267.70008300000001</v>
      </c>
      <c r="B584" s="1">
        <f>DATE(2011,1,23) + TIME(16,48,7)</f>
        <v>40566.70008101852</v>
      </c>
      <c r="C584">
        <v>80</v>
      </c>
      <c r="D584">
        <v>63.814937592</v>
      </c>
      <c r="E584">
        <v>50</v>
      </c>
      <c r="F584">
        <v>49.912147521999998</v>
      </c>
      <c r="G584">
        <v>1329.2692870999999</v>
      </c>
      <c r="H584">
        <v>1328.7248535000001</v>
      </c>
      <c r="I584">
        <v>1332.8934326000001</v>
      </c>
      <c r="J584">
        <v>1331.9130858999999</v>
      </c>
      <c r="K584">
        <v>0</v>
      </c>
      <c r="L584">
        <v>550</v>
      </c>
      <c r="M584">
        <v>550</v>
      </c>
      <c r="N584">
        <v>0</v>
      </c>
    </row>
    <row r="585" spans="1:14" x14ac:dyDescent="0.25">
      <c r="A585">
        <v>270.27484199999998</v>
      </c>
      <c r="B585" s="1">
        <f>DATE(2011,1,26) + TIME(6,35,46)</f>
        <v>40569.274837962963</v>
      </c>
      <c r="C585">
        <v>80</v>
      </c>
      <c r="D585">
        <v>63.358062744000001</v>
      </c>
      <c r="E585">
        <v>50</v>
      </c>
      <c r="F585">
        <v>49.912220001000001</v>
      </c>
      <c r="G585">
        <v>1329.2528076000001</v>
      </c>
      <c r="H585">
        <v>1328.7022704999999</v>
      </c>
      <c r="I585">
        <v>1332.8917236</v>
      </c>
      <c r="J585">
        <v>1331.9136963000001</v>
      </c>
      <c r="K585">
        <v>0</v>
      </c>
      <c r="L585">
        <v>550</v>
      </c>
      <c r="M585">
        <v>550</v>
      </c>
      <c r="N585">
        <v>0</v>
      </c>
    </row>
    <row r="586" spans="1:14" x14ac:dyDescent="0.25">
      <c r="A586">
        <v>272.938131</v>
      </c>
      <c r="B586" s="1">
        <f>DATE(2011,1,28) + TIME(22,30,54)</f>
        <v>40571.938125000001</v>
      </c>
      <c r="C586">
        <v>80</v>
      </c>
      <c r="D586">
        <v>62.893421173</v>
      </c>
      <c r="E586">
        <v>50</v>
      </c>
      <c r="F586">
        <v>49.912303925000003</v>
      </c>
      <c r="G586">
        <v>1329.2365723</v>
      </c>
      <c r="H586">
        <v>1328.6800536999999</v>
      </c>
      <c r="I586">
        <v>1332.8898925999999</v>
      </c>
      <c r="J586">
        <v>1331.9144286999999</v>
      </c>
      <c r="K586">
        <v>0</v>
      </c>
      <c r="L586">
        <v>550</v>
      </c>
      <c r="M586">
        <v>550</v>
      </c>
      <c r="N586">
        <v>0</v>
      </c>
    </row>
    <row r="587" spans="1:14" x14ac:dyDescent="0.25">
      <c r="A587">
        <v>275.639028</v>
      </c>
      <c r="B587" s="1">
        <f>DATE(2011,1,31) + TIME(15,20,12)</f>
        <v>40574.639027777775</v>
      </c>
      <c r="C587">
        <v>80</v>
      </c>
      <c r="D587">
        <v>62.423980712999999</v>
      </c>
      <c r="E587">
        <v>50</v>
      </c>
      <c r="F587">
        <v>49.912387848000002</v>
      </c>
      <c r="G587">
        <v>1329.2204589999999</v>
      </c>
      <c r="H587">
        <v>1328.6580810999999</v>
      </c>
      <c r="I587">
        <v>1332.8881836</v>
      </c>
      <c r="J587">
        <v>1331.9150391000001</v>
      </c>
      <c r="K587">
        <v>0</v>
      </c>
      <c r="L587">
        <v>550</v>
      </c>
      <c r="M587">
        <v>550</v>
      </c>
      <c r="N587">
        <v>0</v>
      </c>
    </row>
    <row r="588" spans="1:14" x14ac:dyDescent="0.25">
      <c r="A588">
        <v>276</v>
      </c>
      <c r="B588" s="1">
        <f>DATE(2011,2,1) + TIME(0,0,0)</f>
        <v>40575</v>
      </c>
      <c r="C588">
        <v>80</v>
      </c>
      <c r="D588">
        <v>62.304286957000002</v>
      </c>
      <c r="E588">
        <v>50</v>
      </c>
      <c r="F588">
        <v>49.912364959999998</v>
      </c>
      <c r="G588">
        <v>1329.2044678</v>
      </c>
      <c r="H588">
        <v>1328.6379394999999</v>
      </c>
      <c r="I588">
        <v>1332.8864745999999</v>
      </c>
      <c r="J588">
        <v>1331.9157714999999</v>
      </c>
      <c r="K588">
        <v>0</v>
      </c>
      <c r="L588">
        <v>550</v>
      </c>
      <c r="M588">
        <v>550</v>
      </c>
      <c r="N588">
        <v>0</v>
      </c>
    </row>
    <row r="589" spans="1:14" x14ac:dyDescent="0.25">
      <c r="A589">
        <v>278.76162099999999</v>
      </c>
      <c r="B589" s="1">
        <f>DATE(2011,2,3) + TIME(18,16,44)</f>
        <v>40577.761620370373</v>
      </c>
      <c r="C589">
        <v>80</v>
      </c>
      <c r="D589">
        <v>61.861667633000003</v>
      </c>
      <c r="E589">
        <v>50</v>
      </c>
      <c r="F589">
        <v>49.912479400999999</v>
      </c>
      <c r="G589">
        <v>1329.2017822</v>
      </c>
      <c r="H589">
        <v>1328.6317139</v>
      </c>
      <c r="I589">
        <v>1332.8863524999999</v>
      </c>
      <c r="J589">
        <v>1331.9158935999999</v>
      </c>
      <c r="K589">
        <v>0</v>
      </c>
      <c r="L589">
        <v>550</v>
      </c>
      <c r="M589">
        <v>550</v>
      </c>
      <c r="N589">
        <v>0</v>
      </c>
    </row>
    <row r="590" spans="1:14" x14ac:dyDescent="0.25">
      <c r="A590">
        <v>281.60982300000001</v>
      </c>
      <c r="B590" s="1">
        <f>DATE(2011,2,6) + TIME(14,38,8)</f>
        <v>40580.609814814816</v>
      </c>
      <c r="C590">
        <v>80</v>
      </c>
      <c r="D590">
        <v>61.395751953000001</v>
      </c>
      <c r="E590">
        <v>50</v>
      </c>
      <c r="F590">
        <v>49.912590027</v>
      </c>
      <c r="G590">
        <v>1329.1870117000001</v>
      </c>
      <c r="H590">
        <v>1328.6115723</v>
      </c>
      <c r="I590">
        <v>1332.8846435999999</v>
      </c>
      <c r="J590">
        <v>1331.916626</v>
      </c>
      <c r="K590">
        <v>0</v>
      </c>
      <c r="L590">
        <v>550</v>
      </c>
      <c r="M590">
        <v>550</v>
      </c>
      <c r="N590">
        <v>0</v>
      </c>
    </row>
    <row r="591" spans="1:14" x14ac:dyDescent="0.25">
      <c r="A591">
        <v>284.50988999999998</v>
      </c>
      <c r="B591" s="1">
        <f>DATE(2011,2,9) + TIME(12,14,14)</f>
        <v>40583.509884259256</v>
      </c>
      <c r="C591">
        <v>80</v>
      </c>
      <c r="D591">
        <v>60.917282104000002</v>
      </c>
      <c r="E591">
        <v>50</v>
      </c>
      <c r="F591">
        <v>49.912696838000002</v>
      </c>
      <c r="G591">
        <v>1329.1721190999999</v>
      </c>
      <c r="H591">
        <v>1328.5911865</v>
      </c>
      <c r="I591">
        <v>1332.8830565999999</v>
      </c>
      <c r="J591">
        <v>1331.9173584</v>
      </c>
      <c r="K591">
        <v>0</v>
      </c>
      <c r="L591">
        <v>550</v>
      </c>
      <c r="M591">
        <v>550</v>
      </c>
      <c r="N591">
        <v>0</v>
      </c>
    </row>
    <row r="592" spans="1:14" x14ac:dyDescent="0.25">
      <c r="A592">
        <v>287.46521300000001</v>
      </c>
      <c r="B592" s="1">
        <f>DATE(2011,2,12) + TIME(11,9,54)</f>
        <v>40586.465208333335</v>
      </c>
      <c r="C592">
        <v>80</v>
      </c>
      <c r="D592">
        <v>60.431713104000004</v>
      </c>
      <c r="E592">
        <v>50</v>
      </c>
      <c r="F592">
        <v>49.912811279000003</v>
      </c>
      <c r="G592">
        <v>1329.1574707</v>
      </c>
      <c r="H592">
        <v>1328.5710449000001</v>
      </c>
      <c r="I592">
        <v>1332.8814697</v>
      </c>
      <c r="J592">
        <v>1331.9180908000001</v>
      </c>
      <c r="K592">
        <v>0</v>
      </c>
      <c r="L592">
        <v>550</v>
      </c>
      <c r="M592">
        <v>550</v>
      </c>
      <c r="N592">
        <v>0</v>
      </c>
    </row>
    <row r="593" spans="1:14" x14ac:dyDescent="0.25">
      <c r="A593">
        <v>290.461139</v>
      </c>
      <c r="B593" s="1">
        <f>DATE(2011,2,15) + TIME(11,4,2)</f>
        <v>40589.461134259262</v>
      </c>
      <c r="C593">
        <v>80</v>
      </c>
      <c r="D593">
        <v>59.942474365000002</v>
      </c>
      <c r="E593">
        <v>50</v>
      </c>
      <c r="F593">
        <v>49.912929535000004</v>
      </c>
      <c r="G593">
        <v>1329.1431885</v>
      </c>
      <c r="H593">
        <v>1328.5511475000001</v>
      </c>
      <c r="I593">
        <v>1332.8798827999999</v>
      </c>
      <c r="J593">
        <v>1331.9188231999999</v>
      </c>
      <c r="K593">
        <v>0</v>
      </c>
      <c r="L593">
        <v>550</v>
      </c>
      <c r="M593">
        <v>550</v>
      </c>
      <c r="N593">
        <v>0</v>
      </c>
    </row>
    <row r="594" spans="1:14" x14ac:dyDescent="0.25">
      <c r="A594">
        <v>293.52460500000001</v>
      </c>
      <c r="B594" s="1">
        <f>DATE(2011,2,18) + TIME(12,35,25)</f>
        <v>40592.524594907409</v>
      </c>
      <c r="C594">
        <v>80</v>
      </c>
      <c r="D594">
        <v>59.449386597</v>
      </c>
      <c r="E594">
        <v>50</v>
      </c>
      <c r="F594">
        <v>49.913051605</v>
      </c>
      <c r="G594">
        <v>1329.1292725000001</v>
      </c>
      <c r="H594">
        <v>1328.5318603999999</v>
      </c>
      <c r="I594">
        <v>1332.8782959</v>
      </c>
      <c r="J594">
        <v>1331.9195557</v>
      </c>
      <c r="K594">
        <v>0</v>
      </c>
      <c r="L594">
        <v>550</v>
      </c>
      <c r="M594">
        <v>550</v>
      </c>
      <c r="N594">
        <v>0</v>
      </c>
    </row>
    <row r="595" spans="1:14" x14ac:dyDescent="0.25">
      <c r="A595">
        <v>296.68174299999998</v>
      </c>
      <c r="B595" s="1">
        <f>DATE(2011,2,21) + TIME(16,21,42)</f>
        <v>40595.68173611111</v>
      </c>
      <c r="C595">
        <v>80</v>
      </c>
      <c r="D595">
        <v>58.950809479</v>
      </c>
      <c r="E595">
        <v>50</v>
      </c>
      <c r="F595">
        <v>49.913185120000001</v>
      </c>
      <c r="G595">
        <v>1329.1157227000001</v>
      </c>
      <c r="H595">
        <v>1328.5130615</v>
      </c>
      <c r="I595">
        <v>1332.8768310999999</v>
      </c>
      <c r="J595">
        <v>1331.9202881000001</v>
      </c>
      <c r="K595">
        <v>0</v>
      </c>
      <c r="L595">
        <v>550</v>
      </c>
      <c r="M595">
        <v>550</v>
      </c>
      <c r="N595">
        <v>0</v>
      </c>
    </row>
    <row r="596" spans="1:14" x14ac:dyDescent="0.25">
      <c r="A596">
        <v>299.86922700000002</v>
      </c>
      <c r="B596" s="1">
        <f>DATE(2011,2,24) + TIME(20,51,41)</f>
        <v>40598.86922453704</v>
      </c>
      <c r="C596">
        <v>80</v>
      </c>
      <c r="D596">
        <v>58.449756622000002</v>
      </c>
      <c r="E596">
        <v>50</v>
      </c>
      <c r="F596">
        <v>49.913322448999999</v>
      </c>
      <c r="G596">
        <v>1329.1025391000001</v>
      </c>
      <c r="H596">
        <v>1328.4946289</v>
      </c>
      <c r="I596">
        <v>1332.8753661999999</v>
      </c>
      <c r="J596">
        <v>1331.9210204999999</v>
      </c>
      <c r="K596">
        <v>0</v>
      </c>
      <c r="L596">
        <v>550</v>
      </c>
      <c r="M596">
        <v>550</v>
      </c>
      <c r="N596">
        <v>0</v>
      </c>
    </row>
    <row r="597" spans="1:14" x14ac:dyDescent="0.25">
      <c r="A597">
        <v>303.116625</v>
      </c>
      <c r="B597" s="1">
        <f>DATE(2011,2,28) + TIME(2,47,56)</f>
        <v>40602.116620370369</v>
      </c>
      <c r="C597">
        <v>80</v>
      </c>
      <c r="D597">
        <v>57.947624206999997</v>
      </c>
      <c r="E597">
        <v>50</v>
      </c>
      <c r="F597">
        <v>49.913467406999999</v>
      </c>
      <c r="G597">
        <v>1329.0898437999999</v>
      </c>
      <c r="H597">
        <v>1328.4768065999999</v>
      </c>
      <c r="I597">
        <v>1332.8739014</v>
      </c>
      <c r="J597">
        <v>1331.9217529</v>
      </c>
      <c r="K597">
        <v>0</v>
      </c>
      <c r="L597">
        <v>550</v>
      </c>
      <c r="M597">
        <v>550</v>
      </c>
      <c r="N597">
        <v>0</v>
      </c>
    </row>
    <row r="598" spans="1:14" x14ac:dyDescent="0.25">
      <c r="A598">
        <v>304</v>
      </c>
      <c r="B598" s="1">
        <f>DATE(2011,3,1) + TIME(0,0,0)</f>
        <v>40603</v>
      </c>
      <c r="C598">
        <v>80</v>
      </c>
      <c r="D598">
        <v>57.707714080999999</v>
      </c>
      <c r="E598">
        <v>50</v>
      </c>
      <c r="F598">
        <v>49.913455962999997</v>
      </c>
      <c r="G598">
        <v>1329.0770264</v>
      </c>
      <c r="H598">
        <v>1328.4604492000001</v>
      </c>
      <c r="I598">
        <v>1332.8724365</v>
      </c>
      <c r="J598">
        <v>1331.9224853999999</v>
      </c>
      <c r="K598">
        <v>0</v>
      </c>
      <c r="L598">
        <v>550</v>
      </c>
      <c r="M598">
        <v>550</v>
      </c>
      <c r="N598">
        <v>0</v>
      </c>
    </row>
    <row r="599" spans="1:14" x14ac:dyDescent="0.25">
      <c r="A599">
        <v>307.33795600000002</v>
      </c>
      <c r="B599" s="1">
        <f>DATE(2011,3,4) + TIME(8,6,39)</f>
        <v>40606.337951388887</v>
      </c>
      <c r="C599">
        <v>80</v>
      </c>
      <c r="D599">
        <v>57.265754700000002</v>
      </c>
      <c r="E599">
        <v>50</v>
      </c>
      <c r="F599">
        <v>49.913642883000001</v>
      </c>
      <c r="G599">
        <v>1329.0732422000001</v>
      </c>
      <c r="H599">
        <v>1328.4522704999999</v>
      </c>
      <c r="I599">
        <v>1332.8720702999999</v>
      </c>
      <c r="J599">
        <v>1331.9226074000001</v>
      </c>
      <c r="K599">
        <v>0</v>
      </c>
      <c r="L599">
        <v>550</v>
      </c>
      <c r="M599">
        <v>550</v>
      </c>
      <c r="N599">
        <v>0</v>
      </c>
    </row>
    <row r="600" spans="1:14" x14ac:dyDescent="0.25">
      <c r="A600">
        <v>310.77774299999999</v>
      </c>
      <c r="B600" s="1">
        <f>DATE(2011,3,7) + TIME(18,39,56)</f>
        <v>40609.777731481481</v>
      </c>
      <c r="C600">
        <v>80</v>
      </c>
      <c r="D600">
        <v>56.782875060999999</v>
      </c>
      <c r="E600">
        <v>50</v>
      </c>
      <c r="F600">
        <v>49.913814545000001</v>
      </c>
      <c r="G600">
        <v>1329.0622559000001</v>
      </c>
      <c r="H600">
        <v>1328.4373779</v>
      </c>
      <c r="I600">
        <v>1332.8706055</v>
      </c>
      <c r="J600">
        <v>1331.9234618999999</v>
      </c>
      <c r="K600">
        <v>0</v>
      </c>
      <c r="L600">
        <v>550</v>
      </c>
      <c r="M600">
        <v>550</v>
      </c>
      <c r="N600">
        <v>0</v>
      </c>
    </row>
    <row r="601" spans="1:14" x14ac:dyDescent="0.25">
      <c r="A601">
        <v>314.25779399999999</v>
      </c>
      <c r="B601" s="1">
        <f>DATE(2011,3,11) + TIME(6,11,13)</f>
        <v>40613.257789351854</v>
      </c>
      <c r="C601">
        <v>80</v>
      </c>
      <c r="D601">
        <v>56.284351348999998</v>
      </c>
      <c r="E601">
        <v>50</v>
      </c>
      <c r="F601">
        <v>49.913982390999998</v>
      </c>
      <c r="G601">
        <v>1329.0512695</v>
      </c>
      <c r="H601">
        <v>1328.4221190999999</v>
      </c>
      <c r="I601">
        <v>1332.8692627</v>
      </c>
      <c r="J601">
        <v>1331.9241943</v>
      </c>
      <c r="K601">
        <v>0</v>
      </c>
      <c r="L601">
        <v>550</v>
      </c>
      <c r="M601">
        <v>550</v>
      </c>
      <c r="N601">
        <v>0</v>
      </c>
    </row>
    <row r="602" spans="1:14" x14ac:dyDescent="0.25">
      <c r="A602">
        <v>317.811915</v>
      </c>
      <c r="B602" s="1">
        <f>DATE(2011,3,14) + TIME(19,29,9)</f>
        <v>40616.811909722222</v>
      </c>
      <c r="C602">
        <v>80</v>
      </c>
      <c r="D602">
        <v>55.780963898000003</v>
      </c>
      <c r="E602">
        <v>50</v>
      </c>
      <c r="F602">
        <v>49.914154052999997</v>
      </c>
      <c r="G602">
        <v>1329.0407714999999</v>
      </c>
      <c r="H602">
        <v>1328.4071045000001</v>
      </c>
      <c r="I602">
        <v>1332.8677978999999</v>
      </c>
      <c r="J602">
        <v>1331.9249268000001</v>
      </c>
      <c r="K602">
        <v>0</v>
      </c>
      <c r="L602">
        <v>550</v>
      </c>
      <c r="M602">
        <v>550</v>
      </c>
      <c r="N602">
        <v>0</v>
      </c>
    </row>
    <row r="603" spans="1:14" x14ac:dyDescent="0.25">
      <c r="A603">
        <v>321.47533600000003</v>
      </c>
      <c r="B603" s="1">
        <f>DATE(2011,3,18) + TIME(11,24,29)</f>
        <v>40620.475335648145</v>
      </c>
      <c r="C603">
        <v>80</v>
      </c>
      <c r="D603">
        <v>55.274658203000001</v>
      </c>
      <c r="E603">
        <v>50</v>
      </c>
      <c r="F603">
        <v>49.914337158000002</v>
      </c>
      <c r="G603">
        <v>1329.0305175999999</v>
      </c>
      <c r="H603">
        <v>1328.3925781</v>
      </c>
      <c r="I603">
        <v>1332.8664550999999</v>
      </c>
      <c r="J603">
        <v>1331.9256591999999</v>
      </c>
      <c r="K603">
        <v>0</v>
      </c>
      <c r="L603">
        <v>550</v>
      </c>
      <c r="M603">
        <v>550</v>
      </c>
      <c r="N603">
        <v>0</v>
      </c>
    </row>
    <row r="604" spans="1:14" x14ac:dyDescent="0.25">
      <c r="A604">
        <v>325.23401699999999</v>
      </c>
      <c r="B604" s="1">
        <f>DATE(2011,3,22) + TIME(5,36,59)</f>
        <v>40624.234016203707</v>
      </c>
      <c r="C604">
        <v>80</v>
      </c>
      <c r="D604">
        <v>54.766761780000003</v>
      </c>
      <c r="E604">
        <v>50</v>
      </c>
      <c r="F604">
        <v>49.914527892999999</v>
      </c>
      <c r="G604">
        <v>1329.020874</v>
      </c>
      <c r="H604">
        <v>1328.3786620999999</v>
      </c>
      <c r="I604">
        <v>1332.8651123</v>
      </c>
      <c r="J604">
        <v>1331.9262695</v>
      </c>
      <c r="K604">
        <v>0</v>
      </c>
      <c r="L604">
        <v>550</v>
      </c>
      <c r="M604">
        <v>550</v>
      </c>
      <c r="N604">
        <v>0</v>
      </c>
    </row>
    <row r="605" spans="1:14" x14ac:dyDescent="0.25">
      <c r="A605">
        <v>329.02075000000002</v>
      </c>
      <c r="B605" s="1">
        <f>DATE(2011,3,26) + TIME(0,29,52)</f>
        <v>40628.020740740743</v>
      </c>
      <c r="C605">
        <v>80</v>
      </c>
      <c r="D605">
        <v>54.262561798</v>
      </c>
      <c r="E605">
        <v>50</v>
      </c>
      <c r="F605">
        <v>49.914718628000003</v>
      </c>
      <c r="G605">
        <v>1329.0115966999999</v>
      </c>
      <c r="H605">
        <v>1328.3653564000001</v>
      </c>
      <c r="I605">
        <v>1332.8637695</v>
      </c>
      <c r="J605">
        <v>1331.9270019999999</v>
      </c>
      <c r="K605">
        <v>0</v>
      </c>
      <c r="L605">
        <v>550</v>
      </c>
      <c r="M605">
        <v>550</v>
      </c>
      <c r="N605">
        <v>0</v>
      </c>
    </row>
    <row r="606" spans="1:14" x14ac:dyDescent="0.25">
      <c r="A606">
        <v>332.87387999999999</v>
      </c>
      <c r="B606" s="1">
        <f>DATE(2011,3,29) + TIME(20,58,23)</f>
        <v>40631.873877314814</v>
      </c>
      <c r="C606">
        <v>80</v>
      </c>
      <c r="D606">
        <v>53.765140533</v>
      </c>
      <c r="E606">
        <v>50</v>
      </c>
      <c r="F606">
        <v>49.914916992000002</v>
      </c>
      <c r="G606">
        <v>1329.0029297000001</v>
      </c>
      <c r="H606">
        <v>1328.3527832</v>
      </c>
      <c r="I606">
        <v>1332.8624268000001</v>
      </c>
      <c r="J606">
        <v>1331.9277344</v>
      </c>
      <c r="K606">
        <v>0</v>
      </c>
      <c r="L606">
        <v>550</v>
      </c>
      <c r="M606">
        <v>550</v>
      </c>
      <c r="N606">
        <v>0</v>
      </c>
    </row>
    <row r="607" spans="1:14" x14ac:dyDescent="0.25">
      <c r="A607">
        <v>335</v>
      </c>
      <c r="B607" s="1">
        <f>DATE(2011,4,1) + TIME(0,0,0)</f>
        <v>40634</v>
      </c>
      <c r="C607">
        <v>80</v>
      </c>
      <c r="D607">
        <v>53.390571594000001</v>
      </c>
      <c r="E607">
        <v>50</v>
      </c>
      <c r="F607">
        <v>49.914981842000003</v>
      </c>
      <c r="G607">
        <v>1328.9945068</v>
      </c>
      <c r="H607">
        <v>1328.3414307</v>
      </c>
      <c r="I607">
        <v>1332.8610839999999</v>
      </c>
      <c r="J607">
        <v>1331.9283447</v>
      </c>
      <c r="K607">
        <v>0</v>
      </c>
      <c r="L607">
        <v>550</v>
      </c>
      <c r="M607">
        <v>550</v>
      </c>
      <c r="N607">
        <v>0</v>
      </c>
    </row>
    <row r="608" spans="1:14" x14ac:dyDescent="0.25">
      <c r="A608">
        <v>338.96018600000002</v>
      </c>
      <c r="B608" s="1">
        <f>DATE(2011,4,4) + TIME(23,2,40)</f>
        <v>40637.960185185184</v>
      </c>
      <c r="C608">
        <v>80</v>
      </c>
      <c r="D608">
        <v>52.972946167000003</v>
      </c>
      <c r="E608">
        <v>50</v>
      </c>
      <c r="F608">
        <v>49.915222168</v>
      </c>
      <c r="G608">
        <v>1328.9899902</v>
      </c>
      <c r="H608">
        <v>1328.3331298999999</v>
      </c>
      <c r="I608">
        <v>1332.8603516000001</v>
      </c>
      <c r="J608">
        <v>1331.9287108999999</v>
      </c>
      <c r="K608">
        <v>0</v>
      </c>
      <c r="L608">
        <v>550</v>
      </c>
      <c r="M608">
        <v>550</v>
      </c>
      <c r="N608">
        <v>0</v>
      </c>
    </row>
    <row r="609" spans="1:14" x14ac:dyDescent="0.25">
      <c r="A609">
        <v>343.01737300000002</v>
      </c>
      <c r="B609" s="1">
        <f>DATE(2011,4,9) + TIME(0,25,1)</f>
        <v>40642.017372685186</v>
      </c>
      <c r="C609">
        <v>80</v>
      </c>
      <c r="D609">
        <v>52.519927979000002</v>
      </c>
      <c r="E609">
        <v>50</v>
      </c>
      <c r="F609">
        <v>49.915451050000001</v>
      </c>
      <c r="G609">
        <v>1328.9833983999999</v>
      </c>
      <c r="H609">
        <v>1328.3239745999999</v>
      </c>
      <c r="I609">
        <v>1332.8590088000001</v>
      </c>
      <c r="J609">
        <v>1331.9294434000001</v>
      </c>
      <c r="K609">
        <v>0</v>
      </c>
      <c r="L609">
        <v>550</v>
      </c>
      <c r="M609">
        <v>550</v>
      </c>
      <c r="N609">
        <v>0</v>
      </c>
    </row>
    <row r="610" spans="1:14" x14ac:dyDescent="0.25">
      <c r="A610">
        <v>347.155507</v>
      </c>
      <c r="B610" s="1">
        <f>DATE(2011,4,13) + TIME(3,43,55)</f>
        <v>40646.155497685184</v>
      </c>
      <c r="C610">
        <v>80</v>
      </c>
      <c r="D610">
        <v>52.060138702000003</v>
      </c>
      <c r="E610">
        <v>50</v>
      </c>
      <c r="F610">
        <v>49.915676116999997</v>
      </c>
      <c r="G610">
        <v>1328.9770507999999</v>
      </c>
      <c r="H610">
        <v>1328.3146973</v>
      </c>
      <c r="I610">
        <v>1332.8577881000001</v>
      </c>
      <c r="J610">
        <v>1331.9300536999999</v>
      </c>
      <c r="K610">
        <v>0</v>
      </c>
      <c r="L610">
        <v>550</v>
      </c>
      <c r="M610">
        <v>550</v>
      </c>
      <c r="N610">
        <v>0</v>
      </c>
    </row>
    <row r="611" spans="1:14" x14ac:dyDescent="0.25">
      <c r="A611">
        <v>351.38572799999997</v>
      </c>
      <c r="B611" s="1">
        <f>DATE(2011,4,17) + TIME(9,15,26)</f>
        <v>40650.385717592595</v>
      </c>
      <c r="C611">
        <v>80</v>
      </c>
      <c r="D611">
        <v>51.604942321999999</v>
      </c>
      <c r="E611">
        <v>50</v>
      </c>
      <c r="F611">
        <v>49.915904998999999</v>
      </c>
      <c r="G611">
        <v>1328.9710693</v>
      </c>
      <c r="H611">
        <v>1328.3060303</v>
      </c>
      <c r="I611">
        <v>1332.8564452999999</v>
      </c>
      <c r="J611">
        <v>1331.9307861</v>
      </c>
      <c r="K611">
        <v>0</v>
      </c>
      <c r="L611">
        <v>550</v>
      </c>
      <c r="M611">
        <v>550</v>
      </c>
      <c r="N611">
        <v>0</v>
      </c>
    </row>
    <row r="612" spans="1:14" x14ac:dyDescent="0.25">
      <c r="A612">
        <v>355.72186199999999</v>
      </c>
      <c r="B612" s="1">
        <f>DATE(2011,4,21) + TIME(17,19,28)</f>
        <v>40654.721851851849</v>
      </c>
      <c r="C612">
        <v>80</v>
      </c>
      <c r="D612">
        <v>51.158527374000002</v>
      </c>
      <c r="E612">
        <v>50</v>
      </c>
      <c r="F612">
        <v>49.916145325000002</v>
      </c>
      <c r="G612">
        <v>1328.9656981999999</v>
      </c>
      <c r="H612">
        <v>1328.2979736</v>
      </c>
      <c r="I612">
        <v>1332.8552245999999</v>
      </c>
      <c r="J612">
        <v>1331.9313964999999</v>
      </c>
      <c r="K612">
        <v>0</v>
      </c>
      <c r="L612">
        <v>550</v>
      </c>
      <c r="M612">
        <v>550</v>
      </c>
      <c r="N612">
        <v>0</v>
      </c>
    </row>
    <row r="613" spans="1:14" x14ac:dyDescent="0.25">
      <c r="A613">
        <v>360.09866699999998</v>
      </c>
      <c r="B613" s="1">
        <f>DATE(2011,4,26) + TIME(2,22,4)</f>
        <v>40659.098657407405</v>
      </c>
      <c r="C613">
        <v>80</v>
      </c>
      <c r="D613">
        <v>50.725299835000001</v>
      </c>
      <c r="E613">
        <v>50</v>
      </c>
      <c r="F613">
        <v>49.916385650999999</v>
      </c>
      <c r="G613">
        <v>1328.9608154</v>
      </c>
      <c r="H613">
        <v>1328.2906493999999</v>
      </c>
      <c r="I613">
        <v>1332.8538818</v>
      </c>
      <c r="J613">
        <v>1331.9320068</v>
      </c>
      <c r="K613">
        <v>0</v>
      </c>
      <c r="L613">
        <v>550</v>
      </c>
      <c r="M613">
        <v>550</v>
      </c>
      <c r="N613">
        <v>0</v>
      </c>
    </row>
    <row r="614" spans="1:14" x14ac:dyDescent="0.25">
      <c r="A614">
        <v>364.564122</v>
      </c>
      <c r="B614" s="1">
        <f>DATE(2011,4,30) + TIME(13,32,20)</f>
        <v>40663.564120370371</v>
      </c>
      <c r="C614">
        <v>80</v>
      </c>
      <c r="D614">
        <v>50.307708740000002</v>
      </c>
      <c r="E614">
        <v>50</v>
      </c>
      <c r="F614">
        <v>49.916633605999998</v>
      </c>
      <c r="G614">
        <v>1328.956543</v>
      </c>
      <c r="H614">
        <v>1328.2841797000001</v>
      </c>
      <c r="I614">
        <v>1332.8526611</v>
      </c>
      <c r="J614">
        <v>1331.9326172000001</v>
      </c>
      <c r="K614">
        <v>0</v>
      </c>
      <c r="L614">
        <v>550</v>
      </c>
      <c r="M614">
        <v>550</v>
      </c>
      <c r="N614">
        <v>0</v>
      </c>
    </row>
    <row r="615" spans="1:14" x14ac:dyDescent="0.25">
      <c r="A615">
        <v>365</v>
      </c>
      <c r="B615" s="1">
        <f>DATE(2011,5,1) + TIME(0,0,0)</f>
        <v>40664</v>
      </c>
      <c r="C615">
        <v>80</v>
      </c>
      <c r="D615">
        <v>50.211723327999998</v>
      </c>
      <c r="E615">
        <v>50</v>
      </c>
      <c r="F615">
        <v>49.916625977000002</v>
      </c>
      <c r="G615">
        <v>1328.9515381000001</v>
      </c>
      <c r="H615">
        <v>1328.2788086</v>
      </c>
      <c r="I615">
        <v>1332.8514404</v>
      </c>
      <c r="J615">
        <v>1331.9332274999999</v>
      </c>
      <c r="K615">
        <v>0</v>
      </c>
      <c r="L615">
        <v>550</v>
      </c>
      <c r="M615">
        <v>550</v>
      </c>
      <c r="N615">
        <v>0</v>
      </c>
    </row>
    <row r="616" spans="1:14" x14ac:dyDescent="0.25">
      <c r="A616">
        <v>365.000001</v>
      </c>
      <c r="B616" s="1">
        <f>DATE(2011,5,1) + TIME(0,0,0)</f>
        <v>40664</v>
      </c>
      <c r="C616">
        <v>80</v>
      </c>
      <c r="D616">
        <v>50.211765288999999</v>
      </c>
      <c r="E616">
        <v>50</v>
      </c>
      <c r="F616">
        <v>49.916603088000002</v>
      </c>
      <c r="G616">
        <v>1329.8645019999999</v>
      </c>
      <c r="H616">
        <v>1329.1838379000001</v>
      </c>
      <c r="I616">
        <v>1331.7652588000001</v>
      </c>
      <c r="J616">
        <v>1331.6984863</v>
      </c>
      <c r="K616">
        <v>550</v>
      </c>
      <c r="L616">
        <v>0</v>
      </c>
      <c r="M616">
        <v>0</v>
      </c>
      <c r="N616">
        <v>550</v>
      </c>
    </row>
    <row r="617" spans="1:14" x14ac:dyDescent="0.25">
      <c r="A617">
        <v>365.00000399999999</v>
      </c>
      <c r="B617" s="1">
        <f>DATE(2011,5,1) + TIME(0,0,0)</f>
        <v>40664</v>
      </c>
      <c r="C617">
        <v>80</v>
      </c>
      <c r="D617">
        <v>50.211845398000001</v>
      </c>
      <c r="E617">
        <v>50</v>
      </c>
      <c r="F617">
        <v>49.916572571000003</v>
      </c>
      <c r="G617">
        <v>1330.1728516000001</v>
      </c>
      <c r="H617">
        <v>1329.5319824000001</v>
      </c>
      <c r="I617">
        <v>1331.503418</v>
      </c>
      <c r="J617">
        <v>1331.4392089999999</v>
      </c>
      <c r="K617">
        <v>550</v>
      </c>
      <c r="L617">
        <v>0</v>
      </c>
      <c r="M617">
        <v>0</v>
      </c>
      <c r="N617">
        <v>550</v>
      </c>
    </row>
    <row r="618" spans="1:14" x14ac:dyDescent="0.25">
      <c r="A618">
        <v>365.00001300000002</v>
      </c>
      <c r="B618" s="1">
        <f>DATE(2011,5,1) + TIME(0,0,1)</f>
        <v>40664.000011574077</v>
      </c>
      <c r="C618">
        <v>80</v>
      </c>
      <c r="D618">
        <v>50.212001801</v>
      </c>
      <c r="E618">
        <v>50</v>
      </c>
      <c r="F618">
        <v>49.916534423999998</v>
      </c>
      <c r="G618">
        <v>1330.5716553</v>
      </c>
      <c r="H618">
        <v>1329.9281006000001</v>
      </c>
      <c r="I618">
        <v>1331.2009277</v>
      </c>
      <c r="J618">
        <v>1331.1275635</v>
      </c>
      <c r="K618">
        <v>550</v>
      </c>
      <c r="L618">
        <v>0</v>
      </c>
      <c r="M618">
        <v>0</v>
      </c>
      <c r="N618">
        <v>550</v>
      </c>
    </row>
    <row r="619" spans="1:14" x14ac:dyDescent="0.25">
      <c r="A619">
        <v>365.00004000000001</v>
      </c>
      <c r="B619" s="1">
        <f>DATE(2011,5,1) + TIME(0,0,3)</f>
        <v>40664.000034722223</v>
      </c>
      <c r="C619">
        <v>80</v>
      </c>
      <c r="D619">
        <v>50.212387085000003</v>
      </c>
      <c r="E619">
        <v>50</v>
      </c>
      <c r="F619">
        <v>49.916492462000001</v>
      </c>
      <c r="G619">
        <v>1330.987793</v>
      </c>
      <c r="H619">
        <v>1330.3259277</v>
      </c>
      <c r="I619">
        <v>1330.8939209</v>
      </c>
      <c r="J619">
        <v>1330.8061522999999</v>
      </c>
      <c r="K619">
        <v>550</v>
      </c>
      <c r="L619">
        <v>0</v>
      </c>
      <c r="M619">
        <v>0</v>
      </c>
      <c r="N619">
        <v>550</v>
      </c>
    </row>
    <row r="620" spans="1:14" x14ac:dyDescent="0.25">
      <c r="A620">
        <v>365.00012099999998</v>
      </c>
      <c r="B620" s="1">
        <f>DATE(2011,5,1) + TIME(0,0,10)</f>
        <v>40664.000115740739</v>
      </c>
      <c r="C620">
        <v>80</v>
      </c>
      <c r="D620">
        <v>50.213462829999997</v>
      </c>
      <c r="E620">
        <v>50</v>
      </c>
      <c r="F620">
        <v>49.916450500000003</v>
      </c>
      <c r="G620">
        <v>1331.385376</v>
      </c>
      <c r="H620">
        <v>1330.7042236</v>
      </c>
      <c r="I620">
        <v>1330.5880127</v>
      </c>
      <c r="J620">
        <v>1330.4816894999999</v>
      </c>
      <c r="K620">
        <v>550</v>
      </c>
      <c r="L620">
        <v>0</v>
      </c>
      <c r="M620">
        <v>0</v>
      </c>
      <c r="N620">
        <v>550</v>
      </c>
    </row>
    <row r="621" spans="1:14" x14ac:dyDescent="0.25">
      <c r="A621">
        <v>365.00036399999999</v>
      </c>
      <c r="B621" s="1">
        <f>DATE(2011,5,1) + TIME(0,0,31)</f>
        <v>40664.000358796293</v>
      </c>
      <c r="C621">
        <v>80</v>
      </c>
      <c r="D621">
        <v>50.216674804999997</v>
      </c>
      <c r="E621">
        <v>50</v>
      </c>
      <c r="F621">
        <v>49.916400908999996</v>
      </c>
      <c r="G621">
        <v>1331.7216797000001</v>
      </c>
      <c r="H621">
        <v>1331.0198975000001</v>
      </c>
      <c r="I621">
        <v>1330.3117675999999</v>
      </c>
      <c r="J621">
        <v>1330.1856689000001</v>
      </c>
      <c r="K621">
        <v>550</v>
      </c>
      <c r="L621">
        <v>0</v>
      </c>
      <c r="M621">
        <v>0</v>
      </c>
      <c r="N621">
        <v>550</v>
      </c>
    </row>
    <row r="622" spans="1:14" x14ac:dyDescent="0.25">
      <c r="A622">
        <v>365.00109300000003</v>
      </c>
      <c r="B622" s="1">
        <f>DATE(2011,5,1) + TIME(0,1,34)</f>
        <v>40664.001087962963</v>
      </c>
      <c r="C622">
        <v>80</v>
      </c>
      <c r="D622">
        <v>50.226428986000002</v>
      </c>
      <c r="E622">
        <v>50</v>
      </c>
      <c r="F622">
        <v>49.916324615000001</v>
      </c>
      <c r="G622">
        <v>1331.9438477000001</v>
      </c>
      <c r="H622">
        <v>1331.2269286999999</v>
      </c>
      <c r="I622">
        <v>1330.1114502</v>
      </c>
      <c r="J622">
        <v>1329.9731445</v>
      </c>
      <c r="K622">
        <v>550</v>
      </c>
      <c r="L622">
        <v>0</v>
      </c>
      <c r="M622">
        <v>0</v>
      </c>
      <c r="N622">
        <v>550</v>
      </c>
    </row>
    <row r="623" spans="1:14" x14ac:dyDescent="0.25">
      <c r="A623">
        <v>365.00328000000002</v>
      </c>
      <c r="B623" s="1">
        <f>DATE(2011,5,1) + TIME(0,4,43)</f>
        <v>40664.003275462965</v>
      </c>
      <c r="C623">
        <v>80</v>
      </c>
      <c r="D623">
        <v>50.255851745999998</v>
      </c>
      <c r="E623">
        <v>50</v>
      </c>
      <c r="F623">
        <v>49.916164397999999</v>
      </c>
      <c r="G623">
        <v>1332.0546875</v>
      </c>
      <c r="H623">
        <v>1331.3317870999999</v>
      </c>
      <c r="I623">
        <v>1330.0030518000001</v>
      </c>
      <c r="J623">
        <v>1329.8601074000001</v>
      </c>
      <c r="K623">
        <v>550</v>
      </c>
      <c r="L623">
        <v>0</v>
      </c>
      <c r="M623">
        <v>0</v>
      </c>
      <c r="N623">
        <v>550</v>
      </c>
    </row>
    <row r="624" spans="1:14" x14ac:dyDescent="0.25">
      <c r="A624">
        <v>365.00984099999999</v>
      </c>
      <c r="B624" s="1">
        <f>DATE(2011,5,1) + TIME(0,14,10)</f>
        <v>40664.009837962964</v>
      </c>
      <c r="C624">
        <v>80</v>
      </c>
      <c r="D624">
        <v>50.344055175999998</v>
      </c>
      <c r="E624">
        <v>50</v>
      </c>
      <c r="F624">
        <v>49.915718079000001</v>
      </c>
      <c r="G624">
        <v>1332.0968018000001</v>
      </c>
      <c r="H624">
        <v>1331.3731689000001</v>
      </c>
      <c r="I624">
        <v>1329.9655762</v>
      </c>
      <c r="J624">
        <v>1329.8212891000001</v>
      </c>
      <c r="K624">
        <v>550</v>
      </c>
      <c r="L624">
        <v>0</v>
      </c>
      <c r="M624">
        <v>0</v>
      </c>
      <c r="N624">
        <v>550</v>
      </c>
    </row>
    <row r="625" spans="1:14" x14ac:dyDescent="0.25">
      <c r="A625">
        <v>365.02952399999998</v>
      </c>
      <c r="B625" s="1">
        <f>DATE(2011,5,1) + TIME(0,42,30)</f>
        <v>40664.029513888891</v>
      </c>
      <c r="C625">
        <v>80</v>
      </c>
      <c r="D625">
        <v>50.606754303000002</v>
      </c>
      <c r="E625">
        <v>50</v>
      </c>
      <c r="F625">
        <v>49.914390564000001</v>
      </c>
      <c r="G625">
        <v>1332.1064452999999</v>
      </c>
      <c r="H625">
        <v>1331.3845214999999</v>
      </c>
      <c r="I625">
        <v>1329.9605713000001</v>
      </c>
      <c r="J625">
        <v>1329.815918</v>
      </c>
      <c r="K625">
        <v>550</v>
      </c>
      <c r="L625">
        <v>0</v>
      </c>
      <c r="M625">
        <v>0</v>
      </c>
      <c r="N625">
        <v>550</v>
      </c>
    </row>
    <row r="626" spans="1:14" x14ac:dyDescent="0.25">
      <c r="A626">
        <v>365.088573</v>
      </c>
      <c r="B626" s="1">
        <f>DATE(2011,5,1) + TIME(2,7,32)</f>
        <v>40664.088564814818</v>
      </c>
      <c r="C626">
        <v>80</v>
      </c>
      <c r="D626">
        <v>51.377456664999997</v>
      </c>
      <c r="E626">
        <v>50</v>
      </c>
      <c r="F626">
        <v>49.910427093999999</v>
      </c>
      <c r="G626">
        <v>1332.1042480000001</v>
      </c>
      <c r="H626">
        <v>1331.3879394999999</v>
      </c>
      <c r="I626">
        <v>1329.9600829999999</v>
      </c>
      <c r="J626">
        <v>1329.8148193</v>
      </c>
      <c r="K626">
        <v>550</v>
      </c>
      <c r="L626">
        <v>0</v>
      </c>
      <c r="M626">
        <v>0</v>
      </c>
      <c r="N626">
        <v>550</v>
      </c>
    </row>
    <row r="627" spans="1:14" x14ac:dyDescent="0.25">
      <c r="A627">
        <v>365.15760999999998</v>
      </c>
      <c r="B627" s="1">
        <f>DATE(2011,5,1) + TIME(3,46,57)</f>
        <v>40664.157604166663</v>
      </c>
      <c r="C627">
        <v>80</v>
      </c>
      <c r="D627">
        <v>52.269954681000002</v>
      </c>
      <c r="E627">
        <v>50</v>
      </c>
      <c r="F627">
        <v>49.905788422000001</v>
      </c>
      <c r="G627">
        <v>1332.1280518000001</v>
      </c>
      <c r="H627">
        <v>1331.40625</v>
      </c>
      <c r="I627">
        <v>1329.9587402</v>
      </c>
      <c r="J627">
        <v>1329.8121338000001</v>
      </c>
      <c r="K627">
        <v>550</v>
      </c>
      <c r="L627">
        <v>0</v>
      </c>
      <c r="M627">
        <v>0</v>
      </c>
      <c r="N627">
        <v>550</v>
      </c>
    </row>
    <row r="628" spans="1:14" x14ac:dyDescent="0.25">
      <c r="A628">
        <v>365.22772600000002</v>
      </c>
      <c r="B628" s="1">
        <f>DATE(2011,5,1) + TIME(5,27,55)</f>
        <v>40664.227719907409</v>
      </c>
      <c r="C628">
        <v>80</v>
      </c>
      <c r="D628">
        <v>53.171051024999997</v>
      </c>
      <c r="E628">
        <v>50</v>
      </c>
      <c r="F628">
        <v>49.901069640999999</v>
      </c>
      <c r="G628">
        <v>1332.1606445</v>
      </c>
      <c r="H628">
        <v>1331.4295654</v>
      </c>
      <c r="I628">
        <v>1329.9572754000001</v>
      </c>
      <c r="J628">
        <v>1329.8092041</v>
      </c>
      <c r="K628">
        <v>550</v>
      </c>
      <c r="L628">
        <v>0</v>
      </c>
      <c r="M628">
        <v>0</v>
      </c>
      <c r="N628">
        <v>550</v>
      </c>
    </row>
    <row r="629" spans="1:14" x14ac:dyDescent="0.25">
      <c r="A629">
        <v>365.298877</v>
      </c>
      <c r="B629" s="1">
        <f>DATE(2011,5,1) + TIME(7,10,22)</f>
        <v>40664.29886574074</v>
      </c>
      <c r="C629">
        <v>80</v>
      </c>
      <c r="D629">
        <v>54.079475403000004</v>
      </c>
      <c r="E629">
        <v>50</v>
      </c>
      <c r="F629">
        <v>49.896274566999999</v>
      </c>
      <c r="G629">
        <v>1332.1954346</v>
      </c>
      <c r="H629">
        <v>1331.4543457</v>
      </c>
      <c r="I629">
        <v>1329.9558105000001</v>
      </c>
      <c r="J629">
        <v>1329.8061522999999</v>
      </c>
      <c r="K629">
        <v>550</v>
      </c>
      <c r="L629">
        <v>0</v>
      </c>
      <c r="M629">
        <v>0</v>
      </c>
      <c r="N629">
        <v>550</v>
      </c>
    </row>
    <row r="630" spans="1:14" x14ac:dyDescent="0.25">
      <c r="A630">
        <v>365.37107900000001</v>
      </c>
      <c r="B630" s="1">
        <f>DATE(2011,5,1) + TIME(8,54,21)</f>
        <v>40664.371076388888</v>
      </c>
      <c r="C630">
        <v>80</v>
      </c>
      <c r="D630">
        <v>54.994556426999999</v>
      </c>
      <c r="E630">
        <v>50</v>
      </c>
      <c r="F630">
        <v>49.891403197999999</v>
      </c>
      <c r="G630">
        <v>1332.2322998</v>
      </c>
      <c r="H630">
        <v>1331.4805908000001</v>
      </c>
      <c r="I630">
        <v>1329.9544678</v>
      </c>
      <c r="J630">
        <v>1329.8032227000001</v>
      </c>
      <c r="K630">
        <v>550</v>
      </c>
      <c r="L630">
        <v>0</v>
      </c>
      <c r="M630">
        <v>0</v>
      </c>
      <c r="N630">
        <v>550</v>
      </c>
    </row>
    <row r="631" spans="1:14" x14ac:dyDescent="0.25">
      <c r="A631">
        <v>365.44435900000002</v>
      </c>
      <c r="B631" s="1">
        <f>DATE(2011,5,1) + TIME(10,39,52)</f>
        <v>40664.444351851853</v>
      </c>
      <c r="C631">
        <v>80</v>
      </c>
      <c r="D631">
        <v>55.915546417000002</v>
      </c>
      <c r="E631">
        <v>50</v>
      </c>
      <c r="F631">
        <v>49.886451721</v>
      </c>
      <c r="G631">
        <v>1332.2711182</v>
      </c>
      <c r="H631">
        <v>1331.5080565999999</v>
      </c>
      <c r="I631">
        <v>1329.953125</v>
      </c>
      <c r="J631">
        <v>1329.800293</v>
      </c>
      <c r="K631">
        <v>550</v>
      </c>
      <c r="L631">
        <v>0</v>
      </c>
      <c r="M631">
        <v>0</v>
      </c>
      <c r="N631">
        <v>550</v>
      </c>
    </row>
    <row r="632" spans="1:14" x14ac:dyDescent="0.25">
      <c r="A632">
        <v>365.51874800000002</v>
      </c>
      <c r="B632" s="1">
        <f>DATE(2011,5,1) + TIME(12,26,59)</f>
        <v>40664.518738425926</v>
      </c>
      <c r="C632">
        <v>80</v>
      </c>
      <c r="D632">
        <v>56.841514586999999</v>
      </c>
      <c r="E632">
        <v>50</v>
      </c>
      <c r="F632">
        <v>49.881420134999999</v>
      </c>
      <c r="G632">
        <v>1332.3117675999999</v>
      </c>
      <c r="H632">
        <v>1331.5368652</v>
      </c>
      <c r="I632">
        <v>1329.9517822</v>
      </c>
      <c r="J632">
        <v>1329.7973632999999</v>
      </c>
      <c r="K632">
        <v>550</v>
      </c>
      <c r="L632">
        <v>0</v>
      </c>
      <c r="M632">
        <v>0</v>
      </c>
      <c r="N632">
        <v>550</v>
      </c>
    </row>
    <row r="633" spans="1:14" x14ac:dyDescent="0.25">
      <c r="A633">
        <v>365.594266</v>
      </c>
      <c r="B633" s="1">
        <f>DATE(2011,5,1) + TIME(14,15,44)</f>
        <v>40664.594259259262</v>
      </c>
      <c r="C633">
        <v>80</v>
      </c>
      <c r="D633">
        <v>57.771202086999999</v>
      </c>
      <c r="E633">
        <v>50</v>
      </c>
      <c r="F633">
        <v>49.876304626</v>
      </c>
      <c r="G633">
        <v>1332.3542480000001</v>
      </c>
      <c r="H633">
        <v>1331.5667725000001</v>
      </c>
      <c r="I633">
        <v>1329.9504394999999</v>
      </c>
      <c r="J633">
        <v>1329.7944336</v>
      </c>
      <c r="K633">
        <v>550</v>
      </c>
      <c r="L633">
        <v>0</v>
      </c>
      <c r="M633">
        <v>0</v>
      </c>
      <c r="N633">
        <v>550</v>
      </c>
    </row>
    <row r="634" spans="1:14" x14ac:dyDescent="0.25">
      <c r="A634">
        <v>365.67095599999999</v>
      </c>
      <c r="B634" s="1">
        <f>DATE(2011,5,1) + TIME(16,6,10)</f>
        <v>40664.670949074076</v>
      </c>
      <c r="C634">
        <v>80</v>
      </c>
      <c r="D634">
        <v>58.703418732000003</v>
      </c>
      <c r="E634">
        <v>50</v>
      </c>
      <c r="F634">
        <v>49.871101379000002</v>
      </c>
      <c r="G634">
        <v>1332.3983154</v>
      </c>
      <c r="H634">
        <v>1331.5979004000001</v>
      </c>
      <c r="I634">
        <v>1329.9492187999999</v>
      </c>
      <c r="J634">
        <v>1329.7915039</v>
      </c>
      <c r="K634">
        <v>550</v>
      </c>
      <c r="L634">
        <v>0</v>
      </c>
      <c r="M634">
        <v>0</v>
      </c>
      <c r="N634">
        <v>550</v>
      </c>
    </row>
    <row r="635" spans="1:14" x14ac:dyDescent="0.25">
      <c r="A635">
        <v>365.74886800000002</v>
      </c>
      <c r="B635" s="1">
        <f>DATE(2011,5,1) + TIME(17,58,22)</f>
        <v>40664.748865740738</v>
      </c>
      <c r="C635">
        <v>80</v>
      </c>
      <c r="D635">
        <v>59.636837006</v>
      </c>
      <c r="E635">
        <v>50</v>
      </c>
      <c r="F635">
        <v>49.865806579999997</v>
      </c>
      <c r="G635">
        <v>1332.4438477000001</v>
      </c>
      <c r="H635">
        <v>1331.6301269999999</v>
      </c>
      <c r="I635">
        <v>1329.9479980000001</v>
      </c>
      <c r="J635">
        <v>1329.7885742000001</v>
      </c>
      <c r="K635">
        <v>550</v>
      </c>
      <c r="L635">
        <v>0</v>
      </c>
      <c r="M635">
        <v>0</v>
      </c>
      <c r="N635">
        <v>550</v>
      </c>
    </row>
    <row r="636" spans="1:14" x14ac:dyDescent="0.25">
      <c r="A636">
        <v>365.82805400000001</v>
      </c>
      <c r="B636" s="1">
        <f>DATE(2011,5,1) + TIME(19,52,23)</f>
        <v>40664.828043981484</v>
      </c>
      <c r="C636">
        <v>80</v>
      </c>
      <c r="D636">
        <v>60.569496155000003</v>
      </c>
      <c r="E636">
        <v>50</v>
      </c>
      <c r="F636">
        <v>49.860420226999999</v>
      </c>
      <c r="G636">
        <v>1332.4909668</v>
      </c>
      <c r="H636">
        <v>1331.6632079999999</v>
      </c>
      <c r="I636">
        <v>1329.9467772999999</v>
      </c>
      <c r="J636">
        <v>1329.7856445</v>
      </c>
      <c r="K636">
        <v>550</v>
      </c>
      <c r="L636">
        <v>0</v>
      </c>
      <c r="M636">
        <v>0</v>
      </c>
      <c r="N636">
        <v>550</v>
      </c>
    </row>
    <row r="637" spans="1:14" x14ac:dyDescent="0.25">
      <c r="A637">
        <v>365.90857099999999</v>
      </c>
      <c r="B637" s="1">
        <f>DATE(2011,5,1) + TIME(21,48,20)</f>
        <v>40664.908564814818</v>
      </c>
      <c r="C637">
        <v>80</v>
      </c>
      <c r="D637">
        <v>61.499862671000002</v>
      </c>
      <c r="E637">
        <v>50</v>
      </c>
      <c r="F637">
        <v>49.854938507</v>
      </c>
      <c r="G637">
        <v>1332.5393065999999</v>
      </c>
      <c r="H637">
        <v>1331.6973877</v>
      </c>
      <c r="I637">
        <v>1329.9455565999999</v>
      </c>
      <c r="J637">
        <v>1329.7827147999999</v>
      </c>
      <c r="K637">
        <v>550</v>
      </c>
      <c r="L637">
        <v>0</v>
      </c>
      <c r="M637">
        <v>0</v>
      </c>
      <c r="N637">
        <v>550</v>
      </c>
    </row>
    <row r="638" spans="1:14" x14ac:dyDescent="0.25">
      <c r="A638">
        <v>365.99048800000003</v>
      </c>
      <c r="B638" s="1">
        <f>DATE(2011,5,1) + TIME(23,46,18)</f>
        <v>40664.990486111114</v>
      </c>
      <c r="C638">
        <v>80</v>
      </c>
      <c r="D638">
        <v>62.426399230999998</v>
      </c>
      <c r="E638">
        <v>50</v>
      </c>
      <c r="F638">
        <v>49.849353790000002</v>
      </c>
      <c r="G638">
        <v>1332.5888672000001</v>
      </c>
      <c r="H638">
        <v>1331.7322998</v>
      </c>
      <c r="I638">
        <v>1329.9443358999999</v>
      </c>
      <c r="J638">
        <v>1329.7797852000001</v>
      </c>
      <c r="K638">
        <v>550</v>
      </c>
      <c r="L638">
        <v>0</v>
      </c>
      <c r="M638">
        <v>0</v>
      </c>
      <c r="N638">
        <v>550</v>
      </c>
    </row>
    <row r="639" spans="1:14" x14ac:dyDescent="0.25">
      <c r="A639">
        <v>366.07387899999998</v>
      </c>
      <c r="B639" s="1">
        <f>DATE(2011,5,2) + TIME(1,46,23)</f>
        <v>40665.073877314811</v>
      </c>
      <c r="C639">
        <v>80</v>
      </c>
      <c r="D639">
        <v>63.347213744999998</v>
      </c>
      <c r="E639">
        <v>50</v>
      </c>
      <c r="F639">
        <v>49.843662262000002</v>
      </c>
      <c r="G639">
        <v>1332.6395264</v>
      </c>
      <c r="H639">
        <v>1331.7680664</v>
      </c>
      <c r="I639">
        <v>1329.9432373</v>
      </c>
      <c r="J639">
        <v>1329.7769774999999</v>
      </c>
      <c r="K639">
        <v>550</v>
      </c>
      <c r="L639">
        <v>0</v>
      </c>
      <c r="M639">
        <v>0</v>
      </c>
      <c r="N639">
        <v>550</v>
      </c>
    </row>
    <row r="640" spans="1:14" x14ac:dyDescent="0.25">
      <c r="A640">
        <v>366.15882800000003</v>
      </c>
      <c r="B640" s="1">
        <f>DATE(2011,5,2) + TIME(3,48,42)</f>
        <v>40665.158819444441</v>
      </c>
      <c r="C640">
        <v>80</v>
      </c>
      <c r="D640">
        <v>64.260314941000004</v>
      </c>
      <c r="E640">
        <v>50</v>
      </c>
      <c r="F640">
        <v>49.837856293000002</v>
      </c>
      <c r="G640">
        <v>1332.6911620999999</v>
      </c>
      <c r="H640">
        <v>1331.8044434000001</v>
      </c>
      <c r="I640">
        <v>1329.9420166</v>
      </c>
      <c r="J640">
        <v>1329.7740478999999</v>
      </c>
      <c r="K640">
        <v>550</v>
      </c>
      <c r="L640">
        <v>0</v>
      </c>
      <c r="M640">
        <v>0</v>
      </c>
      <c r="N640">
        <v>550</v>
      </c>
    </row>
    <row r="641" spans="1:14" x14ac:dyDescent="0.25">
      <c r="A641">
        <v>366.245431</v>
      </c>
      <c r="B641" s="1">
        <f>DATE(2011,5,2) + TIME(5,53,25)</f>
        <v>40665.245428240742</v>
      </c>
      <c r="C641">
        <v>80</v>
      </c>
      <c r="D641">
        <v>65.163688660000005</v>
      </c>
      <c r="E641">
        <v>50</v>
      </c>
      <c r="F641">
        <v>49.831935883</v>
      </c>
      <c r="G641">
        <v>1332.7436522999999</v>
      </c>
      <c r="H641">
        <v>1331.8415527</v>
      </c>
      <c r="I641">
        <v>1329.940918</v>
      </c>
      <c r="J641">
        <v>1329.7711182</v>
      </c>
      <c r="K641">
        <v>550</v>
      </c>
      <c r="L641">
        <v>0</v>
      </c>
      <c r="M641">
        <v>0</v>
      </c>
      <c r="N641">
        <v>550</v>
      </c>
    </row>
    <row r="642" spans="1:14" x14ac:dyDescent="0.25">
      <c r="A642">
        <v>366.33379400000001</v>
      </c>
      <c r="B642" s="1">
        <f>DATE(2011,5,2) + TIME(8,0,39)</f>
        <v>40665.333784722221</v>
      </c>
      <c r="C642">
        <v>80</v>
      </c>
      <c r="D642">
        <v>66.055343628000003</v>
      </c>
      <c r="E642">
        <v>50</v>
      </c>
      <c r="F642">
        <v>49.825885773000003</v>
      </c>
      <c r="G642">
        <v>1332.796875</v>
      </c>
      <c r="H642">
        <v>1331.8791504000001</v>
      </c>
      <c r="I642">
        <v>1329.9398193</v>
      </c>
      <c r="J642">
        <v>1329.7681885</v>
      </c>
      <c r="K642">
        <v>550</v>
      </c>
      <c r="L642">
        <v>0</v>
      </c>
      <c r="M642">
        <v>0</v>
      </c>
      <c r="N642">
        <v>550</v>
      </c>
    </row>
    <row r="643" spans="1:14" x14ac:dyDescent="0.25">
      <c r="A643">
        <v>366.42405600000001</v>
      </c>
      <c r="B643" s="1">
        <f>DATE(2011,5,2) + TIME(10,10,38)</f>
        <v>40665.424050925925</v>
      </c>
      <c r="C643">
        <v>80</v>
      </c>
      <c r="D643">
        <v>66.933135985999996</v>
      </c>
      <c r="E643">
        <v>50</v>
      </c>
      <c r="F643">
        <v>49.819702147999998</v>
      </c>
      <c r="G643">
        <v>1332.8508300999999</v>
      </c>
      <c r="H643">
        <v>1331.9172363</v>
      </c>
      <c r="I643">
        <v>1329.9385986</v>
      </c>
      <c r="J643">
        <v>1329.7652588000001</v>
      </c>
      <c r="K643">
        <v>550</v>
      </c>
      <c r="L643">
        <v>0</v>
      </c>
      <c r="M643">
        <v>0</v>
      </c>
      <c r="N643">
        <v>550</v>
      </c>
    </row>
    <row r="644" spans="1:14" x14ac:dyDescent="0.25">
      <c r="A644">
        <v>366.51635299999998</v>
      </c>
      <c r="B644" s="1">
        <f>DATE(2011,5,2) + TIME(12,23,32)</f>
        <v>40665.516342592593</v>
      </c>
      <c r="C644">
        <v>80</v>
      </c>
      <c r="D644">
        <v>67.794868468999994</v>
      </c>
      <c r="E644">
        <v>50</v>
      </c>
      <c r="F644">
        <v>49.813369751000003</v>
      </c>
      <c r="G644">
        <v>1332.9052733999999</v>
      </c>
      <c r="H644">
        <v>1331.9556885</v>
      </c>
      <c r="I644">
        <v>1329.9375</v>
      </c>
      <c r="J644">
        <v>1329.7623291</v>
      </c>
      <c r="K644">
        <v>550</v>
      </c>
      <c r="L644">
        <v>0</v>
      </c>
      <c r="M644">
        <v>0</v>
      </c>
      <c r="N644">
        <v>550</v>
      </c>
    </row>
    <row r="645" spans="1:14" x14ac:dyDescent="0.25">
      <c r="A645">
        <v>366.61081100000001</v>
      </c>
      <c r="B645" s="1">
        <f>DATE(2011,5,2) + TIME(14,39,34)</f>
        <v>40665.610810185186</v>
      </c>
      <c r="C645">
        <v>80</v>
      </c>
      <c r="D645">
        <v>68.638137817</v>
      </c>
      <c r="E645">
        <v>50</v>
      </c>
      <c r="F645">
        <v>49.806888579999999</v>
      </c>
      <c r="G645">
        <v>1332.9600829999999</v>
      </c>
      <c r="H645">
        <v>1331.9945068</v>
      </c>
      <c r="I645">
        <v>1329.9364014</v>
      </c>
      <c r="J645">
        <v>1329.7592772999999</v>
      </c>
      <c r="K645">
        <v>550</v>
      </c>
      <c r="L645">
        <v>0</v>
      </c>
      <c r="M645">
        <v>0</v>
      </c>
      <c r="N645">
        <v>550</v>
      </c>
    </row>
    <row r="646" spans="1:14" x14ac:dyDescent="0.25">
      <c r="A646">
        <v>366.70759500000003</v>
      </c>
      <c r="B646" s="1">
        <f>DATE(2011,5,2) + TIME(16,58,56)</f>
        <v>40665.707592592589</v>
      </c>
      <c r="C646">
        <v>80</v>
      </c>
      <c r="D646">
        <v>69.460777282999999</v>
      </c>
      <c r="E646">
        <v>50</v>
      </c>
      <c r="F646">
        <v>49.800243377999998</v>
      </c>
      <c r="G646">
        <v>1333.0152588000001</v>
      </c>
      <c r="H646">
        <v>1332.0334473</v>
      </c>
      <c r="I646">
        <v>1329.9351807</v>
      </c>
      <c r="J646">
        <v>1329.7563477000001</v>
      </c>
      <c r="K646">
        <v>550</v>
      </c>
      <c r="L646">
        <v>0</v>
      </c>
      <c r="M646">
        <v>0</v>
      </c>
      <c r="N646">
        <v>550</v>
      </c>
    </row>
    <row r="647" spans="1:14" x14ac:dyDescent="0.25">
      <c r="A647">
        <v>366.80688900000001</v>
      </c>
      <c r="B647" s="1">
        <f>DATE(2011,5,2) + TIME(19,21,55)</f>
        <v>40665.806886574072</v>
      </c>
      <c r="C647">
        <v>80</v>
      </c>
      <c r="D647">
        <v>70.260444641000007</v>
      </c>
      <c r="E647">
        <v>50</v>
      </c>
      <c r="F647">
        <v>49.793422698999997</v>
      </c>
      <c r="G647">
        <v>1333.0705565999999</v>
      </c>
      <c r="H647">
        <v>1332.0726318</v>
      </c>
      <c r="I647">
        <v>1329.934082</v>
      </c>
      <c r="J647">
        <v>1329.7532959</v>
      </c>
      <c r="K647">
        <v>550</v>
      </c>
      <c r="L647">
        <v>0</v>
      </c>
      <c r="M647">
        <v>0</v>
      </c>
      <c r="N647">
        <v>550</v>
      </c>
    </row>
    <row r="648" spans="1:14" x14ac:dyDescent="0.25">
      <c r="A648">
        <v>366.90890100000001</v>
      </c>
      <c r="B648" s="1">
        <f>DATE(2011,5,2) + TIME(21,48,49)</f>
        <v>40665.908900462964</v>
      </c>
      <c r="C648">
        <v>80</v>
      </c>
      <c r="D648">
        <v>71.034851074000002</v>
      </c>
      <c r="E648">
        <v>50</v>
      </c>
      <c r="F648">
        <v>49.786415099999999</v>
      </c>
      <c r="G648">
        <v>1333.1259766000001</v>
      </c>
      <c r="H648">
        <v>1332.1116943</v>
      </c>
      <c r="I648">
        <v>1329.9328613</v>
      </c>
      <c r="J648">
        <v>1329.7502440999999</v>
      </c>
      <c r="K648">
        <v>550</v>
      </c>
      <c r="L648">
        <v>0</v>
      </c>
      <c r="M648">
        <v>0</v>
      </c>
      <c r="N648">
        <v>550</v>
      </c>
    </row>
    <row r="649" spans="1:14" x14ac:dyDescent="0.25">
      <c r="A649">
        <v>367.01386600000001</v>
      </c>
      <c r="B649" s="1">
        <f>DATE(2011,5,3) + TIME(0,19,58)</f>
        <v>40666.013865740744</v>
      </c>
      <c r="C649">
        <v>80</v>
      </c>
      <c r="D649">
        <v>71.782417296999995</v>
      </c>
      <c r="E649">
        <v>50</v>
      </c>
      <c r="F649">
        <v>49.779197693</v>
      </c>
      <c r="G649">
        <v>1333.1812743999999</v>
      </c>
      <c r="H649">
        <v>1332.1507568</v>
      </c>
      <c r="I649">
        <v>1329.9316406</v>
      </c>
      <c r="J649">
        <v>1329.7471923999999</v>
      </c>
      <c r="K649">
        <v>550</v>
      </c>
      <c r="L649">
        <v>0</v>
      </c>
      <c r="M649">
        <v>0</v>
      </c>
      <c r="N649">
        <v>550</v>
      </c>
    </row>
    <row r="650" spans="1:14" x14ac:dyDescent="0.25">
      <c r="A650">
        <v>367.12204800000001</v>
      </c>
      <c r="B650" s="1">
        <f>DATE(2011,5,3) + TIME(2,55,44)</f>
        <v>40666.122037037036</v>
      </c>
      <c r="C650">
        <v>80</v>
      </c>
      <c r="D650">
        <v>72.501312256000006</v>
      </c>
      <c r="E650">
        <v>50</v>
      </c>
      <c r="F650">
        <v>49.771762848000002</v>
      </c>
      <c r="G650">
        <v>1333.2364502</v>
      </c>
      <c r="H650">
        <v>1332.1896973</v>
      </c>
      <c r="I650">
        <v>1329.9304199000001</v>
      </c>
      <c r="J650">
        <v>1329.7440185999999</v>
      </c>
      <c r="K650">
        <v>550</v>
      </c>
      <c r="L650">
        <v>0</v>
      </c>
      <c r="M650">
        <v>0</v>
      </c>
      <c r="N650">
        <v>550</v>
      </c>
    </row>
    <row r="651" spans="1:14" x14ac:dyDescent="0.25">
      <c r="A651">
        <v>367.23374699999999</v>
      </c>
      <c r="B651" s="1">
        <f>DATE(2011,5,3) + TIME(5,36,35)</f>
        <v>40666.233738425923</v>
      </c>
      <c r="C651">
        <v>80</v>
      </c>
      <c r="D651">
        <v>73.189826964999995</v>
      </c>
      <c r="E651">
        <v>50</v>
      </c>
      <c r="F651">
        <v>49.764083862</v>
      </c>
      <c r="G651">
        <v>1333.2912598</v>
      </c>
      <c r="H651">
        <v>1332.2282714999999</v>
      </c>
      <c r="I651">
        <v>1329.9290771000001</v>
      </c>
      <c r="J651">
        <v>1329.7408447</v>
      </c>
      <c r="K651">
        <v>550</v>
      </c>
      <c r="L651">
        <v>0</v>
      </c>
      <c r="M651">
        <v>0</v>
      </c>
      <c r="N651">
        <v>550</v>
      </c>
    </row>
    <row r="652" spans="1:14" x14ac:dyDescent="0.25">
      <c r="A652">
        <v>367.34930300000002</v>
      </c>
      <c r="B652" s="1">
        <f>DATE(2011,5,3) + TIME(8,22,59)</f>
        <v>40666.349293981482</v>
      </c>
      <c r="C652">
        <v>80</v>
      </c>
      <c r="D652">
        <v>73.846359253000003</v>
      </c>
      <c r="E652">
        <v>50</v>
      </c>
      <c r="F652">
        <v>49.756141663000001</v>
      </c>
      <c r="G652">
        <v>1333.3453368999999</v>
      </c>
      <c r="H652">
        <v>1332.2663574000001</v>
      </c>
      <c r="I652">
        <v>1329.9277344</v>
      </c>
      <c r="J652">
        <v>1329.7375488</v>
      </c>
      <c r="K652">
        <v>550</v>
      </c>
      <c r="L652">
        <v>0</v>
      </c>
      <c r="M652">
        <v>0</v>
      </c>
      <c r="N652">
        <v>550</v>
      </c>
    </row>
    <row r="653" spans="1:14" x14ac:dyDescent="0.25">
      <c r="A653">
        <v>367.46915100000001</v>
      </c>
      <c r="B653" s="1">
        <f>DATE(2011,5,3) + TIME(11,15,34)</f>
        <v>40666.469143518516</v>
      </c>
      <c r="C653">
        <v>80</v>
      </c>
      <c r="D653">
        <v>74.469352721999996</v>
      </c>
      <c r="E653">
        <v>50</v>
      </c>
      <c r="F653">
        <v>49.747905731000003</v>
      </c>
      <c r="G653">
        <v>1333.3961182</v>
      </c>
      <c r="H653">
        <v>1332.3022461</v>
      </c>
      <c r="I653">
        <v>1329.9262695</v>
      </c>
      <c r="J653">
        <v>1329.7342529</v>
      </c>
      <c r="K653">
        <v>550</v>
      </c>
      <c r="L653">
        <v>0</v>
      </c>
      <c r="M653">
        <v>0</v>
      </c>
      <c r="N653">
        <v>550</v>
      </c>
    </row>
    <row r="654" spans="1:14" x14ac:dyDescent="0.25">
      <c r="A654">
        <v>367.59396800000002</v>
      </c>
      <c r="B654" s="1">
        <f>DATE(2011,5,3) + TIME(14,15,18)</f>
        <v>40666.593958333331</v>
      </c>
      <c r="C654">
        <v>80</v>
      </c>
      <c r="D654">
        <v>75.058639525999993</v>
      </c>
      <c r="E654">
        <v>50</v>
      </c>
      <c r="F654">
        <v>49.739337921000001</v>
      </c>
      <c r="G654">
        <v>1333.4464111</v>
      </c>
      <c r="H654">
        <v>1332.3375243999999</v>
      </c>
      <c r="I654">
        <v>1329.9248047000001</v>
      </c>
      <c r="J654">
        <v>1329.7307129000001</v>
      </c>
      <c r="K654">
        <v>550</v>
      </c>
      <c r="L654">
        <v>0</v>
      </c>
      <c r="M654">
        <v>0</v>
      </c>
      <c r="N654">
        <v>550</v>
      </c>
    </row>
    <row r="655" spans="1:14" x14ac:dyDescent="0.25">
      <c r="A655">
        <v>367.72423099999997</v>
      </c>
      <c r="B655" s="1">
        <f>DATE(2011,5,3) + TIME(17,22,53)</f>
        <v>40666.724224537036</v>
      </c>
      <c r="C655">
        <v>80</v>
      </c>
      <c r="D655">
        <v>75.612182617000002</v>
      </c>
      <c r="E655">
        <v>50</v>
      </c>
      <c r="F655">
        <v>49.730400084999999</v>
      </c>
      <c r="G655">
        <v>1333.4934082</v>
      </c>
      <c r="H655">
        <v>1332.3704834</v>
      </c>
      <c r="I655">
        <v>1329.9230957</v>
      </c>
      <c r="J655">
        <v>1329.7271728999999</v>
      </c>
      <c r="K655">
        <v>550</v>
      </c>
      <c r="L655">
        <v>0</v>
      </c>
      <c r="M655">
        <v>0</v>
      </c>
      <c r="N655">
        <v>550</v>
      </c>
    </row>
    <row r="656" spans="1:14" x14ac:dyDescent="0.25">
      <c r="A656">
        <v>367.860747</v>
      </c>
      <c r="B656" s="1">
        <f>DATE(2011,5,3) + TIME(20,39,28)</f>
        <v>40666.86074074074</v>
      </c>
      <c r="C656">
        <v>80</v>
      </c>
      <c r="D656">
        <v>76.130088806000003</v>
      </c>
      <c r="E656">
        <v>50</v>
      </c>
      <c r="F656">
        <v>49.721050261999999</v>
      </c>
      <c r="G656">
        <v>1333.5380858999999</v>
      </c>
      <c r="H656">
        <v>1332.4018555</v>
      </c>
      <c r="I656">
        <v>1329.9212646000001</v>
      </c>
      <c r="J656">
        <v>1329.7235106999999</v>
      </c>
      <c r="K656">
        <v>550</v>
      </c>
      <c r="L656">
        <v>0</v>
      </c>
      <c r="M656">
        <v>0</v>
      </c>
      <c r="N656">
        <v>550</v>
      </c>
    </row>
    <row r="657" spans="1:14" x14ac:dyDescent="0.25">
      <c r="A657">
        <v>368.00438700000001</v>
      </c>
      <c r="B657" s="1">
        <f>DATE(2011,5,4) + TIME(0,6,18)</f>
        <v>40667.004374999997</v>
      </c>
      <c r="C657">
        <v>80</v>
      </c>
      <c r="D657">
        <v>76.612159728999998</v>
      </c>
      <c r="E657">
        <v>50</v>
      </c>
      <c r="F657">
        <v>49.711227417000003</v>
      </c>
      <c r="G657">
        <v>1333.5820312000001</v>
      </c>
      <c r="H657">
        <v>1332.4326172000001</v>
      </c>
      <c r="I657">
        <v>1329.9193115</v>
      </c>
      <c r="J657">
        <v>1329.7197266000001</v>
      </c>
      <c r="K657">
        <v>550</v>
      </c>
      <c r="L657">
        <v>0</v>
      </c>
      <c r="M657">
        <v>0</v>
      </c>
      <c r="N657">
        <v>550</v>
      </c>
    </row>
    <row r="658" spans="1:14" x14ac:dyDescent="0.25">
      <c r="A658">
        <v>368.15605799999997</v>
      </c>
      <c r="B658" s="1">
        <f>DATE(2011,5,4) + TIME(3,44,43)</f>
        <v>40667.156053240738</v>
      </c>
      <c r="C658">
        <v>80</v>
      </c>
      <c r="D658">
        <v>77.057548522999994</v>
      </c>
      <c r="E658">
        <v>50</v>
      </c>
      <c r="F658">
        <v>49.700874329000001</v>
      </c>
      <c r="G658">
        <v>1333.6210937999999</v>
      </c>
      <c r="H658">
        <v>1332.4599608999999</v>
      </c>
      <c r="I658">
        <v>1329.9171143000001</v>
      </c>
      <c r="J658">
        <v>1329.7156981999999</v>
      </c>
      <c r="K658">
        <v>550</v>
      </c>
      <c r="L658">
        <v>0</v>
      </c>
      <c r="M658">
        <v>0</v>
      </c>
      <c r="N658">
        <v>550</v>
      </c>
    </row>
    <row r="659" spans="1:14" x14ac:dyDescent="0.25">
      <c r="A659">
        <v>368.31716399999999</v>
      </c>
      <c r="B659" s="1">
        <f>DATE(2011,5,4) + TIME(7,36,42)</f>
        <v>40667.317152777781</v>
      </c>
      <c r="C659">
        <v>80</v>
      </c>
      <c r="D659">
        <v>77.466865540000001</v>
      </c>
      <c r="E659">
        <v>50</v>
      </c>
      <c r="F659">
        <v>49.689903258999998</v>
      </c>
      <c r="G659">
        <v>1333.6584473</v>
      </c>
      <c r="H659">
        <v>1332.4860839999999</v>
      </c>
      <c r="I659">
        <v>1329.9147949000001</v>
      </c>
      <c r="J659">
        <v>1329.7115478999999</v>
      </c>
      <c r="K659">
        <v>550</v>
      </c>
      <c r="L659">
        <v>0</v>
      </c>
      <c r="M659">
        <v>0</v>
      </c>
      <c r="N659">
        <v>550</v>
      </c>
    </row>
    <row r="660" spans="1:14" x14ac:dyDescent="0.25">
      <c r="A660">
        <v>368.48384099999998</v>
      </c>
      <c r="B660" s="1">
        <f>DATE(2011,5,4) + TIME(11,36,43)</f>
        <v>40667.483831018515</v>
      </c>
      <c r="C660">
        <v>80</v>
      </c>
      <c r="D660">
        <v>77.830604553000001</v>
      </c>
      <c r="E660">
        <v>50</v>
      </c>
      <c r="F660">
        <v>49.678577423</v>
      </c>
      <c r="G660">
        <v>1333.6951904</v>
      </c>
      <c r="H660">
        <v>1332.5115966999999</v>
      </c>
      <c r="I660">
        <v>1329.9124756000001</v>
      </c>
      <c r="J660">
        <v>1329.7072754000001</v>
      </c>
      <c r="K660">
        <v>550</v>
      </c>
      <c r="L660">
        <v>0</v>
      </c>
      <c r="M660">
        <v>0</v>
      </c>
      <c r="N660">
        <v>550</v>
      </c>
    </row>
    <row r="661" spans="1:14" x14ac:dyDescent="0.25">
      <c r="A661">
        <v>368.65447599999999</v>
      </c>
      <c r="B661" s="1">
        <f>DATE(2011,5,4) + TIME(15,42,26)</f>
        <v>40667.654467592591</v>
      </c>
      <c r="C661">
        <v>80</v>
      </c>
      <c r="D661">
        <v>78.148208617999998</v>
      </c>
      <c r="E661">
        <v>50</v>
      </c>
      <c r="F661">
        <v>49.667007446</v>
      </c>
      <c r="G661">
        <v>1333.7260742000001</v>
      </c>
      <c r="H661">
        <v>1332.5329589999999</v>
      </c>
      <c r="I661">
        <v>1329.9099120999999</v>
      </c>
      <c r="J661">
        <v>1329.7028809000001</v>
      </c>
      <c r="K661">
        <v>550</v>
      </c>
      <c r="L661">
        <v>0</v>
      </c>
      <c r="M661">
        <v>0</v>
      </c>
      <c r="N661">
        <v>550</v>
      </c>
    </row>
    <row r="662" spans="1:14" x14ac:dyDescent="0.25">
      <c r="A662">
        <v>368.83016700000002</v>
      </c>
      <c r="B662" s="1">
        <f>DATE(2011,5,4) + TIME(19,55,26)</f>
        <v>40667.83016203704</v>
      </c>
      <c r="C662">
        <v>80</v>
      </c>
      <c r="D662">
        <v>78.425125121999997</v>
      </c>
      <c r="E662">
        <v>50</v>
      </c>
      <c r="F662">
        <v>49.655124663999999</v>
      </c>
      <c r="G662">
        <v>1333.7532959</v>
      </c>
      <c r="H662">
        <v>1332.5518798999999</v>
      </c>
      <c r="I662">
        <v>1329.9072266000001</v>
      </c>
      <c r="J662">
        <v>1329.6984863</v>
      </c>
      <c r="K662">
        <v>550</v>
      </c>
      <c r="L662">
        <v>0</v>
      </c>
      <c r="M662">
        <v>0</v>
      </c>
      <c r="N662">
        <v>550</v>
      </c>
    </row>
    <row r="663" spans="1:14" x14ac:dyDescent="0.25">
      <c r="A663">
        <v>369.01067999999998</v>
      </c>
      <c r="B663" s="1">
        <f>DATE(2011,5,5) + TIME(0,15,22)</f>
        <v>40668.010671296295</v>
      </c>
      <c r="C663">
        <v>80</v>
      </c>
      <c r="D663">
        <v>78.664573669000006</v>
      </c>
      <c r="E663">
        <v>50</v>
      </c>
      <c r="F663">
        <v>49.642951965000002</v>
      </c>
      <c r="G663">
        <v>1333.7786865</v>
      </c>
      <c r="H663">
        <v>1332.5694579999999</v>
      </c>
      <c r="I663">
        <v>1329.9045410000001</v>
      </c>
      <c r="J663">
        <v>1329.6939697</v>
      </c>
      <c r="K663">
        <v>550</v>
      </c>
      <c r="L663">
        <v>0</v>
      </c>
      <c r="M663">
        <v>0</v>
      </c>
      <c r="N663">
        <v>550</v>
      </c>
    </row>
    <row r="664" spans="1:14" x14ac:dyDescent="0.25">
      <c r="A664">
        <v>369.19440100000003</v>
      </c>
      <c r="B664" s="1">
        <f>DATE(2011,5,5) + TIME(4,39,56)</f>
        <v>40668.194398148145</v>
      </c>
      <c r="C664">
        <v>80</v>
      </c>
      <c r="D664">
        <v>78.868782042999996</v>
      </c>
      <c r="E664">
        <v>50</v>
      </c>
      <c r="F664">
        <v>49.630592346</v>
      </c>
      <c r="G664">
        <v>1333.802124</v>
      </c>
      <c r="H664">
        <v>1332.5858154</v>
      </c>
      <c r="I664">
        <v>1329.9017334</v>
      </c>
      <c r="J664">
        <v>1329.6894531</v>
      </c>
      <c r="K664">
        <v>550</v>
      </c>
      <c r="L664">
        <v>0</v>
      </c>
      <c r="M664">
        <v>0</v>
      </c>
      <c r="N664">
        <v>550</v>
      </c>
    </row>
    <row r="665" spans="1:14" x14ac:dyDescent="0.25">
      <c r="A665">
        <v>369.38268799999997</v>
      </c>
      <c r="B665" s="1">
        <f>DATE(2011,5,5) + TIME(9,11,4)</f>
        <v>40668.382685185185</v>
      </c>
      <c r="C665">
        <v>80</v>
      </c>
      <c r="D665">
        <v>79.043067932</v>
      </c>
      <c r="E665">
        <v>50</v>
      </c>
      <c r="F665">
        <v>49.617965697999999</v>
      </c>
      <c r="G665">
        <v>1333.8210449000001</v>
      </c>
      <c r="H665">
        <v>1332.5991211</v>
      </c>
      <c r="I665">
        <v>1329.8989257999999</v>
      </c>
      <c r="J665">
        <v>1329.6849365</v>
      </c>
      <c r="K665">
        <v>550</v>
      </c>
      <c r="L665">
        <v>0</v>
      </c>
      <c r="M665">
        <v>0</v>
      </c>
      <c r="N665">
        <v>550</v>
      </c>
    </row>
    <row r="666" spans="1:14" x14ac:dyDescent="0.25">
      <c r="A666">
        <v>369.57697000000002</v>
      </c>
      <c r="B666" s="1">
        <f>DATE(2011,5,5) + TIME(13,50,50)</f>
        <v>40668.576967592591</v>
      </c>
      <c r="C666">
        <v>80</v>
      </c>
      <c r="D666">
        <v>79.191810607999997</v>
      </c>
      <c r="E666">
        <v>50</v>
      </c>
      <c r="F666">
        <v>49.604984283</v>
      </c>
      <c r="G666">
        <v>1333.8359375</v>
      </c>
      <c r="H666">
        <v>1332.6097411999999</v>
      </c>
      <c r="I666">
        <v>1329.8959961</v>
      </c>
      <c r="J666">
        <v>1329.6802978999999</v>
      </c>
      <c r="K666">
        <v>550</v>
      </c>
      <c r="L666">
        <v>0</v>
      </c>
      <c r="M666">
        <v>0</v>
      </c>
      <c r="N666">
        <v>550</v>
      </c>
    </row>
    <row r="667" spans="1:14" x14ac:dyDescent="0.25">
      <c r="A667">
        <v>369.77852999999999</v>
      </c>
      <c r="B667" s="1">
        <f>DATE(2011,5,5) + TIME(18,41,4)</f>
        <v>40668.77851851852</v>
      </c>
      <c r="C667">
        <v>80</v>
      </c>
      <c r="D667">
        <v>79.318550110000004</v>
      </c>
      <c r="E667">
        <v>50</v>
      </c>
      <c r="F667">
        <v>49.591564177999999</v>
      </c>
      <c r="G667">
        <v>1333.8492432</v>
      </c>
      <c r="H667">
        <v>1332.6195068</v>
      </c>
      <c r="I667">
        <v>1329.8930664</v>
      </c>
      <c r="J667">
        <v>1329.6756591999999</v>
      </c>
      <c r="K667">
        <v>550</v>
      </c>
      <c r="L667">
        <v>0</v>
      </c>
      <c r="M667">
        <v>0</v>
      </c>
      <c r="N667">
        <v>550</v>
      </c>
    </row>
    <row r="668" spans="1:14" x14ac:dyDescent="0.25">
      <c r="A668">
        <v>369.98866099999998</v>
      </c>
      <c r="B668" s="1">
        <f>DATE(2011,5,5) + TIME(23,43,40)</f>
        <v>40668.988657407404</v>
      </c>
      <c r="C668">
        <v>80</v>
      </c>
      <c r="D668">
        <v>79.426246642999999</v>
      </c>
      <c r="E668">
        <v>50</v>
      </c>
      <c r="F668">
        <v>49.577629088999998</v>
      </c>
      <c r="G668">
        <v>1333.8613281</v>
      </c>
      <c r="H668">
        <v>1332.6282959</v>
      </c>
      <c r="I668">
        <v>1329.8900146000001</v>
      </c>
      <c r="J668">
        <v>1329.6708983999999</v>
      </c>
      <c r="K668">
        <v>550</v>
      </c>
      <c r="L668">
        <v>0</v>
      </c>
      <c r="M668">
        <v>0</v>
      </c>
      <c r="N668">
        <v>550</v>
      </c>
    </row>
    <row r="669" spans="1:14" x14ac:dyDescent="0.25">
      <c r="A669">
        <v>370.20881900000001</v>
      </c>
      <c r="B669" s="1">
        <f>DATE(2011,5,6) + TIME(5,0,41)</f>
        <v>40669.208807870367</v>
      </c>
      <c r="C669">
        <v>80</v>
      </c>
      <c r="D669">
        <v>79.517448424999998</v>
      </c>
      <c r="E669">
        <v>50</v>
      </c>
      <c r="F669">
        <v>49.563095093000001</v>
      </c>
      <c r="G669">
        <v>1333.8721923999999</v>
      </c>
      <c r="H669">
        <v>1332.6365966999999</v>
      </c>
      <c r="I669">
        <v>1329.8869629000001</v>
      </c>
      <c r="J669">
        <v>1329.6660156</v>
      </c>
      <c r="K669">
        <v>550</v>
      </c>
      <c r="L669">
        <v>0</v>
      </c>
      <c r="M669">
        <v>0</v>
      </c>
      <c r="N669">
        <v>550</v>
      </c>
    </row>
    <row r="670" spans="1:14" x14ac:dyDescent="0.25">
      <c r="A670">
        <v>370.43120099999999</v>
      </c>
      <c r="B670" s="1">
        <f>DATE(2011,5,6) + TIME(10,20,55)</f>
        <v>40669.431192129632</v>
      </c>
      <c r="C670">
        <v>80</v>
      </c>
      <c r="D670">
        <v>79.591812133999994</v>
      </c>
      <c r="E670">
        <v>50</v>
      </c>
      <c r="F670">
        <v>49.548469543000003</v>
      </c>
      <c r="G670">
        <v>1333.8820800999999</v>
      </c>
      <c r="H670">
        <v>1332.6441649999999</v>
      </c>
      <c r="I670">
        <v>1329.8836670000001</v>
      </c>
      <c r="J670">
        <v>1329.6610106999999</v>
      </c>
      <c r="K670">
        <v>550</v>
      </c>
      <c r="L670">
        <v>0</v>
      </c>
      <c r="M670">
        <v>0</v>
      </c>
      <c r="N670">
        <v>550</v>
      </c>
    </row>
    <row r="671" spans="1:14" x14ac:dyDescent="0.25">
      <c r="A671">
        <v>370.65670599999999</v>
      </c>
      <c r="B671" s="1">
        <f>DATE(2011,5,6) + TIME(15,45,39)</f>
        <v>40669.656701388885</v>
      </c>
      <c r="C671">
        <v>80</v>
      </c>
      <c r="D671">
        <v>79.652580260999997</v>
      </c>
      <c r="E671">
        <v>50</v>
      </c>
      <c r="F671">
        <v>49.533695221000002</v>
      </c>
      <c r="G671">
        <v>1333.890625</v>
      </c>
      <c r="H671">
        <v>1332.6508789</v>
      </c>
      <c r="I671">
        <v>1329.8804932</v>
      </c>
      <c r="J671">
        <v>1329.6560059000001</v>
      </c>
      <c r="K671">
        <v>550</v>
      </c>
      <c r="L671">
        <v>0</v>
      </c>
      <c r="M671">
        <v>0</v>
      </c>
      <c r="N671">
        <v>550</v>
      </c>
    </row>
    <row r="672" spans="1:14" x14ac:dyDescent="0.25">
      <c r="A672">
        <v>370.88578100000001</v>
      </c>
      <c r="B672" s="1">
        <f>DATE(2011,5,6) + TIME(21,15,31)</f>
        <v>40669.885775462964</v>
      </c>
      <c r="C672">
        <v>80</v>
      </c>
      <c r="D672">
        <v>79.702217102000006</v>
      </c>
      <c r="E672">
        <v>50</v>
      </c>
      <c r="F672">
        <v>49.518745422000002</v>
      </c>
      <c r="G672">
        <v>1333.8978271000001</v>
      </c>
      <c r="H672">
        <v>1332.6567382999999</v>
      </c>
      <c r="I672">
        <v>1329.8773193</v>
      </c>
      <c r="J672">
        <v>1329.651001</v>
      </c>
      <c r="K672">
        <v>550</v>
      </c>
      <c r="L672">
        <v>0</v>
      </c>
      <c r="M672">
        <v>0</v>
      </c>
      <c r="N672">
        <v>550</v>
      </c>
    </row>
    <row r="673" spans="1:14" x14ac:dyDescent="0.25">
      <c r="A673">
        <v>371.11898200000002</v>
      </c>
      <c r="B673" s="1">
        <f>DATE(2011,5,7) + TIME(2,51,20)</f>
        <v>40670.118981481479</v>
      </c>
      <c r="C673">
        <v>80</v>
      </c>
      <c r="D673">
        <v>79.742767334000007</v>
      </c>
      <c r="E673">
        <v>50</v>
      </c>
      <c r="F673">
        <v>49.50358963</v>
      </c>
      <c r="G673">
        <v>1333.9039307</v>
      </c>
      <c r="H673">
        <v>1332.6619873</v>
      </c>
      <c r="I673">
        <v>1329.8740233999999</v>
      </c>
      <c r="J673">
        <v>1329.6459961</v>
      </c>
      <c r="K673">
        <v>550</v>
      </c>
      <c r="L673">
        <v>0</v>
      </c>
      <c r="M673">
        <v>0</v>
      </c>
      <c r="N673">
        <v>550</v>
      </c>
    </row>
    <row r="674" spans="1:14" x14ac:dyDescent="0.25">
      <c r="A674">
        <v>371.35691800000001</v>
      </c>
      <c r="B674" s="1">
        <f>DATE(2011,5,7) + TIME(8,33,57)</f>
        <v>40670.356909722221</v>
      </c>
      <c r="C674">
        <v>80</v>
      </c>
      <c r="D674">
        <v>79.775886536000002</v>
      </c>
      <c r="E674">
        <v>50</v>
      </c>
      <c r="F674">
        <v>49.488197327000002</v>
      </c>
      <c r="G674">
        <v>1333.9077147999999</v>
      </c>
      <c r="H674">
        <v>1332.6658935999999</v>
      </c>
      <c r="I674">
        <v>1329.8707274999999</v>
      </c>
      <c r="J674">
        <v>1329.6409911999999</v>
      </c>
      <c r="K674">
        <v>550</v>
      </c>
      <c r="L674">
        <v>0</v>
      </c>
      <c r="M674">
        <v>0</v>
      </c>
      <c r="N674">
        <v>550</v>
      </c>
    </row>
    <row r="675" spans="1:14" x14ac:dyDescent="0.25">
      <c r="A675">
        <v>371.60042600000003</v>
      </c>
      <c r="B675" s="1">
        <f>DATE(2011,5,7) + TIME(14,24,36)</f>
        <v>40670.600416666668</v>
      </c>
      <c r="C675">
        <v>80</v>
      </c>
      <c r="D675">
        <v>79.802925110000004</v>
      </c>
      <c r="E675">
        <v>50</v>
      </c>
      <c r="F675">
        <v>49.472515106000003</v>
      </c>
      <c r="G675">
        <v>1333.9093018000001</v>
      </c>
      <c r="H675">
        <v>1332.6683350000001</v>
      </c>
      <c r="I675">
        <v>1329.8674315999999</v>
      </c>
      <c r="J675">
        <v>1329.6359863</v>
      </c>
      <c r="K675">
        <v>550</v>
      </c>
      <c r="L675">
        <v>0</v>
      </c>
      <c r="M675">
        <v>0</v>
      </c>
      <c r="N675">
        <v>550</v>
      </c>
    </row>
    <row r="676" spans="1:14" x14ac:dyDescent="0.25">
      <c r="A676">
        <v>371.85044699999997</v>
      </c>
      <c r="B676" s="1">
        <f>DATE(2011,5,7) + TIME(20,24,38)</f>
        <v>40670.850439814814</v>
      </c>
      <c r="C676">
        <v>80</v>
      </c>
      <c r="D676">
        <v>79.825012207</v>
      </c>
      <c r="E676">
        <v>50</v>
      </c>
      <c r="F676">
        <v>49.456493377999998</v>
      </c>
      <c r="G676">
        <v>1333.9102783000001</v>
      </c>
      <c r="H676">
        <v>1332.6705322</v>
      </c>
      <c r="I676">
        <v>1329.8641356999999</v>
      </c>
      <c r="J676">
        <v>1329.6309814000001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372.10768400000001</v>
      </c>
      <c r="B677" s="1">
        <f>DATE(2011,5,8) + TIME(2,35,3)</f>
        <v>40671.107673611114</v>
      </c>
      <c r="C677">
        <v>80</v>
      </c>
      <c r="D677">
        <v>79.843048096000004</v>
      </c>
      <c r="E677">
        <v>50</v>
      </c>
      <c r="F677">
        <v>49.440090179000002</v>
      </c>
      <c r="G677">
        <v>1333.9108887</v>
      </c>
      <c r="H677">
        <v>1332.6724853999999</v>
      </c>
      <c r="I677">
        <v>1329.8607178</v>
      </c>
      <c r="J677">
        <v>1329.6258545000001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372.37293299999999</v>
      </c>
      <c r="B678" s="1">
        <f>DATE(2011,5,8) + TIME(8,57,1)</f>
        <v>40671.372928240744</v>
      </c>
      <c r="C678">
        <v>80</v>
      </c>
      <c r="D678">
        <v>79.857757567999997</v>
      </c>
      <c r="E678">
        <v>50</v>
      </c>
      <c r="F678">
        <v>49.423271178999997</v>
      </c>
      <c r="G678">
        <v>1333.9111327999999</v>
      </c>
      <c r="H678">
        <v>1332.6741943</v>
      </c>
      <c r="I678">
        <v>1329.8572998</v>
      </c>
      <c r="J678">
        <v>1329.6206055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372.64708200000001</v>
      </c>
      <c r="B679" s="1">
        <f>DATE(2011,5,8) + TIME(15,31,47)</f>
        <v>40671.64707175926</v>
      </c>
      <c r="C679">
        <v>80</v>
      </c>
      <c r="D679">
        <v>79.869750976999995</v>
      </c>
      <c r="E679">
        <v>50</v>
      </c>
      <c r="F679">
        <v>49.405982971</v>
      </c>
      <c r="G679">
        <v>1333.9108887</v>
      </c>
      <c r="H679">
        <v>1332.6757812000001</v>
      </c>
      <c r="I679">
        <v>1329.8538818</v>
      </c>
      <c r="J679">
        <v>1329.6153564000001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372.93112300000001</v>
      </c>
      <c r="B680" s="1">
        <f>DATE(2011,5,8) + TIME(22,20,49)</f>
        <v>40671.931122685186</v>
      </c>
      <c r="C680">
        <v>80</v>
      </c>
      <c r="D680">
        <v>79.879516601999995</v>
      </c>
      <c r="E680">
        <v>50</v>
      </c>
      <c r="F680">
        <v>49.388172150000003</v>
      </c>
      <c r="G680">
        <v>1333.9104004000001</v>
      </c>
      <c r="H680">
        <v>1332.677124</v>
      </c>
      <c r="I680">
        <v>1329.8502197</v>
      </c>
      <c r="J680">
        <v>1329.6098632999999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373.22579100000002</v>
      </c>
      <c r="B681" s="1">
        <f>DATE(2011,5,9) + TIME(5,25,8)</f>
        <v>40672.225787037038</v>
      </c>
      <c r="C681">
        <v>80</v>
      </c>
      <c r="D681">
        <v>79.887458800999994</v>
      </c>
      <c r="E681">
        <v>50</v>
      </c>
      <c r="F681">
        <v>49.369812011999997</v>
      </c>
      <c r="G681">
        <v>1333.9094238</v>
      </c>
      <c r="H681">
        <v>1332.6783447</v>
      </c>
      <c r="I681">
        <v>1329.8466797000001</v>
      </c>
      <c r="J681">
        <v>1329.6043701000001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373.52926000000002</v>
      </c>
      <c r="B682" s="1">
        <f>DATE(2011,5,9) + TIME(12,42,8)</f>
        <v>40672.52925925926</v>
      </c>
      <c r="C682">
        <v>80</v>
      </c>
      <c r="D682">
        <v>79.893852233999993</v>
      </c>
      <c r="E682">
        <v>50</v>
      </c>
      <c r="F682">
        <v>49.351013184000003</v>
      </c>
      <c r="G682">
        <v>1333.9083252</v>
      </c>
      <c r="H682">
        <v>1332.6794434000001</v>
      </c>
      <c r="I682">
        <v>1329.8428954999999</v>
      </c>
      <c r="J682">
        <v>1329.5987548999999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373.84259100000003</v>
      </c>
      <c r="B683" s="1">
        <f>DATE(2011,5,9) + TIME(20,13,19)</f>
        <v>40672.842581018522</v>
      </c>
      <c r="C683">
        <v>80</v>
      </c>
      <c r="D683">
        <v>79.899017334000007</v>
      </c>
      <c r="E683">
        <v>50</v>
      </c>
      <c r="F683">
        <v>49.331726074000002</v>
      </c>
      <c r="G683">
        <v>1333.9068603999999</v>
      </c>
      <c r="H683">
        <v>1332.6804199000001</v>
      </c>
      <c r="I683">
        <v>1329.8391113</v>
      </c>
      <c r="J683">
        <v>1329.5930175999999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374.16684800000002</v>
      </c>
      <c r="B684" s="1">
        <f>DATE(2011,5,10) + TIME(4,0,15)</f>
        <v>40673.16684027778</v>
      </c>
      <c r="C684">
        <v>80</v>
      </c>
      <c r="D684">
        <v>79.903182982999994</v>
      </c>
      <c r="E684">
        <v>50</v>
      </c>
      <c r="F684">
        <v>49.311897278000004</v>
      </c>
      <c r="G684">
        <v>1333.9052733999999</v>
      </c>
      <c r="H684">
        <v>1332.6813964999999</v>
      </c>
      <c r="I684">
        <v>1329.8352050999999</v>
      </c>
      <c r="J684">
        <v>1329.5871582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374.503265</v>
      </c>
      <c r="B685" s="1">
        <f>DATE(2011,5,10) + TIME(12,4,42)</f>
        <v>40673.503263888888</v>
      </c>
      <c r="C685">
        <v>80</v>
      </c>
      <c r="D685">
        <v>79.906539917000003</v>
      </c>
      <c r="E685">
        <v>50</v>
      </c>
      <c r="F685">
        <v>49.291461945000002</v>
      </c>
      <c r="G685">
        <v>1333.9033202999999</v>
      </c>
      <c r="H685">
        <v>1332.682251</v>
      </c>
      <c r="I685">
        <v>1329.8312988</v>
      </c>
      <c r="J685">
        <v>1329.5812988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374.85339800000003</v>
      </c>
      <c r="B686" s="1">
        <f>DATE(2011,5,10) + TIME(20,28,53)</f>
        <v>40673.853391203702</v>
      </c>
      <c r="C686">
        <v>80</v>
      </c>
      <c r="D686">
        <v>79.909255981000001</v>
      </c>
      <c r="E686">
        <v>50</v>
      </c>
      <c r="F686">
        <v>49.270347594999997</v>
      </c>
      <c r="G686">
        <v>1333.9012451000001</v>
      </c>
      <c r="H686">
        <v>1332.6829834</v>
      </c>
      <c r="I686">
        <v>1329.8272704999999</v>
      </c>
      <c r="J686">
        <v>1329.5751952999999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375.21862099999998</v>
      </c>
      <c r="B687" s="1">
        <f>DATE(2011,5,11) + TIME(5,14,48)</f>
        <v>40674.218611111108</v>
      </c>
      <c r="C687">
        <v>80</v>
      </c>
      <c r="D687">
        <v>79.911445618000002</v>
      </c>
      <c r="E687">
        <v>50</v>
      </c>
      <c r="F687">
        <v>49.248485565000003</v>
      </c>
      <c r="G687">
        <v>1333.8990478999999</v>
      </c>
      <c r="H687">
        <v>1332.6838379000001</v>
      </c>
      <c r="I687">
        <v>1329.8231201000001</v>
      </c>
      <c r="J687">
        <v>1329.5688477000001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375.60091699999998</v>
      </c>
      <c r="B688" s="1">
        <f>DATE(2011,5,11) + TIME(14,25,19)</f>
        <v>40674.600914351853</v>
      </c>
      <c r="C688">
        <v>80</v>
      </c>
      <c r="D688">
        <v>79.913215636999993</v>
      </c>
      <c r="E688">
        <v>50</v>
      </c>
      <c r="F688">
        <v>49.225784302000001</v>
      </c>
      <c r="G688">
        <v>1333.8966064000001</v>
      </c>
      <c r="H688">
        <v>1332.6844481999999</v>
      </c>
      <c r="I688">
        <v>1329.8188477000001</v>
      </c>
      <c r="J688">
        <v>1329.5623779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376.00697300000002</v>
      </c>
      <c r="B689" s="1">
        <f>DATE(2011,5,12) + TIME(0,10,2)</f>
        <v>40675.006967592592</v>
      </c>
      <c r="C689">
        <v>80</v>
      </c>
      <c r="D689">
        <v>79.914649963000002</v>
      </c>
      <c r="E689">
        <v>50</v>
      </c>
      <c r="F689">
        <v>49.201889037999997</v>
      </c>
      <c r="G689">
        <v>1333.894043</v>
      </c>
      <c r="H689">
        <v>1332.6850586</v>
      </c>
      <c r="I689">
        <v>1329.8144531</v>
      </c>
      <c r="J689">
        <v>1329.5557861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376.42933799999997</v>
      </c>
      <c r="B690" s="1">
        <f>DATE(2011,5,12) + TIME(10,18,14)</f>
        <v>40675.429328703707</v>
      </c>
      <c r="C690">
        <v>80</v>
      </c>
      <c r="D690">
        <v>79.915779114000003</v>
      </c>
      <c r="E690">
        <v>50</v>
      </c>
      <c r="F690">
        <v>49.177230835000003</v>
      </c>
      <c r="G690">
        <v>1333.8912353999999</v>
      </c>
      <c r="H690">
        <v>1332.6856689000001</v>
      </c>
      <c r="I690">
        <v>1329.8098144999999</v>
      </c>
      <c r="J690">
        <v>1329.5488281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376.86518799999999</v>
      </c>
      <c r="B691" s="1">
        <f>DATE(2011,5,12) + TIME(20,45,52)</f>
        <v>40675.865185185183</v>
      </c>
      <c r="C691">
        <v>80</v>
      </c>
      <c r="D691">
        <v>79.916664123999993</v>
      </c>
      <c r="E691">
        <v>50</v>
      </c>
      <c r="F691">
        <v>49.151985168000003</v>
      </c>
      <c r="G691">
        <v>1333.8884277</v>
      </c>
      <c r="H691">
        <v>1332.6864014</v>
      </c>
      <c r="I691">
        <v>1329.8050536999999</v>
      </c>
      <c r="J691">
        <v>1329.541626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377.31786799999998</v>
      </c>
      <c r="B692" s="1">
        <f>DATE(2011,5,13) + TIME(7,37,43)</f>
        <v>40676.317858796298</v>
      </c>
      <c r="C692">
        <v>80</v>
      </c>
      <c r="D692">
        <v>79.917358398000005</v>
      </c>
      <c r="E692">
        <v>50</v>
      </c>
      <c r="F692">
        <v>49.125976561999998</v>
      </c>
      <c r="G692">
        <v>1333.8854980000001</v>
      </c>
      <c r="H692">
        <v>1332.6868896000001</v>
      </c>
      <c r="I692">
        <v>1329.800293</v>
      </c>
      <c r="J692">
        <v>1329.5344238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377.79091499999998</v>
      </c>
      <c r="B693" s="1">
        <f>DATE(2011,5,13) + TIME(18,58,55)</f>
        <v>40676.790914351855</v>
      </c>
      <c r="C693">
        <v>80</v>
      </c>
      <c r="D693">
        <v>79.917892456000004</v>
      </c>
      <c r="E693">
        <v>50</v>
      </c>
      <c r="F693">
        <v>49.099037170000003</v>
      </c>
      <c r="G693">
        <v>1333.8824463000001</v>
      </c>
      <c r="H693">
        <v>1332.6875</v>
      </c>
      <c r="I693">
        <v>1329.7952881000001</v>
      </c>
      <c r="J693">
        <v>1329.5268555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378.27649700000001</v>
      </c>
      <c r="B694" s="1">
        <f>DATE(2011,5,14) + TIME(6,38,9)</f>
        <v>40677.276493055557</v>
      </c>
      <c r="C694">
        <v>80</v>
      </c>
      <c r="D694">
        <v>79.918296814000001</v>
      </c>
      <c r="E694">
        <v>50</v>
      </c>
      <c r="F694">
        <v>49.071598053000002</v>
      </c>
      <c r="G694">
        <v>1333.8792725000001</v>
      </c>
      <c r="H694">
        <v>1332.6881103999999</v>
      </c>
      <c r="I694">
        <v>1329.7901611</v>
      </c>
      <c r="J694">
        <v>1329.5192870999999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378.769229</v>
      </c>
      <c r="B695" s="1">
        <f>DATE(2011,5,14) + TIME(18,27,41)</f>
        <v>40677.769224537034</v>
      </c>
      <c r="C695">
        <v>80</v>
      </c>
      <c r="D695">
        <v>79.918586731000005</v>
      </c>
      <c r="E695">
        <v>50</v>
      </c>
      <c r="F695">
        <v>49.043941498000002</v>
      </c>
      <c r="G695">
        <v>1333.8762207</v>
      </c>
      <c r="H695">
        <v>1332.6885986</v>
      </c>
      <c r="I695">
        <v>1329.7850341999999</v>
      </c>
      <c r="J695">
        <v>1329.5114745999999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379.27108600000003</v>
      </c>
      <c r="B696" s="1">
        <f>DATE(2011,5,15) + TIME(6,30,21)</f>
        <v>40678.27107638889</v>
      </c>
      <c r="C696">
        <v>80</v>
      </c>
      <c r="D696">
        <v>79.918792725000003</v>
      </c>
      <c r="E696">
        <v>50</v>
      </c>
      <c r="F696">
        <v>49.015972136999999</v>
      </c>
      <c r="G696">
        <v>1333.8730469</v>
      </c>
      <c r="H696">
        <v>1332.6892089999999</v>
      </c>
      <c r="I696">
        <v>1329.7799072</v>
      </c>
      <c r="J696">
        <v>1329.5036620999999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379.784041</v>
      </c>
      <c r="B697" s="1">
        <f>DATE(2011,5,15) + TIME(18,49,1)</f>
        <v>40678.784039351849</v>
      </c>
      <c r="C697">
        <v>80</v>
      </c>
      <c r="D697">
        <v>79.918930054</v>
      </c>
      <c r="E697">
        <v>50</v>
      </c>
      <c r="F697">
        <v>48.987594604000002</v>
      </c>
      <c r="G697">
        <v>1333.8699951000001</v>
      </c>
      <c r="H697">
        <v>1332.6898193</v>
      </c>
      <c r="I697">
        <v>1329.7746582</v>
      </c>
      <c r="J697">
        <v>1329.4957274999999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380.30553500000002</v>
      </c>
      <c r="B698" s="1">
        <f>DATE(2011,5,16) + TIME(7,19,58)</f>
        <v>40679.305532407408</v>
      </c>
      <c r="C698">
        <v>80</v>
      </c>
      <c r="D698">
        <v>79.919013977000006</v>
      </c>
      <c r="E698">
        <v>50</v>
      </c>
      <c r="F698">
        <v>48.958942413000003</v>
      </c>
      <c r="G698">
        <v>1333.8669434000001</v>
      </c>
      <c r="H698">
        <v>1332.6904297000001</v>
      </c>
      <c r="I698">
        <v>1329.7694091999999</v>
      </c>
      <c r="J698">
        <v>1329.487793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380.83463899999998</v>
      </c>
      <c r="B699" s="1">
        <f>DATE(2011,5,16) + TIME(20,1,52)</f>
        <v>40679.834629629629</v>
      </c>
      <c r="C699">
        <v>80</v>
      </c>
      <c r="D699">
        <v>79.919052124000004</v>
      </c>
      <c r="E699">
        <v>50</v>
      </c>
      <c r="F699">
        <v>48.930068970000001</v>
      </c>
      <c r="G699">
        <v>1333.8640137</v>
      </c>
      <c r="H699">
        <v>1332.6910399999999</v>
      </c>
      <c r="I699">
        <v>1329.7640381000001</v>
      </c>
      <c r="J699">
        <v>1329.4797363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381.37313999999998</v>
      </c>
      <c r="B700" s="1">
        <f>DATE(2011,5,17) + TIME(8,57,19)</f>
        <v>40680.373136574075</v>
      </c>
      <c r="C700">
        <v>80</v>
      </c>
      <c r="D700">
        <v>79.919052124000004</v>
      </c>
      <c r="E700">
        <v>50</v>
      </c>
      <c r="F700">
        <v>48.900890349999997</v>
      </c>
      <c r="G700">
        <v>1333.8609618999999</v>
      </c>
      <c r="H700">
        <v>1332.6916504000001</v>
      </c>
      <c r="I700">
        <v>1329.7587891000001</v>
      </c>
      <c r="J700">
        <v>1329.4716797000001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381.92288600000001</v>
      </c>
      <c r="B701" s="1">
        <f>DATE(2011,5,17) + TIME(22,8,57)</f>
        <v>40680.922881944447</v>
      </c>
      <c r="C701">
        <v>80</v>
      </c>
      <c r="D701">
        <v>79.919029236</v>
      </c>
      <c r="E701">
        <v>50</v>
      </c>
      <c r="F701">
        <v>48.871315002000003</v>
      </c>
      <c r="G701">
        <v>1333.8580322</v>
      </c>
      <c r="H701">
        <v>1332.6922606999999</v>
      </c>
      <c r="I701">
        <v>1329.753418</v>
      </c>
      <c r="J701">
        <v>1329.4636230000001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382.485951</v>
      </c>
      <c r="B702" s="1">
        <f>DATE(2011,5,18) + TIME(11,39,46)</f>
        <v>40681.485949074071</v>
      </c>
      <c r="C702">
        <v>80</v>
      </c>
      <c r="D702">
        <v>79.918983459000003</v>
      </c>
      <c r="E702">
        <v>50</v>
      </c>
      <c r="F702">
        <v>48.841247559000003</v>
      </c>
      <c r="G702">
        <v>1333.8551024999999</v>
      </c>
      <c r="H702">
        <v>1332.6929932</v>
      </c>
      <c r="I702">
        <v>1329.7479248</v>
      </c>
      <c r="J702">
        <v>1329.4553223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383.06438600000001</v>
      </c>
      <c r="B703" s="1">
        <f>DATE(2011,5,19) + TIME(1,32,42)</f>
        <v>40682.064375000002</v>
      </c>
      <c r="C703">
        <v>80</v>
      </c>
      <c r="D703">
        <v>79.918914795000006</v>
      </c>
      <c r="E703">
        <v>50</v>
      </c>
      <c r="F703">
        <v>48.810600280999999</v>
      </c>
      <c r="G703">
        <v>1333.8522949000001</v>
      </c>
      <c r="H703">
        <v>1332.6936035000001</v>
      </c>
      <c r="I703">
        <v>1329.7424315999999</v>
      </c>
      <c r="J703">
        <v>1329.4470214999999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383.66055499999999</v>
      </c>
      <c r="B704" s="1">
        <f>DATE(2011,5,19) + TIME(15,51,11)</f>
        <v>40682.660543981481</v>
      </c>
      <c r="C704">
        <v>80</v>
      </c>
      <c r="D704">
        <v>79.918838500999996</v>
      </c>
      <c r="E704">
        <v>50</v>
      </c>
      <c r="F704">
        <v>48.779266356999997</v>
      </c>
      <c r="G704">
        <v>1333.8493652</v>
      </c>
      <c r="H704">
        <v>1332.6942139</v>
      </c>
      <c r="I704">
        <v>1329.7369385</v>
      </c>
      <c r="J704">
        <v>1329.4385986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384.277309</v>
      </c>
      <c r="B705" s="1">
        <f>DATE(2011,5,20) + TIME(6,39,19)</f>
        <v>40683.277303240742</v>
      </c>
      <c r="C705">
        <v>80</v>
      </c>
      <c r="D705">
        <v>79.918746948000006</v>
      </c>
      <c r="E705">
        <v>50</v>
      </c>
      <c r="F705">
        <v>48.747119904000002</v>
      </c>
      <c r="G705">
        <v>1333.8465576000001</v>
      </c>
      <c r="H705">
        <v>1332.6948242000001</v>
      </c>
      <c r="I705">
        <v>1329.7312012</v>
      </c>
      <c r="J705">
        <v>1329.4300536999999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384.91811000000001</v>
      </c>
      <c r="B706" s="1">
        <f>DATE(2011,5,20) + TIME(22,2,4)</f>
        <v>40683.91810185185</v>
      </c>
      <c r="C706">
        <v>80</v>
      </c>
      <c r="D706">
        <v>79.918647766000007</v>
      </c>
      <c r="E706">
        <v>50</v>
      </c>
      <c r="F706">
        <v>48.714012146000002</v>
      </c>
      <c r="G706">
        <v>1333.84375</v>
      </c>
      <c r="H706">
        <v>1332.6954346</v>
      </c>
      <c r="I706">
        <v>1329.7254639</v>
      </c>
      <c r="J706">
        <v>1329.4212646000001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385.58196500000003</v>
      </c>
      <c r="B707" s="1">
        <f>DATE(2011,5,21) + TIME(13,58,1)</f>
        <v>40684.581956018519</v>
      </c>
      <c r="C707">
        <v>80</v>
      </c>
      <c r="D707">
        <v>79.918540954999997</v>
      </c>
      <c r="E707">
        <v>50</v>
      </c>
      <c r="F707">
        <v>48.680000305</v>
      </c>
      <c r="G707">
        <v>1333.8409423999999</v>
      </c>
      <c r="H707">
        <v>1332.6960449000001</v>
      </c>
      <c r="I707">
        <v>1329.7194824000001</v>
      </c>
      <c r="J707">
        <v>1329.4122314000001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386.25317799999999</v>
      </c>
      <c r="B708" s="1">
        <f>DATE(2011,5,22) + TIME(6,4,34)</f>
        <v>40685.253171296295</v>
      </c>
      <c r="C708">
        <v>80</v>
      </c>
      <c r="D708">
        <v>79.918418884000005</v>
      </c>
      <c r="E708">
        <v>50</v>
      </c>
      <c r="F708">
        <v>48.645801544000001</v>
      </c>
      <c r="G708">
        <v>1333.8382568</v>
      </c>
      <c r="H708">
        <v>1332.6966553</v>
      </c>
      <c r="I708">
        <v>1329.7133789</v>
      </c>
      <c r="J708">
        <v>1329.4029541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386.93782199999998</v>
      </c>
      <c r="B709" s="1">
        <f>DATE(2011,5,22) + TIME(22,30,27)</f>
        <v>40685.9378125</v>
      </c>
      <c r="C709">
        <v>80</v>
      </c>
      <c r="D709">
        <v>79.918304442999997</v>
      </c>
      <c r="E709">
        <v>50</v>
      </c>
      <c r="F709">
        <v>48.611141205000003</v>
      </c>
      <c r="G709">
        <v>1333.8354492000001</v>
      </c>
      <c r="H709">
        <v>1332.6973877</v>
      </c>
      <c r="I709">
        <v>1329.7072754000001</v>
      </c>
      <c r="J709">
        <v>1329.3936768000001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387.641434</v>
      </c>
      <c r="B710" s="1">
        <f>DATE(2011,5,23) + TIME(15,23,39)</f>
        <v>40686.641423611109</v>
      </c>
      <c r="C710">
        <v>80</v>
      </c>
      <c r="D710">
        <v>79.918182372999993</v>
      </c>
      <c r="E710">
        <v>50</v>
      </c>
      <c r="F710">
        <v>48.575782775999997</v>
      </c>
      <c r="G710">
        <v>1333.8328856999999</v>
      </c>
      <c r="H710">
        <v>1332.6979980000001</v>
      </c>
      <c r="I710">
        <v>1329.7011719</v>
      </c>
      <c r="J710">
        <v>1329.3843993999999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388.37013000000002</v>
      </c>
      <c r="B711" s="1">
        <f>DATE(2011,5,24) + TIME(8,52,59)</f>
        <v>40687.370127314818</v>
      </c>
      <c r="C711">
        <v>80</v>
      </c>
      <c r="D711">
        <v>79.918052673000005</v>
      </c>
      <c r="E711">
        <v>50</v>
      </c>
      <c r="F711">
        <v>48.539459229000002</v>
      </c>
      <c r="G711">
        <v>1333.8302002</v>
      </c>
      <c r="H711">
        <v>1332.6986084</v>
      </c>
      <c r="I711">
        <v>1329.6949463000001</v>
      </c>
      <c r="J711">
        <v>1329.3748779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389.13065899999998</v>
      </c>
      <c r="B712" s="1">
        <f>DATE(2011,5,25) + TIME(3,8,8)</f>
        <v>40688.130648148152</v>
      </c>
      <c r="C712">
        <v>80</v>
      </c>
      <c r="D712">
        <v>79.917922974000007</v>
      </c>
      <c r="E712">
        <v>50</v>
      </c>
      <c r="F712">
        <v>48.501888274999999</v>
      </c>
      <c r="G712">
        <v>1333.8275146000001</v>
      </c>
      <c r="H712">
        <v>1332.6993408000001</v>
      </c>
      <c r="I712">
        <v>1329.6885986</v>
      </c>
      <c r="J712">
        <v>1329.3651123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389.91557499999999</v>
      </c>
      <c r="B713" s="1">
        <f>DATE(2011,5,25) + TIME(21,58,25)</f>
        <v>40688.915567129632</v>
      </c>
      <c r="C713">
        <v>80</v>
      </c>
      <c r="D713">
        <v>79.917785644999995</v>
      </c>
      <c r="E713">
        <v>50</v>
      </c>
      <c r="F713">
        <v>48.463386536000002</v>
      </c>
      <c r="G713">
        <v>1333.8249512</v>
      </c>
      <c r="H713">
        <v>1332.7000731999999</v>
      </c>
      <c r="I713">
        <v>1329.6820068</v>
      </c>
      <c r="J713">
        <v>1329.3551024999999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390.31914999999998</v>
      </c>
      <c r="B714" s="1">
        <f>DATE(2011,5,26) + TIME(7,39,34)</f>
        <v>40689.319143518522</v>
      </c>
      <c r="C714">
        <v>80</v>
      </c>
      <c r="D714">
        <v>79.917678832999997</v>
      </c>
      <c r="E714">
        <v>50</v>
      </c>
      <c r="F714">
        <v>48.442237853999998</v>
      </c>
      <c r="G714">
        <v>1333.8225098</v>
      </c>
      <c r="H714">
        <v>1332.7009277</v>
      </c>
      <c r="I714">
        <v>1329.6756591999999</v>
      </c>
      <c r="J714">
        <v>1329.3455810999999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390.72272500000003</v>
      </c>
      <c r="B715" s="1">
        <f>DATE(2011,5,26) + TIME(17,20,43)</f>
        <v>40689.722719907404</v>
      </c>
      <c r="C715">
        <v>80</v>
      </c>
      <c r="D715">
        <v>79.917587280000006</v>
      </c>
      <c r="E715">
        <v>50</v>
      </c>
      <c r="F715">
        <v>48.421215056999998</v>
      </c>
      <c r="G715">
        <v>1333.8211670000001</v>
      </c>
      <c r="H715">
        <v>1332.7012939000001</v>
      </c>
      <c r="I715">
        <v>1329.6719971</v>
      </c>
      <c r="J715">
        <v>1329.3398437999999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391.529875</v>
      </c>
      <c r="B716" s="1">
        <f>DATE(2011,5,27) + TIME(12,43,1)</f>
        <v>40690.529872685183</v>
      </c>
      <c r="C716">
        <v>80</v>
      </c>
      <c r="D716">
        <v>79.917488098000007</v>
      </c>
      <c r="E716">
        <v>50</v>
      </c>
      <c r="F716">
        <v>48.382366179999998</v>
      </c>
      <c r="G716">
        <v>1333.8198242000001</v>
      </c>
      <c r="H716">
        <v>1332.7015381000001</v>
      </c>
      <c r="I716">
        <v>1329.6680908000001</v>
      </c>
      <c r="J716">
        <v>1329.3337402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392.33869800000002</v>
      </c>
      <c r="B717" s="1">
        <f>DATE(2011,5,28) + TIME(8,7,43)</f>
        <v>40691.338692129626</v>
      </c>
      <c r="C717">
        <v>80</v>
      </c>
      <c r="D717">
        <v>79.917366028000004</v>
      </c>
      <c r="E717">
        <v>50</v>
      </c>
      <c r="F717">
        <v>48.343482971</v>
      </c>
      <c r="G717">
        <v>1333.8173827999999</v>
      </c>
      <c r="H717">
        <v>1332.7023925999999</v>
      </c>
      <c r="I717">
        <v>1329.661499</v>
      </c>
      <c r="J717">
        <v>1329.3236084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393.16268200000002</v>
      </c>
      <c r="B718" s="1">
        <f>DATE(2011,5,29) + TIME(3,54,15)</f>
        <v>40692.162673611114</v>
      </c>
      <c r="C718">
        <v>80</v>
      </c>
      <c r="D718">
        <v>79.917243958</v>
      </c>
      <c r="E718">
        <v>50</v>
      </c>
      <c r="F718">
        <v>48.304031371999997</v>
      </c>
      <c r="G718">
        <v>1333.8150635</v>
      </c>
      <c r="H718">
        <v>1332.703125</v>
      </c>
      <c r="I718">
        <v>1329.6549072</v>
      </c>
      <c r="J718">
        <v>1329.3134766000001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394.00480199999998</v>
      </c>
      <c r="B719" s="1">
        <f>DATE(2011,5,30) + TIME(0,6,54)</f>
        <v>40693.004791666666</v>
      </c>
      <c r="C719">
        <v>80</v>
      </c>
      <c r="D719">
        <v>79.917121886999993</v>
      </c>
      <c r="E719">
        <v>50</v>
      </c>
      <c r="F719">
        <v>48.263881683000001</v>
      </c>
      <c r="G719">
        <v>1333.8127440999999</v>
      </c>
      <c r="H719">
        <v>1332.7037353999999</v>
      </c>
      <c r="I719">
        <v>1329.6483154</v>
      </c>
      <c r="J719">
        <v>1329.3033447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394.86970500000001</v>
      </c>
      <c r="B720" s="1">
        <f>DATE(2011,5,30) + TIME(20,52,22)</f>
        <v>40693.869699074072</v>
      </c>
      <c r="C720">
        <v>80</v>
      </c>
      <c r="D720">
        <v>79.917007446</v>
      </c>
      <c r="E720">
        <v>50</v>
      </c>
      <c r="F720">
        <v>48.222850800000003</v>
      </c>
      <c r="G720">
        <v>1333.8105469</v>
      </c>
      <c r="H720">
        <v>1332.7044678</v>
      </c>
      <c r="I720">
        <v>1329.6416016000001</v>
      </c>
      <c r="J720">
        <v>1329.2929687999999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395.76562999999999</v>
      </c>
      <c r="B721" s="1">
        <f>DATE(2011,5,31) + TIME(18,22,30)</f>
        <v>40694.765625</v>
      </c>
      <c r="C721">
        <v>80</v>
      </c>
      <c r="D721">
        <v>79.916885375999996</v>
      </c>
      <c r="E721">
        <v>50</v>
      </c>
      <c r="F721">
        <v>48.180606842000003</v>
      </c>
      <c r="G721">
        <v>1333.8083495999999</v>
      </c>
      <c r="H721">
        <v>1332.7052002</v>
      </c>
      <c r="I721">
        <v>1329.6347656</v>
      </c>
      <c r="J721">
        <v>1329.2824707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396</v>
      </c>
      <c r="B722" s="1">
        <f>DATE(2011,6,1) + TIME(0,0,0)</f>
        <v>40695</v>
      </c>
      <c r="C722">
        <v>80</v>
      </c>
      <c r="D722">
        <v>79.916824340999995</v>
      </c>
      <c r="E722">
        <v>50</v>
      </c>
      <c r="F722">
        <v>48.168056487999998</v>
      </c>
      <c r="G722">
        <v>1333.8062743999999</v>
      </c>
      <c r="H722">
        <v>1332.7059326000001</v>
      </c>
      <c r="I722">
        <v>1329.6282959</v>
      </c>
      <c r="J722">
        <v>1329.2727050999999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396.93616100000003</v>
      </c>
      <c r="B723" s="1">
        <f>DATE(2011,6,1) + TIME(22,28,4)</f>
        <v>40695.936157407406</v>
      </c>
      <c r="C723">
        <v>80</v>
      </c>
      <c r="D723">
        <v>79.916725158999995</v>
      </c>
      <c r="E723">
        <v>50</v>
      </c>
      <c r="F723">
        <v>48.124477386000002</v>
      </c>
      <c r="G723">
        <v>1333.8055420000001</v>
      </c>
      <c r="H723">
        <v>1332.7060547000001</v>
      </c>
      <c r="I723">
        <v>1329.6257324000001</v>
      </c>
      <c r="J723">
        <v>1329.2684326000001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397.88083699999999</v>
      </c>
      <c r="B724" s="1">
        <f>DATE(2011,6,2) + TIME(21,8,24)</f>
        <v>40696.880833333336</v>
      </c>
      <c r="C724">
        <v>80</v>
      </c>
      <c r="D724">
        <v>79.916618346999996</v>
      </c>
      <c r="E724">
        <v>50</v>
      </c>
      <c r="F724">
        <v>48.080493926999999</v>
      </c>
      <c r="G724">
        <v>1333.8033447</v>
      </c>
      <c r="H724">
        <v>1332.7067870999999</v>
      </c>
      <c r="I724">
        <v>1329.6186522999999</v>
      </c>
      <c r="J724">
        <v>1329.2575684000001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398.827494</v>
      </c>
      <c r="B725" s="1">
        <f>DATE(2011,6,3) + TIME(19,51,35)</f>
        <v>40697.827488425923</v>
      </c>
      <c r="C725">
        <v>80</v>
      </c>
      <c r="D725">
        <v>79.916511536000002</v>
      </c>
      <c r="E725">
        <v>50</v>
      </c>
      <c r="F725">
        <v>48.036369323999999</v>
      </c>
      <c r="G725">
        <v>1333.8012695</v>
      </c>
      <c r="H725">
        <v>1332.7075195</v>
      </c>
      <c r="I725">
        <v>1329.6115723</v>
      </c>
      <c r="J725">
        <v>1329.246582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399.78522199999998</v>
      </c>
      <c r="B726" s="1">
        <f>DATE(2011,6,4) + TIME(18,50,43)</f>
        <v>40698.785219907404</v>
      </c>
      <c r="C726">
        <v>80</v>
      </c>
      <c r="D726">
        <v>79.916404724000003</v>
      </c>
      <c r="E726">
        <v>50</v>
      </c>
      <c r="F726">
        <v>47.991783142000003</v>
      </c>
      <c r="G726">
        <v>1333.7993164</v>
      </c>
      <c r="H726">
        <v>1332.7082519999999</v>
      </c>
      <c r="I726">
        <v>1329.6046143000001</v>
      </c>
      <c r="J726">
        <v>1329.2355957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400.76325100000003</v>
      </c>
      <c r="B727" s="1">
        <f>DATE(2011,6,5) + TIME(18,19,4)</f>
        <v>40699.763240740744</v>
      </c>
      <c r="C727">
        <v>80</v>
      </c>
      <c r="D727">
        <v>79.916305542000003</v>
      </c>
      <c r="E727">
        <v>50</v>
      </c>
      <c r="F727">
        <v>47.946388245000001</v>
      </c>
      <c r="G727">
        <v>1333.7973632999999</v>
      </c>
      <c r="H727">
        <v>1332.7089844</v>
      </c>
      <c r="I727">
        <v>1329.5975341999999</v>
      </c>
      <c r="J727">
        <v>1329.2246094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401.77046999999999</v>
      </c>
      <c r="B728" s="1">
        <f>DATE(2011,6,6) + TIME(18,29,28)</f>
        <v>40700.770462962966</v>
      </c>
      <c r="C728">
        <v>80</v>
      </c>
      <c r="D728">
        <v>79.916206360000004</v>
      </c>
      <c r="E728">
        <v>50</v>
      </c>
      <c r="F728">
        <v>47.899860382</v>
      </c>
      <c r="G728">
        <v>1333.7954102000001</v>
      </c>
      <c r="H728">
        <v>1332.7095947</v>
      </c>
      <c r="I728">
        <v>1329.5904541</v>
      </c>
      <c r="J728">
        <v>1329.213501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402.81094400000001</v>
      </c>
      <c r="B729" s="1">
        <f>DATE(2011,6,7) + TIME(19,27,45)</f>
        <v>40701.810937499999</v>
      </c>
      <c r="C729">
        <v>80</v>
      </c>
      <c r="D729">
        <v>79.916114807</v>
      </c>
      <c r="E729">
        <v>50</v>
      </c>
      <c r="F729">
        <v>47.852046967</v>
      </c>
      <c r="G729">
        <v>1333.793457</v>
      </c>
      <c r="H729">
        <v>1332.7103271000001</v>
      </c>
      <c r="I729">
        <v>1329.583374</v>
      </c>
      <c r="J729">
        <v>1329.2022704999999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403.88437099999999</v>
      </c>
      <c r="B730" s="1">
        <f>DATE(2011,6,8) + TIME(21,13,29)</f>
        <v>40702.884363425925</v>
      </c>
      <c r="C730">
        <v>80</v>
      </c>
      <c r="D730">
        <v>79.916023253999995</v>
      </c>
      <c r="E730">
        <v>50</v>
      </c>
      <c r="F730">
        <v>47.802974700999997</v>
      </c>
      <c r="G730">
        <v>1333.7915039</v>
      </c>
      <c r="H730">
        <v>1332.7110596</v>
      </c>
      <c r="I730">
        <v>1329.5760498</v>
      </c>
      <c r="J730">
        <v>1329.1907959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404.98755399999999</v>
      </c>
      <c r="B731" s="1">
        <f>DATE(2011,6,9) + TIME(23,42,4)</f>
        <v>40703.987546296295</v>
      </c>
      <c r="C731">
        <v>80</v>
      </c>
      <c r="D731">
        <v>79.915939331000004</v>
      </c>
      <c r="E731">
        <v>50</v>
      </c>
      <c r="F731">
        <v>47.752784728999998</v>
      </c>
      <c r="G731">
        <v>1333.7896728999999</v>
      </c>
      <c r="H731">
        <v>1332.7116699000001</v>
      </c>
      <c r="I731">
        <v>1329.5686035000001</v>
      </c>
      <c r="J731">
        <v>1329.1790771000001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406.09234700000002</v>
      </c>
      <c r="B732" s="1">
        <f>DATE(2011,6,11) + TIME(2,12,58)</f>
        <v>40705.09233796296</v>
      </c>
      <c r="C732">
        <v>80</v>
      </c>
      <c r="D732">
        <v>79.915863036999994</v>
      </c>
      <c r="E732">
        <v>50</v>
      </c>
      <c r="F732">
        <v>47.702545166</v>
      </c>
      <c r="G732">
        <v>1333.7878418</v>
      </c>
      <c r="H732">
        <v>1332.7124022999999</v>
      </c>
      <c r="I732">
        <v>1329.5612793</v>
      </c>
      <c r="J732">
        <v>1329.1672363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407.202923</v>
      </c>
      <c r="B733" s="1">
        <f>DATE(2011,6,12) + TIME(4,52,12)</f>
        <v>40706.202916666669</v>
      </c>
      <c r="C733">
        <v>80</v>
      </c>
      <c r="D733">
        <v>79.915779114000003</v>
      </c>
      <c r="E733">
        <v>50</v>
      </c>
      <c r="F733">
        <v>47.652221679999997</v>
      </c>
      <c r="G733">
        <v>1333.7860106999999</v>
      </c>
      <c r="H733">
        <v>1332.7131348</v>
      </c>
      <c r="I733">
        <v>1329.5538329999999</v>
      </c>
      <c r="J733">
        <v>1329.1553954999999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408.32986199999999</v>
      </c>
      <c r="B734" s="1">
        <f>DATE(2011,6,13) + TIME(7,55,0)</f>
        <v>40707.329861111109</v>
      </c>
      <c r="C734">
        <v>80</v>
      </c>
      <c r="D734">
        <v>79.915710449000002</v>
      </c>
      <c r="E734">
        <v>50</v>
      </c>
      <c r="F734">
        <v>47.601573944000002</v>
      </c>
      <c r="G734">
        <v>1333.7843018000001</v>
      </c>
      <c r="H734">
        <v>1332.7137451000001</v>
      </c>
      <c r="I734">
        <v>1329.5465088000001</v>
      </c>
      <c r="J734">
        <v>1329.1436768000001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409.48439200000001</v>
      </c>
      <c r="B735" s="1">
        <f>DATE(2011,6,14) + TIME(11,37,31)</f>
        <v>40708.484386574077</v>
      </c>
      <c r="C735">
        <v>80</v>
      </c>
      <c r="D735">
        <v>79.915641785000005</v>
      </c>
      <c r="E735">
        <v>50</v>
      </c>
      <c r="F735">
        <v>47.550357818999998</v>
      </c>
      <c r="G735">
        <v>1333.7827147999999</v>
      </c>
      <c r="H735">
        <v>1332.7143555</v>
      </c>
      <c r="I735">
        <v>1329.5393065999999</v>
      </c>
      <c r="J735">
        <v>1329.1319579999999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410.67853700000001</v>
      </c>
      <c r="B736" s="1">
        <f>DATE(2011,6,15) + TIME(16,17,5)</f>
        <v>40709.678530092591</v>
      </c>
      <c r="C736">
        <v>80</v>
      </c>
      <c r="D736">
        <v>79.915580750000004</v>
      </c>
      <c r="E736">
        <v>50</v>
      </c>
      <c r="F736">
        <v>47.49835968</v>
      </c>
      <c r="G736">
        <v>1333.7810059000001</v>
      </c>
      <c r="H736">
        <v>1332.7149658000001</v>
      </c>
      <c r="I736">
        <v>1329.5319824000001</v>
      </c>
      <c r="J736">
        <v>1329.1201172000001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411.92437999999999</v>
      </c>
      <c r="B737" s="1">
        <f>DATE(2011,6,16) + TIME(22,11,6)</f>
        <v>40710.924375000002</v>
      </c>
      <c r="C737">
        <v>80</v>
      </c>
      <c r="D737">
        <v>79.915519713999998</v>
      </c>
      <c r="E737">
        <v>50</v>
      </c>
      <c r="F737">
        <v>47.445461272999999</v>
      </c>
      <c r="G737">
        <v>1333.7788086</v>
      </c>
      <c r="H737">
        <v>1332.715332</v>
      </c>
      <c r="I737">
        <v>1329.5246582</v>
      </c>
      <c r="J737">
        <v>1329.1080322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413.17452700000001</v>
      </c>
      <c r="B738" s="1">
        <f>DATE(2011,6,18) + TIME(4,11,19)</f>
        <v>40712.174525462964</v>
      </c>
      <c r="C738">
        <v>80</v>
      </c>
      <c r="D738">
        <v>79.915451050000001</v>
      </c>
      <c r="E738">
        <v>50</v>
      </c>
      <c r="F738">
        <v>47.393550873000002</v>
      </c>
      <c r="G738">
        <v>1333.7767334</v>
      </c>
      <c r="H738">
        <v>1332.7156981999999</v>
      </c>
      <c r="I738">
        <v>1329.5170897999999</v>
      </c>
      <c r="J738">
        <v>1329.0957031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414.427165</v>
      </c>
      <c r="B739" s="1">
        <f>DATE(2011,6,19) + TIME(10,15,7)</f>
        <v>40713.427164351851</v>
      </c>
      <c r="C739">
        <v>80</v>
      </c>
      <c r="D739">
        <v>79.915390015</v>
      </c>
      <c r="E739">
        <v>50</v>
      </c>
      <c r="F739">
        <v>47.343170166</v>
      </c>
      <c r="G739">
        <v>1333.7746582</v>
      </c>
      <c r="H739">
        <v>1332.7160644999999</v>
      </c>
      <c r="I739">
        <v>1329.5097656</v>
      </c>
      <c r="J739">
        <v>1329.0834961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415.695831</v>
      </c>
      <c r="B740" s="1">
        <f>DATE(2011,6,20) + TIME(16,41,59)</f>
        <v>40714.695821759262</v>
      </c>
      <c r="C740">
        <v>80</v>
      </c>
      <c r="D740">
        <v>79.915336608999993</v>
      </c>
      <c r="E740">
        <v>50</v>
      </c>
      <c r="F740">
        <v>47.294490814</v>
      </c>
      <c r="G740">
        <v>1333.7728271000001</v>
      </c>
      <c r="H740">
        <v>1332.7164307</v>
      </c>
      <c r="I740">
        <v>1329.5025635</v>
      </c>
      <c r="J740">
        <v>1329.0714111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416.99404900000002</v>
      </c>
      <c r="B741" s="1">
        <f>DATE(2011,6,21) + TIME(23,51,25)</f>
        <v>40715.994039351855</v>
      </c>
      <c r="C741">
        <v>80</v>
      </c>
      <c r="D741">
        <v>79.915283203000001</v>
      </c>
      <c r="E741">
        <v>50</v>
      </c>
      <c r="F741">
        <v>47.247840881000002</v>
      </c>
      <c r="G741">
        <v>1333.7709961</v>
      </c>
      <c r="H741">
        <v>1332.7167969</v>
      </c>
      <c r="I741">
        <v>1329.4953613</v>
      </c>
      <c r="J741">
        <v>1329.0593262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418.33202499999999</v>
      </c>
      <c r="B742" s="1">
        <f>DATE(2011,6,23) + TIME(7,58,6)</f>
        <v>40717.332013888888</v>
      </c>
      <c r="C742">
        <v>80</v>
      </c>
      <c r="D742">
        <v>79.915237426999994</v>
      </c>
      <c r="E742">
        <v>50</v>
      </c>
      <c r="F742">
        <v>47.203865051000001</v>
      </c>
      <c r="G742">
        <v>1333.7691649999999</v>
      </c>
      <c r="H742">
        <v>1332.7171631000001</v>
      </c>
      <c r="I742">
        <v>1329.4882812000001</v>
      </c>
      <c r="J742">
        <v>1329.0472411999999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419.70937600000002</v>
      </c>
      <c r="B743" s="1">
        <f>DATE(2011,6,24) + TIME(17,1,30)</f>
        <v>40718.709374999999</v>
      </c>
      <c r="C743">
        <v>80</v>
      </c>
      <c r="D743">
        <v>79.915206909000005</v>
      </c>
      <c r="E743">
        <v>50</v>
      </c>
      <c r="F743">
        <v>47.163761139000002</v>
      </c>
      <c r="G743">
        <v>1333.7674560999999</v>
      </c>
      <c r="H743">
        <v>1332.7176514</v>
      </c>
      <c r="I743">
        <v>1329.4812012</v>
      </c>
      <c r="J743">
        <v>1329.0350341999999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421.14261900000002</v>
      </c>
      <c r="B744" s="1">
        <f>DATE(2011,6,26) + TIME(3,25,22)</f>
        <v>40720.14261574074</v>
      </c>
      <c r="C744">
        <v>80</v>
      </c>
      <c r="D744">
        <v>79.915168761999993</v>
      </c>
      <c r="E744">
        <v>50</v>
      </c>
      <c r="F744">
        <v>47.128711699999997</v>
      </c>
      <c r="G744">
        <v>1333.7658690999999</v>
      </c>
      <c r="H744">
        <v>1332.7181396000001</v>
      </c>
      <c r="I744">
        <v>1329.4742432</v>
      </c>
      <c r="J744">
        <v>1329.0228271000001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422.57643400000001</v>
      </c>
      <c r="B745" s="1">
        <f>DATE(2011,6,27) + TIME(13,50,3)</f>
        <v>40721.576423611114</v>
      </c>
      <c r="C745">
        <v>80</v>
      </c>
      <c r="D745">
        <v>79.915145874000004</v>
      </c>
      <c r="E745">
        <v>50</v>
      </c>
      <c r="F745">
        <v>47.101497649999999</v>
      </c>
      <c r="G745">
        <v>1333.7641602000001</v>
      </c>
      <c r="H745">
        <v>1332.7185059000001</v>
      </c>
      <c r="I745">
        <v>1329.4671631000001</v>
      </c>
      <c r="J745">
        <v>1329.0104980000001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424.01522499999999</v>
      </c>
      <c r="B746" s="1">
        <f>DATE(2011,6,29) + TIME(0,21,55)</f>
        <v>40723.015219907407</v>
      </c>
      <c r="C746">
        <v>80</v>
      </c>
      <c r="D746">
        <v>79.915122986</v>
      </c>
      <c r="E746">
        <v>50</v>
      </c>
      <c r="F746">
        <v>47.083782196000001</v>
      </c>
      <c r="G746">
        <v>1333.7626952999999</v>
      </c>
      <c r="H746">
        <v>1332.7189940999999</v>
      </c>
      <c r="I746">
        <v>1329.4604492000001</v>
      </c>
      <c r="J746">
        <v>1328.9984131000001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425.47538400000002</v>
      </c>
      <c r="B747" s="1">
        <f>DATE(2011,6,30) + TIME(11,24,33)</f>
        <v>40724.475381944445</v>
      </c>
      <c r="C747">
        <v>80</v>
      </c>
      <c r="D747">
        <v>79.915107727000006</v>
      </c>
      <c r="E747">
        <v>50</v>
      </c>
      <c r="F747">
        <v>47.077365874999998</v>
      </c>
      <c r="G747">
        <v>1333.7612305</v>
      </c>
      <c r="H747">
        <v>1332.7194824000001</v>
      </c>
      <c r="I747">
        <v>1329.4538574000001</v>
      </c>
      <c r="J747">
        <v>1328.9864502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426</v>
      </c>
      <c r="B748" s="1">
        <f>DATE(2011,7,1) + TIME(0,0,0)</f>
        <v>40725</v>
      </c>
      <c r="C748">
        <v>80</v>
      </c>
      <c r="D748">
        <v>79.915069579999994</v>
      </c>
      <c r="E748">
        <v>50</v>
      </c>
      <c r="F748">
        <v>47.080532073999997</v>
      </c>
      <c r="G748">
        <v>1333.7597656</v>
      </c>
      <c r="H748">
        <v>1332.7199707</v>
      </c>
      <c r="I748">
        <v>1329.447876</v>
      </c>
      <c r="J748">
        <v>1328.9755858999999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427.49776600000001</v>
      </c>
      <c r="B749" s="1">
        <f>DATE(2011,7,2) + TIME(11,56,47)</f>
        <v>40726.497766203705</v>
      </c>
      <c r="C749">
        <v>80</v>
      </c>
      <c r="D749">
        <v>79.915084839000002</v>
      </c>
      <c r="E749">
        <v>50</v>
      </c>
      <c r="F749">
        <v>47.093231201000002</v>
      </c>
      <c r="G749">
        <v>1333.7592772999999</v>
      </c>
      <c r="H749">
        <v>1332.7200928</v>
      </c>
      <c r="I749">
        <v>1329.4447021000001</v>
      </c>
      <c r="J749">
        <v>1328.9698486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429.07588399999997</v>
      </c>
      <c r="B750" s="1">
        <f>DATE(2011,7,4) + TIME(1,49,16)</f>
        <v>40728.075879629629</v>
      </c>
      <c r="C750">
        <v>80</v>
      </c>
      <c r="D750">
        <v>79.915092467999997</v>
      </c>
      <c r="E750">
        <v>50</v>
      </c>
      <c r="F750">
        <v>47.124023438000002</v>
      </c>
      <c r="G750">
        <v>1333.7579346</v>
      </c>
      <c r="H750">
        <v>1332.7204589999999</v>
      </c>
      <c r="I750">
        <v>1329.4388428</v>
      </c>
      <c r="J750">
        <v>1328.9587402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429.88360499999999</v>
      </c>
      <c r="B751" s="1">
        <f>DATE(2011,7,4) + TIME(21,12,23)</f>
        <v>40728.883599537039</v>
      </c>
      <c r="C751">
        <v>80</v>
      </c>
      <c r="D751">
        <v>79.915061950999998</v>
      </c>
      <c r="E751">
        <v>50</v>
      </c>
      <c r="F751">
        <v>47.155326842999997</v>
      </c>
      <c r="G751">
        <v>1333.7565918</v>
      </c>
      <c r="H751">
        <v>1332.7209473</v>
      </c>
      <c r="I751">
        <v>1329.4332274999999</v>
      </c>
      <c r="J751">
        <v>1328.9481201000001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430.691326</v>
      </c>
      <c r="B752" s="1">
        <f>DATE(2011,7,5) + TIME(16,35,30)</f>
        <v>40729.691319444442</v>
      </c>
      <c r="C752">
        <v>80</v>
      </c>
      <c r="D752">
        <v>79.915054321</v>
      </c>
      <c r="E752">
        <v>50</v>
      </c>
      <c r="F752">
        <v>47.192924499999997</v>
      </c>
      <c r="G752">
        <v>1333.7558594</v>
      </c>
      <c r="H752">
        <v>1332.7211914</v>
      </c>
      <c r="I752">
        <v>1329.4298096</v>
      </c>
      <c r="J752">
        <v>1328.9416504000001</v>
      </c>
      <c r="K752">
        <v>550</v>
      </c>
      <c r="L752">
        <v>0</v>
      </c>
      <c r="M752">
        <v>0</v>
      </c>
      <c r="N752">
        <v>550</v>
      </c>
    </row>
    <row r="753" spans="1:14" x14ac:dyDescent="0.25">
      <c r="A753">
        <v>431.49904700000002</v>
      </c>
      <c r="B753" s="1">
        <f>DATE(2011,7,6) + TIME(11,58,37)</f>
        <v>40730.499039351853</v>
      </c>
      <c r="C753">
        <v>80</v>
      </c>
      <c r="D753">
        <v>79.915046692000004</v>
      </c>
      <c r="E753">
        <v>50</v>
      </c>
      <c r="F753">
        <v>47.237117767000001</v>
      </c>
      <c r="G753">
        <v>1333.755249</v>
      </c>
      <c r="H753">
        <v>1332.7214355000001</v>
      </c>
      <c r="I753">
        <v>1329.4266356999999</v>
      </c>
      <c r="J753">
        <v>1328.9355469</v>
      </c>
      <c r="K753">
        <v>550</v>
      </c>
      <c r="L753">
        <v>0</v>
      </c>
      <c r="M753">
        <v>0</v>
      </c>
      <c r="N753">
        <v>550</v>
      </c>
    </row>
    <row r="754" spans="1:14" x14ac:dyDescent="0.25">
      <c r="A754">
        <v>433.11448999999999</v>
      </c>
      <c r="B754" s="1">
        <f>DATE(2011,7,8) + TIME(2,44,51)</f>
        <v>40732.114479166667</v>
      </c>
      <c r="C754">
        <v>80</v>
      </c>
      <c r="D754">
        <v>79.915100097999996</v>
      </c>
      <c r="E754">
        <v>50</v>
      </c>
      <c r="F754">
        <v>47.322753906000003</v>
      </c>
      <c r="G754">
        <v>1333.7546387</v>
      </c>
      <c r="H754">
        <v>1332.7216797000001</v>
      </c>
      <c r="I754">
        <v>1329.4232178</v>
      </c>
      <c r="J754">
        <v>1328.9290771000001</v>
      </c>
      <c r="K754">
        <v>550</v>
      </c>
      <c r="L754">
        <v>0</v>
      </c>
      <c r="M754">
        <v>0</v>
      </c>
      <c r="N754">
        <v>550</v>
      </c>
    </row>
    <row r="755" spans="1:14" x14ac:dyDescent="0.25">
      <c r="A755">
        <v>434.73678999999998</v>
      </c>
      <c r="B755" s="1">
        <f>DATE(2011,7,9) + TIME(17,40,58)</f>
        <v>40733.73678240741</v>
      </c>
      <c r="C755">
        <v>80</v>
      </c>
      <c r="D755">
        <v>79.915138244999994</v>
      </c>
      <c r="E755">
        <v>50</v>
      </c>
      <c r="F755">
        <v>47.437980652</v>
      </c>
      <c r="G755">
        <v>1333.7532959</v>
      </c>
      <c r="H755">
        <v>1332.7220459</v>
      </c>
      <c r="I755">
        <v>1329.418457</v>
      </c>
      <c r="J755">
        <v>1328.9195557</v>
      </c>
      <c r="K755">
        <v>550</v>
      </c>
      <c r="L755">
        <v>0</v>
      </c>
      <c r="M755">
        <v>0</v>
      </c>
      <c r="N755">
        <v>550</v>
      </c>
    </row>
    <row r="756" spans="1:14" x14ac:dyDescent="0.25">
      <c r="A756">
        <v>436.410235</v>
      </c>
      <c r="B756" s="1">
        <f>DATE(2011,7,11) + TIME(9,50,44)</f>
        <v>40735.410231481481</v>
      </c>
      <c r="C756">
        <v>80</v>
      </c>
      <c r="D756">
        <v>79.915161132999998</v>
      </c>
      <c r="E756">
        <v>50</v>
      </c>
      <c r="F756">
        <v>47.587089538999997</v>
      </c>
      <c r="G756">
        <v>1333.7521973</v>
      </c>
      <c r="H756">
        <v>1332.7225341999999</v>
      </c>
      <c r="I756">
        <v>1329.4138184000001</v>
      </c>
      <c r="J756">
        <v>1328.9102783000001</v>
      </c>
      <c r="K756">
        <v>550</v>
      </c>
      <c r="L756">
        <v>0</v>
      </c>
      <c r="M756">
        <v>0</v>
      </c>
      <c r="N756">
        <v>550</v>
      </c>
    </row>
    <row r="757" spans="1:14" x14ac:dyDescent="0.25">
      <c r="A757">
        <v>438.15349400000002</v>
      </c>
      <c r="B757" s="1">
        <f>DATE(2011,7,13) + TIME(3,41,1)</f>
        <v>40737.153483796297</v>
      </c>
      <c r="C757">
        <v>80</v>
      </c>
      <c r="D757">
        <v>79.915199279999996</v>
      </c>
      <c r="E757">
        <v>50</v>
      </c>
      <c r="F757">
        <v>47.775226592999999</v>
      </c>
      <c r="G757">
        <v>1333.7509766000001</v>
      </c>
      <c r="H757">
        <v>1332.7230225000001</v>
      </c>
      <c r="I757">
        <v>1329.4093018000001</v>
      </c>
      <c r="J757">
        <v>1328.9012451000001</v>
      </c>
      <c r="K757">
        <v>550</v>
      </c>
      <c r="L757">
        <v>0</v>
      </c>
      <c r="M757">
        <v>0</v>
      </c>
      <c r="N757">
        <v>550</v>
      </c>
    </row>
    <row r="758" spans="1:14" x14ac:dyDescent="0.25">
      <c r="A758">
        <v>439.970373</v>
      </c>
      <c r="B758" s="1">
        <f>DATE(2011,7,14) + TIME(23,17,20)</f>
        <v>40738.970370370371</v>
      </c>
      <c r="C758">
        <v>80</v>
      </c>
      <c r="D758">
        <v>79.915237426999994</v>
      </c>
      <c r="E758">
        <v>50</v>
      </c>
      <c r="F758">
        <v>48.007526398000003</v>
      </c>
      <c r="G758">
        <v>1333.7497559000001</v>
      </c>
      <c r="H758">
        <v>1332.7235106999999</v>
      </c>
      <c r="I758">
        <v>1329.4051514</v>
      </c>
      <c r="J758">
        <v>1328.8924560999999</v>
      </c>
      <c r="K758">
        <v>550</v>
      </c>
      <c r="L758">
        <v>0</v>
      </c>
      <c r="M758">
        <v>0</v>
      </c>
      <c r="N758">
        <v>550</v>
      </c>
    </row>
    <row r="759" spans="1:14" x14ac:dyDescent="0.25">
      <c r="A759">
        <v>441.82124199999998</v>
      </c>
      <c r="B759" s="1">
        <f>DATE(2011,7,16) + TIME(19,42,35)</f>
        <v>40740.821238425924</v>
      </c>
      <c r="C759">
        <v>80</v>
      </c>
      <c r="D759">
        <v>79.915283203000001</v>
      </c>
      <c r="E759">
        <v>50</v>
      </c>
      <c r="F759">
        <v>48.284908295000001</v>
      </c>
      <c r="G759">
        <v>1333.7486572</v>
      </c>
      <c r="H759">
        <v>1332.723999</v>
      </c>
      <c r="I759">
        <v>1329.4011230000001</v>
      </c>
      <c r="J759">
        <v>1328.8840332</v>
      </c>
      <c r="K759">
        <v>550</v>
      </c>
      <c r="L759">
        <v>0</v>
      </c>
      <c r="M759">
        <v>0</v>
      </c>
      <c r="N759">
        <v>550</v>
      </c>
    </row>
    <row r="760" spans="1:14" x14ac:dyDescent="0.25">
      <c r="A760">
        <v>443.67386099999999</v>
      </c>
      <c r="B760" s="1">
        <f>DATE(2011,7,18) + TIME(16,10,21)</f>
        <v>40742.673854166664</v>
      </c>
      <c r="C760">
        <v>80</v>
      </c>
      <c r="D760">
        <v>79.915321349999999</v>
      </c>
      <c r="E760">
        <v>50</v>
      </c>
      <c r="F760">
        <v>48.605026244999998</v>
      </c>
      <c r="G760">
        <v>1333.7475586</v>
      </c>
      <c r="H760">
        <v>1332.7243652</v>
      </c>
      <c r="I760">
        <v>1329.3974608999999</v>
      </c>
      <c r="J760">
        <v>1328.8762207</v>
      </c>
      <c r="K760">
        <v>550</v>
      </c>
      <c r="L760">
        <v>0</v>
      </c>
      <c r="M760">
        <v>0</v>
      </c>
      <c r="N760">
        <v>550</v>
      </c>
    </row>
    <row r="761" spans="1:14" x14ac:dyDescent="0.25">
      <c r="A761">
        <v>445.553133</v>
      </c>
      <c r="B761" s="1">
        <f>DATE(2011,7,20) + TIME(13,16,30)</f>
        <v>40744.553124999999</v>
      </c>
      <c r="C761">
        <v>80</v>
      </c>
      <c r="D761">
        <v>79.915374756000006</v>
      </c>
      <c r="E761">
        <v>50</v>
      </c>
      <c r="F761">
        <v>48.968582153</v>
      </c>
      <c r="G761">
        <v>1333.7464600000001</v>
      </c>
      <c r="H761">
        <v>1332.7248535000001</v>
      </c>
      <c r="I761">
        <v>1329.3941649999999</v>
      </c>
      <c r="J761">
        <v>1328.8691406</v>
      </c>
      <c r="K761">
        <v>550</v>
      </c>
      <c r="L761">
        <v>0</v>
      </c>
      <c r="M761">
        <v>0</v>
      </c>
      <c r="N761">
        <v>550</v>
      </c>
    </row>
    <row r="762" spans="1:14" x14ac:dyDescent="0.25">
      <c r="A762">
        <v>447.48384399999998</v>
      </c>
      <c r="B762" s="1">
        <f>DATE(2011,7,22) + TIME(11,36,44)</f>
        <v>40746.483842592592</v>
      </c>
      <c r="C762">
        <v>80</v>
      </c>
      <c r="D762">
        <v>79.915435790999993</v>
      </c>
      <c r="E762">
        <v>50</v>
      </c>
      <c r="F762">
        <v>49.377193450999997</v>
      </c>
      <c r="G762">
        <v>1333.7453613</v>
      </c>
      <c r="H762">
        <v>1332.7253418</v>
      </c>
      <c r="I762">
        <v>1329.3912353999999</v>
      </c>
      <c r="J762">
        <v>1328.862793</v>
      </c>
      <c r="K762">
        <v>550</v>
      </c>
      <c r="L762">
        <v>0</v>
      </c>
      <c r="M762">
        <v>0</v>
      </c>
      <c r="N762">
        <v>550</v>
      </c>
    </row>
    <row r="763" spans="1:14" x14ac:dyDescent="0.25">
      <c r="A763">
        <v>449.49141200000003</v>
      </c>
      <c r="B763" s="1">
        <f>DATE(2011,7,24) + TIME(11,47,38)</f>
        <v>40748.491412037038</v>
      </c>
      <c r="C763">
        <v>80</v>
      </c>
      <c r="D763">
        <v>79.915496825999995</v>
      </c>
      <c r="E763">
        <v>50</v>
      </c>
      <c r="F763">
        <v>49.832538605000003</v>
      </c>
      <c r="G763">
        <v>1333.7443848</v>
      </c>
      <c r="H763">
        <v>1332.7258300999999</v>
      </c>
      <c r="I763">
        <v>1329.3885498</v>
      </c>
      <c r="J763">
        <v>1328.8570557</v>
      </c>
      <c r="K763">
        <v>550</v>
      </c>
      <c r="L763">
        <v>0</v>
      </c>
      <c r="M763">
        <v>0</v>
      </c>
      <c r="N763">
        <v>550</v>
      </c>
    </row>
    <row r="764" spans="1:14" x14ac:dyDescent="0.25">
      <c r="A764">
        <v>451.55767900000001</v>
      </c>
      <c r="B764" s="1">
        <f>DATE(2011,7,26) + TIME(13,23,3)</f>
        <v>40750.557673611111</v>
      </c>
      <c r="C764">
        <v>80</v>
      </c>
      <c r="D764">
        <v>79.915565490999995</v>
      </c>
      <c r="E764">
        <v>50</v>
      </c>
      <c r="F764">
        <v>50.329853057999998</v>
      </c>
      <c r="G764">
        <v>1333.7434082</v>
      </c>
      <c r="H764">
        <v>1332.7263184000001</v>
      </c>
      <c r="I764">
        <v>1329.3862305</v>
      </c>
      <c r="J764">
        <v>1328.8519286999999</v>
      </c>
      <c r="K764">
        <v>550</v>
      </c>
      <c r="L764">
        <v>0</v>
      </c>
      <c r="M764">
        <v>0</v>
      </c>
      <c r="N764">
        <v>550</v>
      </c>
    </row>
    <row r="765" spans="1:14" x14ac:dyDescent="0.25">
      <c r="A765">
        <v>453.62571500000001</v>
      </c>
      <c r="B765" s="1">
        <f>DATE(2011,7,28) + TIME(15,1,1)</f>
        <v>40752.625706018516</v>
      </c>
      <c r="C765">
        <v>80</v>
      </c>
      <c r="D765">
        <v>79.915641785000005</v>
      </c>
      <c r="E765">
        <v>50</v>
      </c>
      <c r="F765">
        <v>50.855922698999997</v>
      </c>
      <c r="G765">
        <v>1333.7424315999999</v>
      </c>
      <c r="H765">
        <v>1332.7268065999999</v>
      </c>
      <c r="I765">
        <v>1329.3842772999999</v>
      </c>
      <c r="J765">
        <v>1328.8474120999999</v>
      </c>
      <c r="K765">
        <v>550</v>
      </c>
      <c r="L765">
        <v>0</v>
      </c>
      <c r="M765">
        <v>0</v>
      </c>
      <c r="N765">
        <v>550</v>
      </c>
    </row>
    <row r="766" spans="1:14" x14ac:dyDescent="0.25">
      <c r="A766">
        <v>455.72293999999999</v>
      </c>
      <c r="B766" s="1">
        <f>DATE(2011,7,30) + TIME(17,21,1)</f>
        <v>40754.722928240742</v>
      </c>
      <c r="C766">
        <v>80</v>
      </c>
      <c r="D766">
        <v>79.915718079000001</v>
      </c>
      <c r="E766">
        <v>50</v>
      </c>
      <c r="F766">
        <v>51.405498504999997</v>
      </c>
      <c r="G766">
        <v>1333.7414550999999</v>
      </c>
      <c r="H766">
        <v>1332.7272949000001</v>
      </c>
      <c r="I766">
        <v>1329.3825684000001</v>
      </c>
      <c r="J766">
        <v>1328.8435059000001</v>
      </c>
      <c r="K766">
        <v>550</v>
      </c>
      <c r="L766">
        <v>0</v>
      </c>
      <c r="M766">
        <v>0</v>
      </c>
      <c r="N766">
        <v>550</v>
      </c>
    </row>
    <row r="767" spans="1:14" x14ac:dyDescent="0.25">
      <c r="A767">
        <v>457</v>
      </c>
      <c r="B767" s="1">
        <f>DATE(2011,8,1) + TIME(0,0,0)</f>
        <v>40756</v>
      </c>
      <c r="C767">
        <v>80</v>
      </c>
      <c r="D767">
        <v>79.915740967000005</v>
      </c>
      <c r="E767">
        <v>50</v>
      </c>
      <c r="F767">
        <v>51.816505432</v>
      </c>
      <c r="G767">
        <v>1333.7406006000001</v>
      </c>
      <c r="H767">
        <v>1332.7277832</v>
      </c>
      <c r="I767">
        <v>1329.3818358999999</v>
      </c>
      <c r="J767">
        <v>1328.8404541</v>
      </c>
      <c r="K767">
        <v>550</v>
      </c>
      <c r="L767">
        <v>0</v>
      </c>
      <c r="M767">
        <v>0</v>
      </c>
      <c r="N767">
        <v>550</v>
      </c>
    </row>
    <row r="768" spans="1:14" x14ac:dyDescent="0.25">
      <c r="A768">
        <v>459.15465799999998</v>
      </c>
      <c r="B768" s="1">
        <f>DATE(2011,8,3) + TIME(3,42,42)</f>
        <v>40758.154652777775</v>
      </c>
      <c r="C768">
        <v>80</v>
      </c>
      <c r="D768">
        <v>79.915847778</v>
      </c>
      <c r="E768">
        <v>50</v>
      </c>
      <c r="F768">
        <v>52.359432220000002</v>
      </c>
      <c r="G768">
        <v>1333.7401123</v>
      </c>
      <c r="H768">
        <v>1332.7280272999999</v>
      </c>
      <c r="I768">
        <v>1329.3801269999999</v>
      </c>
      <c r="J768">
        <v>1328.838501</v>
      </c>
      <c r="K768">
        <v>550</v>
      </c>
      <c r="L768">
        <v>0</v>
      </c>
      <c r="M768">
        <v>0</v>
      </c>
      <c r="N768">
        <v>550</v>
      </c>
    </row>
    <row r="769" spans="1:14" x14ac:dyDescent="0.25">
      <c r="A769">
        <v>461.43423200000001</v>
      </c>
      <c r="B769" s="1">
        <f>DATE(2011,8,5) + TIME(10,25,17)</f>
        <v>40760.434224537035</v>
      </c>
      <c r="C769">
        <v>80</v>
      </c>
      <c r="D769">
        <v>79.915946959999999</v>
      </c>
      <c r="E769">
        <v>50</v>
      </c>
      <c r="F769">
        <v>52.935871124000002</v>
      </c>
      <c r="G769">
        <v>1333.7392577999999</v>
      </c>
      <c r="H769">
        <v>1332.7285156</v>
      </c>
      <c r="I769">
        <v>1329.3792725000001</v>
      </c>
      <c r="J769">
        <v>1328.8360596</v>
      </c>
      <c r="K769">
        <v>550</v>
      </c>
      <c r="L769">
        <v>0</v>
      </c>
      <c r="M769">
        <v>0</v>
      </c>
      <c r="N769">
        <v>550</v>
      </c>
    </row>
    <row r="770" spans="1:14" x14ac:dyDescent="0.25">
      <c r="A770">
        <v>463.77632699999998</v>
      </c>
      <c r="B770" s="1">
        <f>DATE(2011,8,7) + TIME(18,37,54)</f>
        <v>40762.776319444441</v>
      </c>
      <c r="C770">
        <v>80</v>
      </c>
      <c r="D770">
        <v>79.916053771999998</v>
      </c>
      <c r="E770">
        <v>50</v>
      </c>
      <c r="F770">
        <v>53.530235290999997</v>
      </c>
      <c r="G770">
        <v>1333.7384033000001</v>
      </c>
      <c r="H770">
        <v>1332.7290039</v>
      </c>
      <c r="I770">
        <v>1329.3785399999999</v>
      </c>
      <c r="J770">
        <v>1328.8339844</v>
      </c>
      <c r="K770">
        <v>550</v>
      </c>
      <c r="L770">
        <v>0</v>
      </c>
      <c r="M770">
        <v>0</v>
      </c>
      <c r="N770">
        <v>550</v>
      </c>
    </row>
    <row r="771" spans="1:14" x14ac:dyDescent="0.25">
      <c r="A771">
        <v>466.12477799999999</v>
      </c>
      <c r="B771" s="1">
        <f>DATE(2011,8,10) + TIME(2,59,40)</f>
        <v>40765.124768518515</v>
      </c>
      <c r="C771">
        <v>80</v>
      </c>
      <c r="D771">
        <v>79.916160583000007</v>
      </c>
      <c r="E771">
        <v>50</v>
      </c>
      <c r="F771">
        <v>54.124660491999997</v>
      </c>
      <c r="G771">
        <v>1333.7375488</v>
      </c>
      <c r="H771">
        <v>1332.7296143000001</v>
      </c>
      <c r="I771">
        <v>1329.3780518000001</v>
      </c>
      <c r="J771">
        <v>1328.8322754000001</v>
      </c>
      <c r="K771">
        <v>550</v>
      </c>
      <c r="L771">
        <v>0</v>
      </c>
      <c r="M771">
        <v>0</v>
      </c>
      <c r="N771">
        <v>550</v>
      </c>
    </row>
    <row r="772" spans="1:14" x14ac:dyDescent="0.25">
      <c r="A772">
        <v>468.51060999999999</v>
      </c>
      <c r="B772" s="1">
        <f>DATE(2011,8,12) + TIME(12,15,16)</f>
        <v>40767.510601851849</v>
      </c>
      <c r="C772">
        <v>80</v>
      </c>
      <c r="D772">
        <v>79.916267395000006</v>
      </c>
      <c r="E772">
        <v>50</v>
      </c>
      <c r="F772">
        <v>54.712322235000002</v>
      </c>
      <c r="G772">
        <v>1333.7368164</v>
      </c>
      <c r="H772">
        <v>1332.7301024999999</v>
      </c>
      <c r="I772">
        <v>1329.3776855000001</v>
      </c>
      <c r="J772">
        <v>1328.8308105000001</v>
      </c>
      <c r="K772">
        <v>550</v>
      </c>
      <c r="L772">
        <v>0</v>
      </c>
      <c r="M772">
        <v>0</v>
      </c>
      <c r="N772">
        <v>550</v>
      </c>
    </row>
    <row r="773" spans="1:14" x14ac:dyDescent="0.25">
      <c r="A773">
        <v>470.96819199999999</v>
      </c>
      <c r="B773" s="1">
        <f>DATE(2011,8,14) + TIME(23,14,11)</f>
        <v>40769.968182870369</v>
      </c>
      <c r="C773">
        <v>80</v>
      </c>
      <c r="D773">
        <v>79.916381835999999</v>
      </c>
      <c r="E773">
        <v>50</v>
      </c>
      <c r="F773">
        <v>55.291217803999999</v>
      </c>
      <c r="G773">
        <v>1333.7360839999999</v>
      </c>
      <c r="H773">
        <v>1332.7307129000001</v>
      </c>
      <c r="I773">
        <v>1329.3775635</v>
      </c>
      <c r="J773">
        <v>1328.8297118999999</v>
      </c>
      <c r="K773">
        <v>550</v>
      </c>
      <c r="L773">
        <v>0</v>
      </c>
      <c r="M773">
        <v>0</v>
      </c>
      <c r="N773">
        <v>550</v>
      </c>
    </row>
    <row r="774" spans="1:14" x14ac:dyDescent="0.25">
      <c r="A774">
        <v>473.53393</v>
      </c>
      <c r="B774" s="1">
        <f>DATE(2011,8,17) + TIME(12,48,51)</f>
        <v>40772.53392361111</v>
      </c>
      <c r="C774">
        <v>80</v>
      </c>
      <c r="D774">
        <v>79.916503906000003</v>
      </c>
      <c r="E774">
        <v>50</v>
      </c>
      <c r="F774">
        <v>55.861927031999997</v>
      </c>
      <c r="G774">
        <v>1333.7354736</v>
      </c>
      <c r="H774">
        <v>1332.7313231999999</v>
      </c>
      <c r="I774">
        <v>1329.3774414</v>
      </c>
      <c r="J774">
        <v>1328.8287353999999</v>
      </c>
      <c r="K774">
        <v>550</v>
      </c>
      <c r="L774">
        <v>0</v>
      </c>
      <c r="M774">
        <v>0</v>
      </c>
      <c r="N774">
        <v>550</v>
      </c>
    </row>
    <row r="775" spans="1:14" x14ac:dyDescent="0.25">
      <c r="A775">
        <v>476.14934099999999</v>
      </c>
      <c r="B775" s="1">
        <f>DATE(2011,8,20) + TIME(3,35,3)</f>
        <v>40775.149340277778</v>
      </c>
      <c r="C775">
        <v>80</v>
      </c>
      <c r="D775">
        <v>79.916633606000005</v>
      </c>
      <c r="E775">
        <v>50</v>
      </c>
      <c r="F775">
        <v>56.416233063</v>
      </c>
      <c r="G775">
        <v>1333.7347411999999</v>
      </c>
      <c r="H775">
        <v>1332.7319336</v>
      </c>
      <c r="I775">
        <v>1329.3774414</v>
      </c>
      <c r="J775">
        <v>1328.8278809000001</v>
      </c>
      <c r="K775">
        <v>550</v>
      </c>
      <c r="L775">
        <v>0</v>
      </c>
      <c r="M775">
        <v>0</v>
      </c>
      <c r="N775">
        <v>550</v>
      </c>
    </row>
    <row r="776" spans="1:14" x14ac:dyDescent="0.25">
      <c r="A776">
        <v>478.78035899999998</v>
      </c>
      <c r="B776" s="1">
        <f>DATE(2011,8,22) + TIME(18,43,43)</f>
        <v>40777.780358796299</v>
      </c>
      <c r="C776">
        <v>80</v>
      </c>
      <c r="D776">
        <v>79.916763306000007</v>
      </c>
      <c r="E776">
        <v>50</v>
      </c>
      <c r="F776">
        <v>56.945507050000003</v>
      </c>
      <c r="G776">
        <v>1333.7341309000001</v>
      </c>
      <c r="H776">
        <v>1332.7325439000001</v>
      </c>
      <c r="I776">
        <v>1329.3776855000001</v>
      </c>
      <c r="J776">
        <v>1328.8272704999999</v>
      </c>
      <c r="K776">
        <v>550</v>
      </c>
      <c r="L776">
        <v>0</v>
      </c>
      <c r="M776">
        <v>0</v>
      </c>
      <c r="N776">
        <v>550</v>
      </c>
    </row>
    <row r="777" spans="1:14" x14ac:dyDescent="0.25">
      <c r="A777">
        <v>481.467107</v>
      </c>
      <c r="B777" s="1">
        <f>DATE(2011,8,25) + TIME(11,12,38)</f>
        <v>40780.467106481483</v>
      </c>
      <c r="C777">
        <v>80</v>
      </c>
      <c r="D777">
        <v>79.916900635000005</v>
      </c>
      <c r="E777">
        <v>50</v>
      </c>
      <c r="F777">
        <v>57.449619292999998</v>
      </c>
      <c r="G777">
        <v>1333.7335204999999</v>
      </c>
      <c r="H777">
        <v>1332.7331543</v>
      </c>
      <c r="I777">
        <v>1329.3779297000001</v>
      </c>
      <c r="J777">
        <v>1328.8266602000001</v>
      </c>
      <c r="K777">
        <v>550</v>
      </c>
      <c r="L777">
        <v>0</v>
      </c>
      <c r="M777">
        <v>0</v>
      </c>
      <c r="N777">
        <v>550</v>
      </c>
    </row>
    <row r="778" spans="1:14" x14ac:dyDescent="0.25">
      <c r="A778">
        <v>484.25052299999999</v>
      </c>
      <c r="B778" s="1">
        <f>DATE(2011,8,28) + TIME(6,0,45)</f>
        <v>40783.250520833331</v>
      </c>
      <c r="C778">
        <v>80</v>
      </c>
      <c r="D778">
        <v>79.917045592999997</v>
      </c>
      <c r="E778">
        <v>50</v>
      </c>
      <c r="F778">
        <v>57.931808472</v>
      </c>
      <c r="G778">
        <v>1333.7330322</v>
      </c>
      <c r="H778">
        <v>1332.7337646000001</v>
      </c>
      <c r="I778">
        <v>1329.3781738</v>
      </c>
      <c r="J778">
        <v>1328.8261719</v>
      </c>
      <c r="K778">
        <v>550</v>
      </c>
      <c r="L778">
        <v>0</v>
      </c>
      <c r="M778">
        <v>0</v>
      </c>
      <c r="N778">
        <v>550</v>
      </c>
    </row>
    <row r="779" spans="1:14" x14ac:dyDescent="0.25">
      <c r="A779">
        <v>487.15498300000002</v>
      </c>
      <c r="B779" s="1">
        <f>DATE(2011,8,31) + TIME(3,43,10)</f>
        <v>40786.154976851853</v>
      </c>
      <c r="C779">
        <v>80</v>
      </c>
      <c r="D779">
        <v>79.917198181000003</v>
      </c>
      <c r="E779">
        <v>50</v>
      </c>
      <c r="F779">
        <v>58.395034789999997</v>
      </c>
      <c r="G779">
        <v>1333.7324219</v>
      </c>
      <c r="H779">
        <v>1332.7344971</v>
      </c>
      <c r="I779">
        <v>1329.3785399999999</v>
      </c>
      <c r="J779">
        <v>1328.8256836</v>
      </c>
      <c r="K779">
        <v>550</v>
      </c>
      <c r="L779">
        <v>0</v>
      </c>
      <c r="M779">
        <v>0</v>
      </c>
      <c r="N779">
        <v>550</v>
      </c>
    </row>
    <row r="780" spans="1:14" x14ac:dyDescent="0.25">
      <c r="A780">
        <v>488</v>
      </c>
      <c r="B780" s="1">
        <f>DATE(2011,9,1) + TIME(0,0,0)</f>
        <v>40787</v>
      </c>
      <c r="C780">
        <v>80</v>
      </c>
      <c r="D780">
        <v>79.917213439999998</v>
      </c>
      <c r="E780">
        <v>50</v>
      </c>
      <c r="F780">
        <v>58.603385924999998</v>
      </c>
      <c r="G780">
        <v>1333.7320557</v>
      </c>
      <c r="H780">
        <v>1332.7352295000001</v>
      </c>
      <c r="I780">
        <v>1329.3800048999999</v>
      </c>
      <c r="J780">
        <v>1328.8254394999999</v>
      </c>
      <c r="K780">
        <v>550</v>
      </c>
      <c r="L780">
        <v>0</v>
      </c>
      <c r="M780">
        <v>0</v>
      </c>
      <c r="N780">
        <v>550</v>
      </c>
    </row>
    <row r="781" spans="1:14" x14ac:dyDescent="0.25">
      <c r="A781">
        <v>490.948283</v>
      </c>
      <c r="B781" s="1">
        <f>DATE(2011,9,3) + TIME(22,45,31)</f>
        <v>40789.948275462964</v>
      </c>
      <c r="C781">
        <v>80</v>
      </c>
      <c r="D781">
        <v>79.917388915999993</v>
      </c>
      <c r="E781">
        <v>50</v>
      </c>
      <c r="F781">
        <v>58.991020202999998</v>
      </c>
      <c r="G781">
        <v>1333.7318115</v>
      </c>
      <c r="H781">
        <v>1332.7353516000001</v>
      </c>
      <c r="I781">
        <v>1329.3791504000001</v>
      </c>
      <c r="J781">
        <v>1328.8253173999999</v>
      </c>
      <c r="K781">
        <v>550</v>
      </c>
      <c r="L781">
        <v>0</v>
      </c>
      <c r="M781">
        <v>0</v>
      </c>
      <c r="N781">
        <v>550</v>
      </c>
    </row>
    <row r="782" spans="1:14" x14ac:dyDescent="0.25">
      <c r="A782">
        <v>493.95154400000001</v>
      </c>
      <c r="B782" s="1">
        <f>DATE(2011,9,6) + TIME(22,50,13)</f>
        <v>40792.951539351852</v>
      </c>
      <c r="C782">
        <v>80</v>
      </c>
      <c r="D782">
        <v>79.917556762999993</v>
      </c>
      <c r="E782">
        <v>50</v>
      </c>
      <c r="F782">
        <v>59.377899169999999</v>
      </c>
      <c r="G782">
        <v>1333.7313231999999</v>
      </c>
      <c r="H782">
        <v>1332.7360839999999</v>
      </c>
      <c r="I782">
        <v>1329.3796387</v>
      </c>
      <c r="J782">
        <v>1328.824707</v>
      </c>
      <c r="K782">
        <v>550</v>
      </c>
      <c r="L782">
        <v>0</v>
      </c>
      <c r="M782">
        <v>0</v>
      </c>
      <c r="N782">
        <v>550</v>
      </c>
    </row>
    <row r="783" spans="1:14" x14ac:dyDescent="0.25">
      <c r="A783">
        <v>497.04123900000002</v>
      </c>
      <c r="B783" s="1">
        <f>DATE(2011,9,10) + TIME(0,59,23)</f>
        <v>40796.041238425925</v>
      </c>
      <c r="C783">
        <v>80</v>
      </c>
      <c r="D783">
        <v>79.917732239000003</v>
      </c>
      <c r="E783">
        <v>50</v>
      </c>
      <c r="F783">
        <v>59.753406525000003</v>
      </c>
      <c r="G783">
        <v>1333.730957</v>
      </c>
      <c r="H783">
        <v>1332.7368164</v>
      </c>
      <c r="I783">
        <v>1329.3801269999999</v>
      </c>
      <c r="J783">
        <v>1328.8240966999999</v>
      </c>
      <c r="K783">
        <v>550</v>
      </c>
      <c r="L783">
        <v>0</v>
      </c>
      <c r="M783">
        <v>0</v>
      </c>
      <c r="N783">
        <v>550</v>
      </c>
    </row>
    <row r="784" spans="1:14" x14ac:dyDescent="0.25">
      <c r="A784">
        <v>500.26253400000002</v>
      </c>
      <c r="B784" s="1">
        <f>DATE(2011,9,13) + TIME(6,18,2)</f>
        <v>40799.262523148151</v>
      </c>
      <c r="C784">
        <v>80</v>
      </c>
      <c r="D784">
        <v>79.917907714999998</v>
      </c>
      <c r="E784">
        <v>50</v>
      </c>
      <c r="F784">
        <v>60.115463257000002</v>
      </c>
      <c r="G784">
        <v>1333.7305908000001</v>
      </c>
      <c r="H784">
        <v>1332.7375488</v>
      </c>
      <c r="I784">
        <v>1329.3807373</v>
      </c>
      <c r="J784">
        <v>1328.8236084</v>
      </c>
      <c r="K784">
        <v>550</v>
      </c>
      <c r="L784">
        <v>0</v>
      </c>
      <c r="M784">
        <v>0</v>
      </c>
      <c r="N784">
        <v>550</v>
      </c>
    </row>
    <row r="785" spans="1:14" x14ac:dyDescent="0.25">
      <c r="A785">
        <v>503.57000299999999</v>
      </c>
      <c r="B785" s="1">
        <f>DATE(2011,9,16) + TIME(13,40,48)</f>
        <v>40802.57</v>
      </c>
      <c r="C785">
        <v>80</v>
      </c>
      <c r="D785">
        <v>79.918090820000003</v>
      </c>
      <c r="E785">
        <v>50</v>
      </c>
      <c r="F785">
        <v>60.461341857999997</v>
      </c>
      <c r="G785">
        <v>1333.7302245999999</v>
      </c>
      <c r="H785">
        <v>1332.7382812000001</v>
      </c>
      <c r="I785">
        <v>1329.3813477000001</v>
      </c>
      <c r="J785">
        <v>1328.8231201000001</v>
      </c>
      <c r="K785">
        <v>550</v>
      </c>
      <c r="L785">
        <v>0</v>
      </c>
      <c r="M785">
        <v>0</v>
      </c>
      <c r="N785">
        <v>550</v>
      </c>
    </row>
    <row r="786" spans="1:14" x14ac:dyDescent="0.25">
      <c r="A786">
        <v>506.899382</v>
      </c>
      <c r="B786" s="1">
        <f>DATE(2011,9,19) + TIME(21,35,6)</f>
        <v>40805.899375000001</v>
      </c>
      <c r="C786">
        <v>80</v>
      </c>
      <c r="D786">
        <v>79.918273925999998</v>
      </c>
      <c r="E786">
        <v>50</v>
      </c>
      <c r="F786">
        <v>60.787391663000001</v>
      </c>
      <c r="G786">
        <v>1333.7298584</v>
      </c>
      <c r="H786">
        <v>1332.7390137</v>
      </c>
      <c r="I786">
        <v>1329.3819579999999</v>
      </c>
      <c r="J786">
        <v>1328.8226318</v>
      </c>
      <c r="K786">
        <v>550</v>
      </c>
      <c r="L786">
        <v>0</v>
      </c>
      <c r="M786">
        <v>0</v>
      </c>
      <c r="N786">
        <v>550</v>
      </c>
    </row>
    <row r="787" spans="1:14" x14ac:dyDescent="0.25">
      <c r="A787">
        <v>510.30744299999998</v>
      </c>
      <c r="B787" s="1">
        <f>DATE(2011,9,23) + TIME(7,22,43)</f>
        <v>40809.307442129626</v>
      </c>
      <c r="C787">
        <v>80</v>
      </c>
      <c r="D787">
        <v>79.918464661000002</v>
      </c>
      <c r="E787">
        <v>50</v>
      </c>
      <c r="F787">
        <v>61.094409943000002</v>
      </c>
      <c r="G787">
        <v>1333.7294922000001</v>
      </c>
      <c r="H787">
        <v>1332.7398682</v>
      </c>
      <c r="I787">
        <v>1329.3826904</v>
      </c>
      <c r="J787">
        <v>1328.8221435999999</v>
      </c>
      <c r="K787">
        <v>550</v>
      </c>
      <c r="L787">
        <v>0</v>
      </c>
      <c r="M787">
        <v>0</v>
      </c>
      <c r="N787">
        <v>550</v>
      </c>
    </row>
    <row r="788" spans="1:14" x14ac:dyDescent="0.25">
      <c r="A788">
        <v>513.85359200000005</v>
      </c>
      <c r="B788" s="1">
        <f>DATE(2011,9,26) + TIME(20,29,10)</f>
        <v>40812.853587962964</v>
      </c>
      <c r="C788">
        <v>80</v>
      </c>
      <c r="D788">
        <v>79.918670653999996</v>
      </c>
      <c r="E788">
        <v>50</v>
      </c>
      <c r="F788">
        <v>61.386314392000003</v>
      </c>
      <c r="G788">
        <v>1333.7292480000001</v>
      </c>
      <c r="H788">
        <v>1332.7406006000001</v>
      </c>
      <c r="I788">
        <v>1329.3833007999999</v>
      </c>
      <c r="J788">
        <v>1328.8215332</v>
      </c>
      <c r="K788">
        <v>550</v>
      </c>
      <c r="L788">
        <v>0</v>
      </c>
      <c r="M788">
        <v>0</v>
      </c>
      <c r="N788">
        <v>550</v>
      </c>
    </row>
    <row r="789" spans="1:14" x14ac:dyDescent="0.25">
      <c r="A789">
        <v>517.55412699999999</v>
      </c>
      <c r="B789" s="1">
        <f>DATE(2011,9,30) + TIME(13,17,56)</f>
        <v>40816.554120370369</v>
      </c>
      <c r="C789">
        <v>80</v>
      </c>
      <c r="D789">
        <v>79.918876647999994</v>
      </c>
      <c r="E789">
        <v>50</v>
      </c>
      <c r="F789">
        <v>61.666282654</v>
      </c>
      <c r="G789">
        <v>1333.7290039</v>
      </c>
      <c r="H789">
        <v>1332.7414550999999</v>
      </c>
      <c r="I789">
        <v>1329.3839111</v>
      </c>
      <c r="J789">
        <v>1328.8210449000001</v>
      </c>
      <c r="K789">
        <v>550</v>
      </c>
      <c r="L789">
        <v>0</v>
      </c>
      <c r="M789">
        <v>0</v>
      </c>
      <c r="N789">
        <v>550</v>
      </c>
    </row>
    <row r="790" spans="1:14" x14ac:dyDescent="0.25">
      <c r="A790">
        <v>518</v>
      </c>
      <c r="B790" s="1">
        <f>DATE(2011,10,1) + TIME(0,0,0)</f>
        <v>40817</v>
      </c>
      <c r="C790">
        <v>80</v>
      </c>
      <c r="D790">
        <v>79.918884277000004</v>
      </c>
      <c r="E790">
        <v>50</v>
      </c>
      <c r="F790">
        <v>61.737392426</v>
      </c>
      <c r="G790">
        <v>1333.7288818</v>
      </c>
      <c r="H790">
        <v>1332.7424315999999</v>
      </c>
      <c r="I790">
        <v>1329.3854980000001</v>
      </c>
      <c r="J790">
        <v>1328.8208007999999</v>
      </c>
      <c r="K790">
        <v>550</v>
      </c>
      <c r="L790">
        <v>0</v>
      </c>
      <c r="M790">
        <v>0</v>
      </c>
      <c r="N790">
        <v>550</v>
      </c>
    </row>
    <row r="791" spans="1:14" x14ac:dyDescent="0.25">
      <c r="A791">
        <v>521.70909400000005</v>
      </c>
      <c r="B791" s="1">
        <f>DATE(2011,10,4) + TIME(17,1,5)</f>
        <v>40820.709085648145</v>
      </c>
      <c r="C791">
        <v>80</v>
      </c>
      <c r="D791">
        <v>79.919113159000005</v>
      </c>
      <c r="E791">
        <v>50</v>
      </c>
      <c r="F791">
        <v>61.977519989000001</v>
      </c>
      <c r="G791">
        <v>1333.7287598</v>
      </c>
      <c r="H791">
        <v>1332.7424315999999</v>
      </c>
      <c r="I791">
        <v>1329.3847656</v>
      </c>
      <c r="J791">
        <v>1328.8206786999999</v>
      </c>
      <c r="K791">
        <v>550</v>
      </c>
      <c r="L791">
        <v>0</v>
      </c>
      <c r="M791">
        <v>0</v>
      </c>
      <c r="N791">
        <v>550</v>
      </c>
    </row>
    <row r="792" spans="1:14" x14ac:dyDescent="0.25">
      <c r="A792">
        <v>525.51137000000006</v>
      </c>
      <c r="B792" s="1">
        <f>DATE(2011,10,8) + TIME(12,16,22)</f>
        <v>40824.511365740742</v>
      </c>
      <c r="C792">
        <v>80</v>
      </c>
      <c r="D792">
        <v>79.919334411999998</v>
      </c>
      <c r="E792">
        <v>50</v>
      </c>
      <c r="F792">
        <v>62.218177795000003</v>
      </c>
      <c r="G792">
        <v>1333.7286377</v>
      </c>
      <c r="H792">
        <v>1332.7432861</v>
      </c>
      <c r="I792">
        <v>1329.3854980000001</v>
      </c>
      <c r="J792">
        <v>1328.8198242000001</v>
      </c>
      <c r="K792">
        <v>550</v>
      </c>
      <c r="L792">
        <v>0</v>
      </c>
      <c r="M792">
        <v>0</v>
      </c>
      <c r="N792">
        <v>550</v>
      </c>
    </row>
    <row r="793" spans="1:14" x14ac:dyDescent="0.25">
      <c r="A793">
        <v>529.46694600000001</v>
      </c>
      <c r="B793" s="1">
        <f>DATE(2011,10,12) + TIME(11,12,24)</f>
        <v>40828.466944444444</v>
      </c>
      <c r="C793">
        <v>80</v>
      </c>
      <c r="D793">
        <v>79.919555664000001</v>
      </c>
      <c r="E793">
        <v>50</v>
      </c>
      <c r="F793">
        <v>62.453655243</v>
      </c>
      <c r="G793">
        <v>1333.7283935999999</v>
      </c>
      <c r="H793">
        <v>1332.7441406</v>
      </c>
      <c r="I793">
        <v>1329.3861084</v>
      </c>
      <c r="J793">
        <v>1328.8192139</v>
      </c>
      <c r="K793">
        <v>550</v>
      </c>
      <c r="L793">
        <v>0</v>
      </c>
      <c r="M793">
        <v>0</v>
      </c>
      <c r="N793">
        <v>550</v>
      </c>
    </row>
    <row r="794" spans="1:14" x14ac:dyDescent="0.25">
      <c r="A794">
        <v>533.626125</v>
      </c>
      <c r="B794" s="1">
        <f>DATE(2011,10,16) + TIME(15,1,37)</f>
        <v>40832.626122685186</v>
      </c>
      <c r="C794">
        <v>80</v>
      </c>
      <c r="D794">
        <v>79.919799804999997</v>
      </c>
      <c r="E794">
        <v>50</v>
      </c>
      <c r="F794">
        <v>62.683742522999999</v>
      </c>
      <c r="G794">
        <v>1333.7282714999999</v>
      </c>
      <c r="H794">
        <v>1332.7451172000001</v>
      </c>
      <c r="I794">
        <v>1329.3869629000001</v>
      </c>
      <c r="J794">
        <v>1328.8187256000001</v>
      </c>
      <c r="K794">
        <v>550</v>
      </c>
      <c r="L794">
        <v>0</v>
      </c>
      <c r="M794">
        <v>0</v>
      </c>
      <c r="N794">
        <v>550</v>
      </c>
    </row>
    <row r="795" spans="1:14" x14ac:dyDescent="0.25">
      <c r="A795">
        <v>537.78821200000004</v>
      </c>
      <c r="B795" s="1">
        <f>DATE(2011,10,20) + TIME(18,55,1)</f>
        <v>40836.788206018522</v>
      </c>
      <c r="C795">
        <v>80</v>
      </c>
      <c r="D795">
        <v>79.920036315999994</v>
      </c>
      <c r="E795">
        <v>50</v>
      </c>
      <c r="F795">
        <v>62.905281066999997</v>
      </c>
      <c r="G795">
        <v>1333.7282714999999</v>
      </c>
      <c r="H795">
        <v>1332.7460937999999</v>
      </c>
      <c r="I795">
        <v>1329.3876952999999</v>
      </c>
      <c r="J795">
        <v>1328.8181152</v>
      </c>
      <c r="K795">
        <v>550</v>
      </c>
      <c r="L795">
        <v>0</v>
      </c>
      <c r="M795">
        <v>0</v>
      </c>
      <c r="N795">
        <v>550</v>
      </c>
    </row>
    <row r="796" spans="1:14" x14ac:dyDescent="0.25">
      <c r="A796">
        <v>542.03073300000005</v>
      </c>
      <c r="B796" s="1">
        <f>DATE(2011,10,25) + TIME(0,44,15)</f>
        <v>40841.030729166669</v>
      </c>
      <c r="C796">
        <v>80</v>
      </c>
      <c r="D796">
        <v>79.920280457000004</v>
      </c>
      <c r="E796">
        <v>50</v>
      </c>
      <c r="F796">
        <v>63.116008759000003</v>
      </c>
      <c r="G796">
        <v>1333.7281493999999</v>
      </c>
      <c r="H796">
        <v>1332.7469481999999</v>
      </c>
      <c r="I796">
        <v>1329.3885498</v>
      </c>
      <c r="J796">
        <v>1328.8176269999999</v>
      </c>
      <c r="K796">
        <v>550</v>
      </c>
      <c r="L796">
        <v>0</v>
      </c>
      <c r="M796">
        <v>0</v>
      </c>
      <c r="N796">
        <v>550</v>
      </c>
    </row>
    <row r="797" spans="1:14" x14ac:dyDescent="0.25">
      <c r="A797">
        <v>546.43622800000003</v>
      </c>
      <c r="B797" s="1">
        <f>DATE(2011,10,29) + TIME(10,28,10)</f>
        <v>40845.436226851853</v>
      </c>
      <c r="C797">
        <v>80</v>
      </c>
      <c r="D797">
        <v>79.920532226999995</v>
      </c>
      <c r="E797">
        <v>50</v>
      </c>
      <c r="F797">
        <v>63.318031310999999</v>
      </c>
      <c r="G797">
        <v>1333.7281493999999</v>
      </c>
      <c r="H797">
        <v>1332.7479248</v>
      </c>
      <c r="I797">
        <v>1329.3892822</v>
      </c>
      <c r="J797">
        <v>1328.8171387</v>
      </c>
      <c r="K797">
        <v>550</v>
      </c>
      <c r="L797">
        <v>0</v>
      </c>
      <c r="M797">
        <v>0</v>
      </c>
      <c r="N797">
        <v>550</v>
      </c>
    </row>
    <row r="798" spans="1:14" x14ac:dyDescent="0.25">
      <c r="A798">
        <v>549</v>
      </c>
      <c r="B798" s="1">
        <f>DATE(2011,11,1) + TIME(0,0,0)</f>
        <v>40848</v>
      </c>
      <c r="C798">
        <v>80</v>
      </c>
      <c r="D798">
        <v>79.920646667</v>
      </c>
      <c r="E798">
        <v>50</v>
      </c>
      <c r="F798">
        <v>63.474109650000003</v>
      </c>
      <c r="G798">
        <v>1333.7281493999999</v>
      </c>
      <c r="H798">
        <v>1332.7489014</v>
      </c>
      <c r="I798">
        <v>1329.3903809000001</v>
      </c>
      <c r="J798">
        <v>1328.8167725000001</v>
      </c>
      <c r="K798">
        <v>550</v>
      </c>
      <c r="L798">
        <v>0</v>
      </c>
      <c r="M798">
        <v>0</v>
      </c>
      <c r="N798">
        <v>550</v>
      </c>
    </row>
    <row r="799" spans="1:14" x14ac:dyDescent="0.25">
      <c r="A799">
        <v>549.000001</v>
      </c>
      <c r="B799" s="1">
        <f>DATE(2011,11,1) + TIME(0,0,0)</f>
        <v>40848</v>
      </c>
      <c r="C799">
        <v>80</v>
      </c>
      <c r="D799">
        <v>79.920616150000001</v>
      </c>
      <c r="E799">
        <v>50</v>
      </c>
      <c r="F799">
        <v>63.474136352999999</v>
      </c>
      <c r="G799">
        <v>1332.5228271000001</v>
      </c>
      <c r="H799">
        <v>1332.8020019999999</v>
      </c>
      <c r="I799">
        <v>1330.2739257999999</v>
      </c>
      <c r="J799">
        <v>1329.6324463000001</v>
      </c>
      <c r="K799">
        <v>0</v>
      </c>
      <c r="L799">
        <v>550</v>
      </c>
      <c r="M799">
        <v>550</v>
      </c>
      <c r="N799">
        <v>0</v>
      </c>
    </row>
    <row r="800" spans="1:14" x14ac:dyDescent="0.25">
      <c r="A800">
        <v>549.00000399999999</v>
      </c>
      <c r="B800" s="1">
        <f>DATE(2011,11,1) + TIME(0,0,0)</f>
        <v>40848</v>
      </c>
      <c r="C800">
        <v>80</v>
      </c>
      <c r="D800">
        <v>79.920578003000003</v>
      </c>
      <c r="E800">
        <v>50</v>
      </c>
      <c r="F800">
        <v>63.474159241000002</v>
      </c>
      <c r="G800">
        <v>1332.2248535000001</v>
      </c>
      <c r="H800">
        <v>1332.5681152</v>
      </c>
      <c r="I800">
        <v>1330.5682373</v>
      </c>
      <c r="J800">
        <v>1329.9645995999999</v>
      </c>
      <c r="K800">
        <v>0</v>
      </c>
      <c r="L800">
        <v>550</v>
      </c>
      <c r="M800">
        <v>550</v>
      </c>
      <c r="N800">
        <v>0</v>
      </c>
    </row>
    <row r="801" spans="1:14" x14ac:dyDescent="0.25">
      <c r="A801">
        <v>549.00001299999997</v>
      </c>
      <c r="B801" s="1">
        <f>DATE(2011,11,1) + TIME(0,0,1)</f>
        <v>40848.000011574077</v>
      </c>
      <c r="C801">
        <v>80</v>
      </c>
      <c r="D801">
        <v>79.920532226999995</v>
      </c>
      <c r="E801">
        <v>50</v>
      </c>
      <c r="F801">
        <v>63.474147797000001</v>
      </c>
      <c r="G801">
        <v>1331.9282227000001</v>
      </c>
      <c r="H801">
        <v>1332.2723389</v>
      </c>
      <c r="I801">
        <v>1330.9365233999999</v>
      </c>
      <c r="J801">
        <v>1330.3250731999999</v>
      </c>
      <c r="K801">
        <v>0</v>
      </c>
      <c r="L801">
        <v>550</v>
      </c>
      <c r="M801">
        <v>550</v>
      </c>
      <c r="N801">
        <v>0</v>
      </c>
    </row>
    <row r="802" spans="1:14" x14ac:dyDescent="0.25">
      <c r="A802">
        <v>549.00004000000001</v>
      </c>
      <c r="B802" s="1">
        <f>DATE(2011,11,1) + TIME(0,0,3)</f>
        <v>40848.000034722223</v>
      </c>
      <c r="C802">
        <v>80</v>
      </c>
      <c r="D802">
        <v>79.920494079999997</v>
      </c>
      <c r="E802">
        <v>50</v>
      </c>
      <c r="F802">
        <v>63.474018096999998</v>
      </c>
      <c r="G802">
        <v>1331.6529541</v>
      </c>
      <c r="H802">
        <v>1331.956543</v>
      </c>
      <c r="I802">
        <v>1331.3161620999999</v>
      </c>
      <c r="J802">
        <v>1330.6867675999999</v>
      </c>
      <c r="K802">
        <v>0</v>
      </c>
      <c r="L802">
        <v>550</v>
      </c>
      <c r="M802">
        <v>550</v>
      </c>
      <c r="N802">
        <v>0</v>
      </c>
    </row>
    <row r="803" spans="1:14" x14ac:dyDescent="0.25">
      <c r="A803">
        <v>549.00012100000004</v>
      </c>
      <c r="B803" s="1">
        <f>DATE(2011,11,1) + TIME(0,0,10)</f>
        <v>40848.000115740739</v>
      </c>
      <c r="C803">
        <v>80</v>
      </c>
      <c r="D803">
        <v>79.920448303000001</v>
      </c>
      <c r="E803">
        <v>50</v>
      </c>
      <c r="F803">
        <v>63.473503113</v>
      </c>
      <c r="G803">
        <v>1331.3980713000001</v>
      </c>
      <c r="H803">
        <v>1331.6405029</v>
      </c>
      <c r="I803">
        <v>1331.6782227000001</v>
      </c>
      <c r="J803">
        <v>1331.0266113</v>
      </c>
      <c r="K803">
        <v>0</v>
      </c>
      <c r="L803">
        <v>550</v>
      </c>
      <c r="M803">
        <v>550</v>
      </c>
      <c r="N803">
        <v>0</v>
      </c>
    </row>
    <row r="804" spans="1:14" x14ac:dyDescent="0.25">
      <c r="A804">
        <v>549.00036399999999</v>
      </c>
      <c r="B804" s="1">
        <f>DATE(2011,11,1) + TIME(0,0,31)</f>
        <v>40848.000358796293</v>
      </c>
      <c r="C804">
        <v>80</v>
      </c>
      <c r="D804">
        <v>79.920402526999993</v>
      </c>
      <c r="E804">
        <v>50</v>
      </c>
      <c r="F804">
        <v>63.471794127999999</v>
      </c>
      <c r="G804">
        <v>1331.1889647999999</v>
      </c>
      <c r="H804">
        <v>1331.3658447</v>
      </c>
      <c r="I804">
        <v>1331.9833983999999</v>
      </c>
      <c r="J804">
        <v>1331.3065185999999</v>
      </c>
      <c r="K804">
        <v>0</v>
      </c>
      <c r="L804">
        <v>550</v>
      </c>
      <c r="M804">
        <v>550</v>
      </c>
      <c r="N804">
        <v>0</v>
      </c>
    </row>
    <row r="805" spans="1:14" x14ac:dyDescent="0.25">
      <c r="A805">
        <v>549.00109299999997</v>
      </c>
      <c r="B805" s="1">
        <f>DATE(2011,11,1) + TIME(0,1,34)</f>
        <v>40848.001087962963</v>
      </c>
      <c r="C805">
        <v>80</v>
      </c>
      <c r="D805">
        <v>79.920326232999997</v>
      </c>
      <c r="E805">
        <v>50</v>
      </c>
      <c r="F805">
        <v>63.466442108000003</v>
      </c>
      <c r="G805">
        <v>1331.0485839999999</v>
      </c>
      <c r="H805">
        <v>1331.1861572</v>
      </c>
      <c r="I805">
        <v>1332.1873779</v>
      </c>
      <c r="J805">
        <v>1331.4919434000001</v>
      </c>
      <c r="K805">
        <v>0</v>
      </c>
      <c r="L805">
        <v>550</v>
      </c>
      <c r="M805">
        <v>550</v>
      </c>
      <c r="N805">
        <v>0</v>
      </c>
    </row>
    <row r="806" spans="1:14" x14ac:dyDescent="0.25">
      <c r="A806">
        <v>549.00328000000002</v>
      </c>
      <c r="B806" s="1">
        <f>DATE(2011,11,1) + TIME(0,4,43)</f>
        <v>40848.003275462965</v>
      </c>
      <c r="C806">
        <v>80</v>
      </c>
      <c r="D806">
        <v>79.920143127000003</v>
      </c>
      <c r="E806">
        <v>50</v>
      </c>
      <c r="F806">
        <v>63.450145720999998</v>
      </c>
      <c r="G806">
        <v>1330.9714355000001</v>
      </c>
      <c r="H806">
        <v>1331.0972899999999</v>
      </c>
      <c r="I806">
        <v>1332.2902832</v>
      </c>
      <c r="J806">
        <v>1331.5863036999999</v>
      </c>
      <c r="K806">
        <v>0</v>
      </c>
      <c r="L806">
        <v>550</v>
      </c>
      <c r="M806">
        <v>550</v>
      </c>
      <c r="N806">
        <v>0</v>
      </c>
    </row>
    <row r="807" spans="1:14" x14ac:dyDescent="0.25">
      <c r="A807">
        <v>549.00984100000005</v>
      </c>
      <c r="B807" s="1">
        <f>DATE(2011,11,1) + TIME(0,14,10)</f>
        <v>40848.009837962964</v>
      </c>
      <c r="C807">
        <v>80</v>
      </c>
      <c r="D807">
        <v>79.919616699000002</v>
      </c>
      <c r="E807">
        <v>50</v>
      </c>
      <c r="F807">
        <v>63.401256560999997</v>
      </c>
      <c r="G807">
        <v>1330.9389647999999</v>
      </c>
      <c r="H807">
        <v>1331.0617675999999</v>
      </c>
      <c r="I807">
        <v>1332.3239745999999</v>
      </c>
      <c r="J807">
        <v>1331.6173096</v>
      </c>
      <c r="K807">
        <v>0</v>
      </c>
      <c r="L807">
        <v>550</v>
      </c>
      <c r="M807">
        <v>550</v>
      </c>
      <c r="N807">
        <v>0</v>
      </c>
    </row>
    <row r="808" spans="1:14" x14ac:dyDescent="0.25">
      <c r="A808">
        <v>549.02952400000004</v>
      </c>
      <c r="B808" s="1">
        <f>DATE(2011,11,1) + TIME(0,42,30)</f>
        <v>40848.029513888891</v>
      </c>
      <c r="C808">
        <v>80</v>
      </c>
      <c r="D808">
        <v>79.918052673000005</v>
      </c>
      <c r="E808">
        <v>50</v>
      </c>
      <c r="F808">
        <v>63.256374358999999</v>
      </c>
      <c r="G808">
        <v>1330.9300536999999</v>
      </c>
      <c r="H808">
        <v>1331.0515137</v>
      </c>
      <c r="I808">
        <v>1332.3276367000001</v>
      </c>
      <c r="J808">
        <v>1331.6203613</v>
      </c>
      <c r="K808">
        <v>0</v>
      </c>
      <c r="L808">
        <v>550</v>
      </c>
      <c r="M808">
        <v>550</v>
      </c>
      <c r="N808">
        <v>0</v>
      </c>
    </row>
    <row r="809" spans="1:14" x14ac:dyDescent="0.25">
      <c r="A809">
        <v>549.088573</v>
      </c>
      <c r="B809" s="1">
        <f>DATE(2011,11,1) + TIME(2,7,32)</f>
        <v>40848.088564814818</v>
      </c>
      <c r="C809">
        <v>80</v>
      </c>
      <c r="D809">
        <v>79.913360596000004</v>
      </c>
      <c r="E809">
        <v>50</v>
      </c>
      <c r="F809">
        <v>62.837959290000001</v>
      </c>
      <c r="G809">
        <v>1330.9278564000001</v>
      </c>
      <c r="H809">
        <v>1331.046875</v>
      </c>
      <c r="I809">
        <v>1332.3253173999999</v>
      </c>
      <c r="J809">
        <v>1331.6175536999999</v>
      </c>
      <c r="K809">
        <v>0</v>
      </c>
      <c r="L809">
        <v>550</v>
      </c>
      <c r="M809">
        <v>550</v>
      </c>
      <c r="N809">
        <v>0</v>
      </c>
    </row>
    <row r="810" spans="1:14" x14ac:dyDescent="0.25">
      <c r="A810">
        <v>549.22969899999998</v>
      </c>
      <c r="B810" s="1">
        <f>DATE(2011,11,1) + TIME(5,30,45)</f>
        <v>40848.229687500003</v>
      </c>
      <c r="C810">
        <v>80</v>
      </c>
      <c r="D810">
        <v>79.902206421000002</v>
      </c>
      <c r="E810">
        <v>50</v>
      </c>
      <c r="F810">
        <v>61.921428679999998</v>
      </c>
      <c r="G810">
        <v>1330.9248047000001</v>
      </c>
      <c r="H810">
        <v>1331.0371094</v>
      </c>
      <c r="I810">
        <v>1332.3210449000001</v>
      </c>
      <c r="J810">
        <v>1331.6123047000001</v>
      </c>
      <c r="K810">
        <v>0</v>
      </c>
      <c r="L810">
        <v>550</v>
      </c>
      <c r="M810">
        <v>550</v>
      </c>
      <c r="N810">
        <v>0</v>
      </c>
    </row>
    <row r="811" spans="1:14" x14ac:dyDescent="0.25">
      <c r="A811">
        <v>549.38367700000003</v>
      </c>
      <c r="B811" s="1">
        <f>DATE(2011,11,1) + TIME(9,12,29)</f>
        <v>40848.383668981478</v>
      </c>
      <c r="C811">
        <v>80</v>
      </c>
      <c r="D811">
        <v>79.890045165999993</v>
      </c>
      <c r="E811">
        <v>50</v>
      </c>
      <c r="F811">
        <v>61.007801055999998</v>
      </c>
      <c r="G811">
        <v>1330.9190673999999</v>
      </c>
      <c r="H811">
        <v>1331.0174560999999</v>
      </c>
      <c r="I811">
        <v>1332.3226318</v>
      </c>
      <c r="J811">
        <v>1331.6112060999999</v>
      </c>
      <c r="K811">
        <v>0</v>
      </c>
      <c r="L811">
        <v>550</v>
      </c>
      <c r="M811">
        <v>550</v>
      </c>
      <c r="N811">
        <v>0</v>
      </c>
    </row>
    <row r="812" spans="1:14" x14ac:dyDescent="0.25">
      <c r="A812">
        <v>549.55221200000005</v>
      </c>
      <c r="B812" s="1">
        <f>DATE(2011,11,1) + TIME(13,15,11)</f>
        <v>40848.552210648151</v>
      </c>
      <c r="C812">
        <v>80</v>
      </c>
      <c r="D812">
        <v>79.876747131000002</v>
      </c>
      <c r="E812">
        <v>50</v>
      </c>
      <c r="F812">
        <v>60.099205017000003</v>
      </c>
      <c r="G812">
        <v>1330.9130858999999</v>
      </c>
      <c r="H812">
        <v>1330.9968262</v>
      </c>
      <c r="I812">
        <v>1332.3261719</v>
      </c>
      <c r="J812">
        <v>1331.6113281</v>
      </c>
      <c r="K812">
        <v>0</v>
      </c>
      <c r="L812">
        <v>550</v>
      </c>
      <c r="M812">
        <v>550</v>
      </c>
      <c r="N812">
        <v>0</v>
      </c>
    </row>
    <row r="813" spans="1:14" x14ac:dyDescent="0.25">
      <c r="A813">
        <v>549.73478899999998</v>
      </c>
      <c r="B813" s="1">
        <f>DATE(2011,11,1) + TIME(17,38,5)</f>
        <v>40848.734780092593</v>
      </c>
      <c r="C813">
        <v>80</v>
      </c>
      <c r="D813">
        <v>79.862350464000002</v>
      </c>
      <c r="E813">
        <v>50</v>
      </c>
      <c r="F813">
        <v>59.208602904999999</v>
      </c>
      <c r="G813">
        <v>1330.9068603999999</v>
      </c>
      <c r="H813">
        <v>1330.9753418</v>
      </c>
      <c r="I813">
        <v>1332.3317870999999</v>
      </c>
      <c r="J813">
        <v>1331.612793</v>
      </c>
      <c r="K813">
        <v>0</v>
      </c>
      <c r="L813">
        <v>550</v>
      </c>
      <c r="M813">
        <v>550</v>
      </c>
      <c r="N813">
        <v>0</v>
      </c>
    </row>
    <row r="814" spans="1:14" x14ac:dyDescent="0.25">
      <c r="A814">
        <v>549.92349300000001</v>
      </c>
      <c r="B814" s="1">
        <f>DATE(2011,11,1) + TIME(22,9,49)</f>
        <v>40848.923483796294</v>
      </c>
      <c r="C814">
        <v>80</v>
      </c>
      <c r="D814">
        <v>79.847473144999995</v>
      </c>
      <c r="E814">
        <v>50</v>
      </c>
      <c r="F814">
        <v>58.376354218000003</v>
      </c>
      <c r="G814">
        <v>1330.9005127</v>
      </c>
      <c r="H814">
        <v>1330.9530029</v>
      </c>
      <c r="I814">
        <v>1332.3399658000001</v>
      </c>
      <c r="J814">
        <v>1331.6159668</v>
      </c>
      <c r="K814">
        <v>0</v>
      </c>
      <c r="L814">
        <v>550</v>
      </c>
      <c r="M814">
        <v>550</v>
      </c>
      <c r="N814">
        <v>0</v>
      </c>
    </row>
    <row r="815" spans="1:14" x14ac:dyDescent="0.25">
      <c r="A815">
        <v>550.118921</v>
      </c>
      <c r="B815" s="1">
        <f>DATE(2011,11,2) + TIME(2,51,14)</f>
        <v>40849.11891203704</v>
      </c>
      <c r="C815">
        <v>80</v>
      </c>
      <c r="D815">
        <v>79.832061768000003</v>
      </c>
      <c r="E815">
        <v>50</v>
      </c>
      <c r="F815">
        <v>57.597816467000001</v>
      </c>
      <c r="G815">
        <v>1330.8941649999999</v>
      </c>
      <c r="H815">
        <v>1330.9309082</v>
      </c>
      <c r="I815">
        <v>1332.3499756000001</v>
      </c>
      <c r="J815">
        <v>1331.6203613</v>
      </c>
      <c r="K815">
        <v>0</v>
      </c>
      <c r="L815">
        <v>550</v>
      </c>
      <c r="M815">
        <v>550</v>
      </c>
      <c r="N815">
        <v>0</v>
      </c>
    </row>
    <row r="816" spans="1:14" x14ac:dyDescent="0.25">
      <c r="A816">
        <v>550.32146599999999</v>
      </c>
      <c r="B816" s="1">
        <f>DATE(2011,11,2) + TIME(7,42,54)</f>
        <v>40849.321458333332</v>
      </c>
      <c r="C816">
        <v>80</v>
      </c>
      <c r="D816">
        <v>79.816078185999999</v>
      </c>
      <c r="E816">
        <v>50</v>
      </c>
      <c r="F816">
        <v>56.870182036999999</v>
      </c>
      <c r="G816">
        <v>1330.8879394999999</v>
      </c>
      <c r="H816">
        <v>1330.9090576000001</v>
      </c>
      <c r="I816">
        <v>1332.3618164</v>
      </c>
      <c r="J816">
        <v>1331.6258545000001</v>
      </c>
      <c r="K816">
        <v>0</v>
      </c>
      <c r="L816">
        <v>550</v>
      </c>
      <c r="M816">
        <v>550</v>
      </c>
      <c r="N816">
        <v>0</v>
      </c>
    </row>
    <row r="817" spans="1:14" x14ac:dyDescent="0.25">
      <c r="A817">
        <v>550.53160200000002</v>
      </c>
      <c r="B817" s="1">
        <f>DATE(2011,11,2) + TIME(12,45,30)</f>
        <v>40849.531597222223</v>
      </c>
      <c r="C817">
        <v>80</v>
      </c>
      <c r="D817">
        <v>79.799468993999994</v>
      </c>
      <c r="E817">
        <v>50</v>
      </c>
      <c r="F817">
        <v>56.190830231</v>
      </c>
      <c r="G817">
        <v>1330.8817139</v>
      </c>
      <c r="H817">
        <v>1330.8870850000001</v>
      </c>
      <c r="I817">
        <v>1332.3751221</v>
      </c>
      <c r="J817">
        <v>1331.6325684000001</v>
      </c>
      <c r="K817">
        <v>0</v>
      </c>
      <c r="L817">
        <v>550</v>
      </c>
      <c r="M817">
        <v>550</v>
      </c>
      <c r="N817">
        <v>0</v>
      </c>
    </row>
    <row r="818" spans="1:14" x14ac:dyDescent="0.25">
      <c r="A818">
        <v>550.750047</v>
      </c>
      <c r="B818" s="1">
        <f>DATE(2011,11,2) + TIME(18,0,4)</f>
        <v>40849.7500462963</v>
      </c>
      <c r="C818">
        <v>80</v>
      </c>
      <c r="D818">
        <v>79.782150268999999</v>
      </c>
      <c r="E818">
        <v>50</v>
      </c>
      <c r="F818">
        <v>55.556911468999999</v>
      </c>
      <c r="G818">
        <v>1330.8714600000001</v>
      </c>
      <c r="H818">
        <v>1330.8670654</v>
      </c>
      <c r="I818">
        <v>1332.3900146000001</v>
      </c>
      <c r="J818">
        <v>1331.6401367000001</v>
      </c>
      <c r="K818">
        <v>0</v>
      </c>
      <c r="L818">
        <v>550</v>
      </c>
      <c r="M818">
        <v>550</v>
      </c>
      <c r="N818">
        <v>0</v>
      </c>
    </row>
    <row r="819" spans="1:14" x14ac:dyDescent="0.25">
      <c r="A819">
        <v>550.97759900000005</v>
      </c>
      <c r="B819" s="1">
        <f>DATE(2011,11,2) + TIME(23,27,44)</f>
        <v>40849.977592592593</v>
      </c>
      <c r="C819">
        <v>80</v>
      </c>
      <c r="D819">
        <v>79.764007567999997</v>
      </c>
      <c r="E819">
        <v>50</v>
      </c>
      <c r="F819">
        <v>54.966014862000002</v>
      </c>
      <c r="G819">
        <v>1330.8590088000001</v>
      </c>
      <c r="H819">
        <v>1330.8477783000001</v>
      </c>
      <c r="I819">
        <v>1332.40625</v>
      </c>
      <c r="J819">
        <v>1331.6485596</v>
      </c>
      <c r="K819">
        <v>0</v>
      </c>
      <c r="L819">
        <v>550</v>
      </c>
      <c r="M819">
        <v>550</v>
      </c>
      <c r="N819">
        <v>0</v>
      </c>
    </row>
    <row r="820" spans="1:14" x14ac:dyDescent="0.25">
      <c r="A820">
        <v>551.21525899999995</v>
      </c>
      <c r="B820" s="1">
        <f>DATE(2011,11,3) + TIME(5,9,58)</f>
        <v>40850.215254629627</v>
      </c>
      <c r="C820">
        <v>80</v>
      </c>
      <c r="D820">
        <v>79.744949340999995</v>
      </c>
      <c r="E820">
        <v>50</v>
      </c>
      <c r="F820">
        <v>54.415874481000003</v>
      </c>
      <c r="G820">
        <v>1330.8466797000001</v>
      </c>
      <c r="H820">
        <v>1330.8286132999999</v>
      </c>
      <c r="I820">
        <v>1332.4237060999999</v>
      </c>
      <c r="J820">
        <v>1331.6579589999999</v>
      </c>
      <c r="K820">
        <v>0</v>
      </c>
      <c r="L820">
        <v>550</v>
      </c>
      <c r="M820">
        <v>550</v>
      </c>
      <c r="N820">
        <v>0</v>
      </c>
    </row>
    <row r="821" spans="1:14" x14ac:dyDescent="0.25">
      <c r="A821">
        <v>551.46414000000004</v>
      </c>
      <c r="B821" s="1">
        <f>DATE(2011,11,3) + TIME(11,8,21)</f>
        <v>40850.464131944442</v>
      </c>
      <c r="C821">
        <v>80</v>
      </c>
      <c r="D821">
        <v>79.724861145000006</v>
      </c>
      <c r="E821">
        <v>50</v>
      </c>
      <c r="F821">
        <v>53.904594420999999</v>
      </c>
      <c r="G821">
        <v>1330.8341064000001</v>
      </c>
      <c r="H821">
        <v>1330.8093262</v>
      </c>
      <c r="I821">
        <v>1332.4423827999999</v>
      </c>
      <c r="J821">
        <v>1331.6680908000001</v>
      </c>
      <c r="K821">
        <v>0</v>
      </c>
      <c r="L821">
        <v>550</v>
      </c>
      <c r="M821">
        <v>550</v>
      </c>
      <c r="N821">
        <v>0</v>
      </c>
    </row>
    <row r="822" spans="1:14" x14ac:dyDescent="0.25">
      <c r="A822">
        <v>551.72554700000001</v>
      </c>
      <c r="B822" s="1">
        <f>DATE(2011,11,3) + TIME(17,24,47)</f>
        <v>40850.725543981483</v>
      </c>
      <c r="C822">
        <v>80</v>
      </c>
      <c r="D822">
        <v>79.703498839999995</v>
      </c>
      <c r="E822">
        <v>50</v>
      </c>
      <c r="F822">
        <v>53.430515288999999</v>
      </c>
      <c r="G822">
        <v>1330.8215332</v>
      </c>
      <c r="H822">
        <v>1330.7897949000001</v>
      </c>
      <c r="I822">
        <v>1332.4621582</v>
      </c>
      <c r="J822">
        <v>1331.6789550999999</v>
      </c>
      <c r="K822">
        <v>0</v>
      </c>
      <c r="L822">
        <v>550</v>
      </c>
      <c r="M822">
        <v>550</v>
      </c>
      <c r="N822">
        <v>0</v>
      </c>
    </row>
    <row r="823" spans="1:14" x14ac:dyDescent="0.25">
      <c r="A823">
        <v>552.00101900000004</v>
      </c>
      <c r="B823" s="1">
        <f>DATE(2011,11,4) + TIME(0,1,28)</f>
        <v>40851.001018518517</v>
      </c>
      <c r="C823">
        <v>80</v>
      </c>
      <c r="D823">
        <v>79.680702209000003</v>
      </c>
      <c r="E823">
        <v>50</v>
      </c>
      <c r="F823">
        <v>52.992176055999998</v>
      </c>
      <c r="G823">
        <v>1330.8087158000001</v>
      </c>
      <c r="H823">
        <v>1330.7701416</v>
      </c>
      <c r="I823">
        <v>1332.4830322</v>
      </c>
      <c r="J823">
        <v>1331.6904297000001</v>
      </c>
      <c r="K823">
        <v>0</v>
      </c>
      <c r="L823">
        <v>550</v>
      </c>
      <c r="M823">
        <v>550</v>
      </c>
      <c r="N823">
        <v>0</v>
      </c>
    </row>
    <row r="824" spans="1:14" x14ac:dyDescent="0.25">
      <c r="A824">
        <v>552.29239399999994</v>
      </c>
      <c r="B824" s="1">
        <f>DATE(2011,11,4) + TIME(7,1,2)</f>
        <v>40851.292384259257</v>
      </c>
      <c r="C824">
        <v>80</v>
      </c>
      <c r="D824">
        <v>79.656272888000004</v>
      </c>
      <c r="E824">
        <v>50</v>
      </c>
      <c r="F824">
        <v>52.588264465000002</v>
      </c>
      <c r="G824">
        <v>1330.7957764</v>
      </c>
      <c r="H824">
        <v>1330.7502440999999</v>
      </c>
      <c r="I824">
        <v>1332.5046387</v>
      </c>
      <c r="J824">
        <v>1331.7025146000001</v>
      </c>
      <c r="K824">
        <v>0</v>
      </c>
      <c r="L824">
        <v>550</v>
      </c>
      <c r="M824">
        <v>550</v>
      </c>
      <c r="N824">
        <v>0</v>
      </c>
    </row>
    <row r="825" spans="1:14" x14ac:dyDescent="0.25">
      <c r="A825">
        <v>552.60188100000005</v>
      </c>
      <c r="B825" s="1">
        <f>DATE(2011,11,4) + TIME(14,26,42)</f>
        <v>40851.601875</v>
      </c>
      <c r="C825">
        <v>80</v>
      </c>
      <c r="D825">
        <v>79.629966736</v>
      </c>
      <c r="E825">
        <v>50</v>
      </c>
      <c r="F825">
        <v>52.217613219999997</v>
      </c>
      <c r="G825">
        <v>1330.7824707</v>
      </c>
      <c r="H825">
        <v>1330.7298584</v>
      </c>
      <c r="I825">
        <v>1332.5270995999999</v>
      </c>
      <c r="J825">
        <v>1331.715332</v>
      </c>
      <c r="K825">
        <v>0</v>
      </c>
      <c r="L825">
        <v>550</v>
      </c>
      <c r="M825">
        <v>550</v>
      </c>
      <c r="N825">
        <v>0</v>
      </c>
    </row>
    <row r="826" spans="1:14" x14ac:dyDescent="0.25">
      <c r="A826">
        <v>552.93079799999998</v>
      </c>
      <c r="B826" s="1">
        <f>DATE(2011,11,4) + TIME(22,20,20)</f>
        <v>40851.930787037039</v>
      </c>
      <c r="C826">
        <v>80</v>
      </c>
      <c r="D826">
        <v>79.601623535000002</v>
      </c>
      <c r="E826">
        <v>50</v>
      </c>
      <c r="F826">
        <v>51.880348206000001</v>
      </c>
      <c r="G826">
        <v>1330.7689209</v>
      </c>
      <c r="H826">
        <v>1330.7089844</v>
      </c>
      <c r="I826">
        <v>1332.550293</v>
      </c>
      <c r="J826">
        <v>1331.7285156</v>
      </c>
      <c r="K826">
        <v>0</v>
      </c>
      <c r="L826">
        <v>550</v>
      </c>
      <c r="M826">
        <v>550</v>
      </c>
      <c r="N826">
        <v>0</v>
      </c>
    </row>
    <row r="827" spans="1:14" x14ac:dyDescent="0.25">
      <c r="A827">
        <v>553.28151300000002</v>
      </c>
      <c r="B827" s="1">
        <f>DATE(2011,11,5) + TIME(6,45,22)</f>
        <v>40852.281504629631</v>
      </c>
      <c r="C827">
        <v>80</v>
      </c>
      <c r="D827">
        <v>79.570960998999993</v>
      </c>
      <c r="E827">
        <v>50</v>
      </c>
      <c r="F827">
        <v>51.575607300000001</v>
      </c>
      <c r="G827">
        <v>1330.7548827999999</v>
      </c>
      <c r="H827">
        <v>1330.6877440999999</v>
      </c>
      <c r="I827">
        <v>1332.5739745999999</v>
      </c>
      <c r="J827">
        <v>1331.7421875</v>
      </c>
      <c r="K827">
        <v>0</v>
      </c>
      <c r="L827">
        <v>550</v>
      </c>
      <c r="M827">
        <v>550</v>
      </c>
      <c r="N827">
        <v>0</v>
      </c>
    </row>
    <row r="828" spans="1:14" x14ac:dyDescent="0.25">
      <c r="A828">
        <v>553.65691600000002</v>
      </c>
      <c r="B828" s="1">
        <f>DATE(2011,11,5) + TIME(15,45,57)</f>
        <v>40852.656909722224</v>
      </c>
      <c r="C828">
        <v>80</v>
      </c>
      <c r="D828">
        <v>79.537643433</v>
      </c>
      <c r="E828">
        <v>50</v>
      </c>
      <c r="F828">
        <v>51.302417755</v>
      </c>
      <c r="G828">
        <v>1330.7404785000001</v>
      </c>
      <c r="H828">
        <v>1330.6657714999999</v>
      </c>
      <c r="I828">
        <v>1332.5981445</v>
      </c>
      <c r="J828">
        <v>1331.7561035000001</v>
      </c>
      <c r="K828">
        <v>0</v>
      </c>
      <c r="L828">
        <v>550</v>
      </c>
      <c r="M828">
        <v>550</v>
      </c>
      <c r="N828">
        <v>0</v>
      </c>
    </row>
    <row r="829" spans="1:14" x14ac:dyDescent="0.25">
      <c r="A829">
        <v>554.06046500000002</v>
      </c>
      <c r="B829" s="1">
        <f>DATE(2011,11,6) + TIME(1,27,4)</f>
        <v>40853.06046296296</v>
      </c>
      <c r="C829">
        <v>80</v>
      </c>
      <c r="D829">
        <v>79.501266478999995</v>
      </c>
      <c r="E829">
        <v>50</v>
      </c>
      <c r="F829">
        <v>51.059738158999998</v>
      </c>
      <c r="G829">
        <v>1330.7255858999999</v>
      </c>
      <c r="H829">
        <v>1330.6431885</v>
      </c>
      <c r="I829">
        <v>1332.6224365</v>
      </c>
      <c r="J829">
        <v>1331.7702637</v>
      </c>
      <c r="K829">
        <v>0</v>
      </c>
      <c r="L829">
        <v>550</v>
      </c>
      <c r="M829">
        <v>550</v>
      </c>
      <c r="N829">
        <v>0</v>
      </c>
    </row>
    <row r="830" spans="1:14" x14ac:dyDescent="0.25">
      <c r="A830">
        <v>554.49634100000003</v>
      </c>
      <c r="B830" s="1">
        <f>DATE(2011,11,6) + TIME(11,54,43)</f>
        <v>40853.496331018519</v>
      </c>
      <c r="C830">
        <v>80</v>
      </c>
      <c r="D830">
        <v>79.461189270000006</v>
      </c>
      <c r="E830">
        <v>50</v>
      </c>
      <c r="F830">
        <v>50.846439361999998</v>
      </c>
      <c r="G830">
        <v>1330.7100829999999</v>
      </c>
      <c r="H830">
        <v>1330.619751</v>
      </c>
      <c r="I830">
        <v>1332.6468506000001</v>
      </c>
      <c r="J830">
        <v>1331.7844238</v>
      </c>
      <c r="K830">
        <v>0</v>
      </c>
      <c r="L830">
        <v>550</v>
      </c>
      <c r="M830">
        <v>550</v>
      </c>
      <c r="N830">
        <v>0</v>
      </c>
    </row>
    <row r="831" spans="1:14" x14ac:dyDescent="0.25">
      <c r="A831">
        <v>554.96969100000001</v>
      </c>
      <c r="B831" s="1">
        <f>DATE(2011,11,6) + TIME(23,16,21)</f>
        <v>40853.969687500001</v>
      </c>
      <c r="C831">
        <v>80</v>
      </c>
      <c r="D831">
        <v>79.416748046999999</v>
      </c>
      <c r="E831">
        <v>50</v>
      </c>
      <c r="F831">
        <v>50.661231995000001</v>
      </c>
      <c r="G831">
        <v>1330.6938477000001</v>
      </c>
      <c r="H831">
        <v>1330.5954589999999</v>
      </c>
      <c r="I831">
        <v>1332.6710204999999</v>
      </c>
      <c r="J831">
        <v>1331.7987060999999</v>
      </c>
      <c r="K831">
        <v>0</v>
      </c>
      <c r="L831">
        <v>550</v>
      </c>
      <c r="M831">
        <v>550</v>
      </c>
      <c r="N831">
        <v>0</v>
      </c>
    </row>
    <row r="832" spans="1:14" x14ac:dyDescent="0.25">
      <c r="A832">
        <v>555.47742000000005</v>
      </c>
      <c r="B832" s="1">
        <f>DATE(2011,11,7) + TIME(11,27,29)</f>
        <v>40854.477418981478</v>
      </c>
      <c r="C832">
        <v>80</v>
      </c>
      <c r="D832">
        <v>79.368041992000002</v>
      </c>
      <c r="E832">
        <v>50</v>
      </c>
      <c r="F832">
        <v>50.504947661999999</v>
      </c>
      <c r="G832">
        <v>1330.6767577999999</v>
      </c>
      <c r="H832">
        <v>1330.5699463000001</v>
      </c>
      <c r="I832">
        <v>1332.6950684000001</v>
      </c>
      <c r="J832">
        <v>1331.8129882999999</v>
      </c>
      <c r="K832">
        <v>0</v>
      </c>
      <c r="L832">
        <v>550</v>
      </c>
      <c r="M832">
        <v>550</v>
      </c>
      <c r="N832">
        <v>0</v>
      </c>
    </row>
    <row r="833" spans="1:14" x14ac:dyDescent="0.25">
      <c r="A833">
        <v>556.01105099999995</v>
      </c>
      <c r="B833" s="1">
        <f>DATE(2011,11,8) + TIME(0,15,54)</f>
        <v>40855.011041666665</v>
      </c>
      <c r="C833">
        <v>80</v>
      </c>
      <c r="D833">
        <v>79.315681458</v>
      </c>
      <c r="E833">
        <v>50</v>
      </c>
      <c r="F833">
        <v>50.377353667999998</v>
      </c>
      <c r="G833">
        <v>1330.6590576000001</v>
      </c>
      <c r="H833">
        <v>1330.5437012</v>
      </c>
      <c r="I833">
        <v>1332.7183838000001</v>
      </c>
      <c r="J833">
        <v>1331.8267822</v>
      </c>
      <c r="K833">
        <v>0</v>
      </c>
      <c r="L833">
        <v>550</v>
      </c>
      <c r="M833">
        <v>550</v>
      </c>
      <c r="N833">
        <v>0</v>
      </c>
    </row>
    <row r="834" spans="1:14" x14ac:dyDescent="0.25">
      <c r="A834">
        <v>556.57087100000001</v>
      </c>
      <c r="B834" s="1">
        <f>DATE(2011,11,8) + TIME(13,42,3)</f>
        <v>40855.570868055554</v>
      </c>
      <c r="C834">
        <v>80</v>
      </c>
      <c r="D834">
        <v>79.259490967000005</v>
      </c>
      <c r="E834">
        <v>50</v>
      </c>
      <c r="F834">
        <v>50.274703979000002</v>
      </c>
      <c r="G834">
        <v>1330.6409911999999</v>
      </c>
      <c r="H834">
        <v>1330.5169678</v>
      </c>
      <c r="I834">
        <v>1332.7401123</v>
      </c>
      <c r="J834">
        <v>1331.8398437999999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557.15881200000001</v>
      </c>
      <c r="B835" s="1">
        <f>DATE(2011,11,9) + TIME(3,48,41)</f>
        <v>40856.158807870372</v>
      </c>
      <c r="C835">
        <v>80</v>
      </c>
      <c r="D835">
        <v>79.199134826999995</v>
      </c>
      <c r="E835">
        <v>50</v>
      </c>
      <c r="F835">
        <v>50.193187713999997</v>
      </c>
      <c r="G835">
        <v>1330.6224365</v>
      </c>
      <c r="H835">
        <v>1330.4898682</v>
      </c>
      <c r="I835">
        <v>1332.7578125</v>
      </c>
      <c r="J835">
        <v>1331.8502197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557.77730599999995</v>
      </c>
      <c r="B836" s="1">
        <f>DATE(2011,11,9) + TIME(18,39,19)</f>
        <v>40856.777303240742</v>
      </c>
      <c r="C836">
        <v>80</v>
      </c>
      <c r="D836">
        <v>79.134185790999993</v>
      </c>
      <c r="E836">
        <v>50</v>
      </c>
      <c r="F836">
        <v>50.129230499000002</v>
      </c>
      <c r="G836">
        <v>1330.6033935999999</v>
      </c>
      <c r="H836">
        <v>1330.4621582</v>
      </c>
      <c r="I836">
        <v>1332.7738036999999</v>
      </c>
      <c r="J836">
        <v>1331.8598632999999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558.41211899999996</v>
      </c>
      <c r="B837" s="1">
        <f>DATE(2011,11,10) + TIME(9,53,27)</f>
        <v>40857.412118055552</v>
      </c>
      <c r="C837">
        <v>80</v>
      </c>
      <c r="D837">
        <v>79.065872192</v>
      </c>
      <c r="E837">
        <v>50</v>
      </c>
      <c r="F837">
        <v>50.080635071000003</v>
      </c>
      <c r="G837">
        <v>1330.5841064000001</v>
      </c>
      <c r="H837">
        <v>1330.434082</v>
      </c>
      <c r="I837">
        <v>1332.7885742000001</v>
      </c>
      <c r="J837">
        <v>1331.8686522999999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559.060517</v>
      </c>
      <c r="B838" s="1">
        <f>DATE(2011,11,11) + TIME(1,27,8)</f>
        <v>40858.06050925926</v>
      </c>
      <c r="C838">
        <v>80</v>
      </c>
      <c r="D838">
        <v>78.994346618999998</v>
      </c>
      <c r="E838">
        <v>50</v>
      </c>
      <c r="F838">
        <v>50.044109343999999</v>
      </c>
      <c r="G838">
        <v>1330.5646973</v>
      </c>
      <c r="H838">
        <v>1330.4061279</v>
      </c>
      <c r="I838">
        <v>1332.8015137</v>
      </c>
      <c r="J838">
        <v>1331.8763428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559.72709899999995</v>
      </c>
      <c r="B839" s="1">
        <f>DATE(2011,11,11) + TIME(17,27,1)</f>
        <v>40858.727094907408</v>
      </c>
      <c r="C839">
        <v>80</v>
      </c>
      <c r="D839">
        <v>78.919021606000001</v>
      </c>
      <c r="E839">
        <v>50</v>
      </c>
      <c r="F839">
        <v>50.016677856000001</v>
      </c>
      <c r="G839">
        <v>1330.5451660000001</v>
      </c>
      <c r="H839">
        <v>1330.3781738</v>
      </c>
      <c r="I839">
        <v>1332.8104248</v>
      </c>
      <c r="J839">
        <v>1331.8817139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560.417551</v>
      </c>
      <c r="B840" s="1">
        <f>DATE(2011,11,12) + TIME(10,1,16)</f>
        <v>40859.417546296296</v>
      </c>
      <c r="C840">
        <v>80</v>
      </c>
      <c r="D840">
        <v>78.839172363000003</v>
      </c>
      <c r="E840">
        <v>50</v>
      </c>
      <c r="F840">
        <v>49.996089935000001</v>
      </c>
      <c r="G840">
        <v>1330.5256348</v>
      </c>
      <c r="H840">
        <v>1330.3503418</v>
      </c>
      <c r="I840">
        <v>1332.8179932</v>
      </c>
      <c r="J840">
        <v>1331.8861084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561.13853600000004</v>
      </c>
      <c r="B841" s="1">
        <f>DATE(2011,11,13) + TIME(3,19,29)</f>
        <v>40860.13853009259</v>
      </c>
      <c r="C841">
        <v>80</v>
      </c>
      <c r="D841">
        <v>78.75390625</v>
      </c>
      <c r="E841">
        <v>50</v>
      </c>
      <c r="F841">
        <v>49.980659484999997</v>
      </c>
      <c r="G841">
        <v>1330.5059814000001</v>
      </c>
      <c r="H841">
        <v>1330.3222656</v>
      </c>
      <c r="I841">
        <v>1332.8245850000001</v>
      </c>
      <c r="J841">
        <v>1331.8900146000001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561.896703</v>
      </c>
      <c r="B842" s="1">
        <f>DATE(2011,11,13) + TIME(21,31,15)</f>
        <v>40860.896701388891</v>
      </c>
      <c r="C842">
        <v>80</v>
      </c>
      <c r="D842">
        <v>78.662284850999995</v>
      </c>
      <c r="E842">
        <v>50</v>
      </c>
      <c r="F842">
        <v>49.969146729000002</v>
      </c>
      <c r="G842">
        <v>1330.4859618999999</v>
      </c>
      <c r="H842">
        <v>1330.2939452999999</v>
      </c>
      <c r="I842">
        <v>1332.8303223</v>
      </c>
      <c r="J842">
        <v>1331.8934326000001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562.69958699999995</v>
      </c>
      <c r="B843" s="1">
        <f>DATE(2011,11,14) + TIME(16,47,24)</f>
        <v>40861.699583333335</v>
      </c>
      <c r="C843">
        <v>80</v>
      </c>
      <c r="D843">
        <v>78.563201903999996</v>
      </c>
      <c r="E843">
        <v>50</v>
      </c>
      <c r="F843">
        <v>49.960597991999997</v>
      </c>
      <c r="G843">
        <v>1330.4655762</v>
      </c>
      <c r="H843">
        <v>1330.2651367000001</v>
      </c>
      <c r="I843">
        <v>1332.8352050999999</v>
      </c>
      <c r="J843">
        <v>1331.8963623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563.55642499999999</v>
      </c>
      <c r="B844" s="1">
        <f>DATE(2011,11,15) + TIME(13,21,15)</f>
        <v>40862.556423611109</v>
      </c>
      <c r="C844">
        <v>80</v>
      </c>
      <c r="D844">
        <v>78.455276488999999</v>
      </c>
      <c r="E844">
        <v>50</v>
      </c>
      <c r="F844">
        <v>49.954288482999999</v>
      </c>
      <c r="G844">
        <v>1330.4445800999999</v>
      </c>
      <c r="H844">
        <v>1330.2355957</v>
      </c>
      <c r="I844">
        <v>1332.8393555</v>
      </c>
      <c r="J844">
        <v>1331.8989257999999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564.47002499999996</v>
      </c>
      <c r="B845" s="1">
        <f>DATE(2011,11,16) + TIME(11,16,50)</f>
        <v>40863.470023148147</v>
      </c>
      <c r="C845">
        <v>80</v>
      </c>
      <c r="D845">
        <v>78.337753296000002</v>
      </c>
      <c r="E845">
        <v>50</v>
      </c>
      <c r="F845">
        <v>49.949691772000001</v>
      </c>
      <c r="G845">
        <v>1330.4228516000001</v>
      </c>
      <c r="H845">
        <v>1330.2052002</v>
      </c>
      <c r="I845">
        <v>1332.8428954999999</v>
      </c>
      <c r="J845">
        <v>1331.901001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565.42617299999995</v>
      </c>
      <c r="B846" s="1">
        <f>DATE(2011,11,17) + TIME(10,13,41)</f>
        <v>40864.426168981481</v>
      </c>
      <c r="C846">
        <v>80</v>
      </c>
      <c r="D846">
        <v>78.211692810000002</v>
      </c>
      <c r="E846">
        <v>50</v>
      </c>
      <c r="F846">
        <v>49.946418762</v>
      </c>
      <c r="G846">
        <v>1330.4003906</v>
      </c>
      <c r="H846">
        <v>1330.1739502</v>
      </c>
      <c r="I846">
        <v>1332.8458252</v>
      </c>
      <c r="J846">
        <v>1331.902832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566.43383500000004</v>
      </c>
      <c r="B847" s="1">
        <f>DATE(2011,11,18) + TIME(10,24,43)</f>
        <v>40865.433831018519</v>
      </c>
      <c r="C847">
        <v>80</v>
      </c>
      <c r="D847">
        <v>78.075714110999996</v>
      </c>
      <c r="E847">
        <v>50</v>
      </c>
      <c r="F847">
        <v>49.944080352999997</v>
      </c>
      <c r="G847">
        <v>1330.3776855000001</v>
      </c>
      <c r="H847">
        <v>1330.1422118999999</v>
      </c>
      <c r="I847">
        <v>1332.8481445</v>
      </c>
      <c r="J847">
        <v>1331.9041748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567.50268100000005</v>
      </c>
      <c r="B848" s="1">
        <f>DATE(2011,11,19) + TIME(12,3,51)</f>
        <v>40866.50267361111</v>
      </c>
      <c r="C848">
        <v>80</v>
      </c>
      <c r="D848">
        <v>77.928268433</v>
      </c>
      <c r="E848">
        <v>50</v>
      </c>
      <c r="F848">
        <v>49.942409515000001</v>
      </c>
      <c r="G848">
        <v>1330.3543701000001</v>
      </c>
      <c r="H848">
        <v>1330.1099853999999</v>
      </c>
      <c r="I848">
        <v>1332.8498535000001</v>
      </c>
      <c r="J848">
        <v>1331.9052733999999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568.62477100000001</v>
      </c>
      <c r="B849" s="1">
        <f>DATE(2011,11,20) + TIME(14,59,40)</f>
        <v>40867.624768518515</v>
      </c>
      <c r="C849">
        <v>80</v>
      </c>
      <c r="D849">
        <v>77.769714355000005</v>
      </c>
      <c r="E849">
        <v>50</v>
      </c>
      <c r="F849">
        <v>49.941223145000002</v>
      </c>
      <c r="G849">
        <v>1330.3305664</v>
      </c>
      <c r="H849">
        <v>1330.0770264</v>
      </c>
      <c r="I849">
        <v>1332.8511963000001</v>
      </c>
      <c r="J849">
        <v>1331.9061279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569.76208799999995</v>
      </c>
      <c r="B850" s="1">
        <f>DATE(2011,11,21) + TIME(18,17,24)</f>
        <v>40868.762083333335</v>
      </c>
      <c r="C850">
        <v>80</v>
      </c>
      <c r="D850">
        <v>77.603942871000001</v>
      </c>
      <c r="E850">
        <v>50</v>
      </c>
      <c r="F850">
        <v>49.940402984999999</v>
      </c>
      <c r="G850">
        <v>1330.3062743999999</v>
      </c>
      <c r="H850">
        <v>1330.0437012</v>
      </c>
      <c r="I850">
        <v>1332.8519286999999</v>
      </c>
      <c r="J850">
        <v>1331.9067382999999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570.925208</v>
      </c>
      <c r="B851" s="1">
        <f>DATE(2011,11,22) + TIME(22,12,17)</f>
        <v>40869.925196759257</v>
      </c>
      <c r="C851">
        <v>80</v>
      </c>
      <c r="D851">
        <v>77.429885863999999</v>
      </c>
      <c r="E851">
        <v>50</v>
      </c>
      <c r="F851">
        <v>49.939819335999999</v>
      </c>
      <c r="G851">
        <v>1330.2823486</v>
      </c>
      <c r="H851">
        <v>1330.0107422000001</v>
      </c>
      <c r="I851">
        <v>1332.8522949000001</v>
      </c>
      <c r="J851">
        <v>1331.9069824000001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572.13095899999996</v>
      </c>
      <c r="B852" s="1">
        <f>DATE(2011,11,24) + TIME(3,8,34)</f>
        <v>40871.130949074075</v>
      </c>
      <c r="C852">
        <v>80</v>
      </c>
      <c r="D852">
        <v>77.245651245000005</v>
      </c>
      <c r="E852">
        <v>50</v>
      </c>
      <c r="F852">
        <v>49.939399719000001</v>
      </c>
      <c r="G852">
        <v>1330.2585449000001</v>
      </c>
      <c r="H852">
        <v>1329.9779053</v>
      </c>
      <c r="I852">
        <v>1332.8521728999999</v>
      </c>
      <c r="J852">
        <v>1331.9069824000001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573.39383799999996</v>
      </c>
      <c r="B853" s="1">
        <f>DATE(2011,11,25) + TIME(9,27,7)</f>
        <v>40872.393831018519</v>
      </c>
      <c r="C853">
        <v>80</v>
      </c>
      <c r="D853">
        <v>77.049446106000005</v>
      </c>
      <c r="E853">
        <v>50</v>
      </c>
      <c r="F853">
        <v>49.939090729</v>
      </c>
      <c r="G853">
        <v>1330.2346190999999</v>
      </c>
      <c r="H853">
        <v>1329.9451904</v>
      </c>
      <c r="I853">
        <v>1332.8518065999999</v>
      </c>
      <c r="J853">
        <v>1331.9069824000001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574.72857099999999</v>
      </c>
      <c r="B854" s="1">
        <f>DATE(2011,11,26) + TIME(17,29,8)</f>
        <v>40873.728564814817</v>
      </c>
      <c r="C854">
        <v>80</v>
      </c>
      <c r="D854">
        <v>76.839324950999995</v>
      </c>
      <c r="E854">
        <v>50</v>
      </c>
      <c r="F854">
        <v>49.938861846999998</v>
      </c>
      <c r="G854">
        <v>1330.2104492000001</v>
      </c>
      <c r="H854">
        <v>1329.9121094</v>
      </c>
      <c r="I854">
        <v>1332.8513184000001</v>
      </c>
      <c r="J854">
        <v>1331.9068603999999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576.15311699999995</v>
      </c>
      <c r="B855" s="1">
        <f>DATE(2011,11,28) + TIME(3,40,29)</f>
        <v>40875.153113425928</v>
      </c>
      <c r="C855">
        <v>80</v>
      </c>
      <c r="D855">
        <v>76.612892150999997</v>
      </c>
      <c r="E855">
        <v>50</v>
      </c>
      <c r="F855">
        <v>49.938693999999998</v>
      </c>
      <c r="G855">
        <v>1330.1857910000001</v>
      </c>
      <c r="H855">
        <v>1329.8785399999999</v>
      </c>
      <c r="I855">
        <v>1332.8507079999999</v>
      </c>
      <c r="J855">
        <v>1331.9067382999999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577.69000900000003</v>
      </c>
      <c r="B856" s="1">
        <f>DATE(2011,11,29) + TIME(16,33,36)</f>
        <v>40876.69</v>
      </c>
      <c r="C856">
        <v>80</v>
      </c>
      <c r="D856">
        <v>76.367134093999994</v>
      </c>
      <c r="E856">
        <v>50</v>
      </c>
      <c r="F856">
        <v>49.938571930000002</v>
      </c>
      <c r="G856">
        <v>1330.1605225000001</v>
      </c>
      <c r="H856">
        <v>1329.8443603999999</v>
      </c>
      <c r="I856">
        <v>1332.8500977000001</v>
      </c>
      <c r="J856">
        <v>1331.9066161999999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579</v>
      </c>
      <c r="B857" s="1">
        <f>DATE(2011,12,1) + TIME(0,0,0)</f>
        <v>40878</v>
      </c>
      <c r="C857">
        <v>80</v>
      </c>
      <c r="D857">
        <v>76.140197753999999</v>
      </c>
      <c r="E857">
        <v>50</v>
      </c>
      <c r="F857">
        <v>49.938499450999998</v>
      </c>
      <c r="G857">
        <v>1330.1346435999999</v>
      </c>
      <c r="H857">
        <v>1329.8094481999999</v>
      </c>
      <c r="I857">
        <v>1332.8493652</v>
      </c>
      <c r="J857">
        <v>1331.9064940999999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580.58034099999998</v>
      </c>
      <c r="B858" s="1">
        <f>DATE(2011,12,2) + TIME(13,55,41)</f>
        <v>40879.580335648148</v>
      </c>
      <c r="C858">
        <v>80</v>
      </c>
      <c r="D858">
        <v>75.879989624000004</v>
      </c>
      <c r="E858">
        <v>50</v>
      </c>
      <c r="F858">
        <v>49.938446044999999</v>
      </c>
      <c r="G858">
        <v>1330.1119385</v>
      </c>
      <c r="H858">
        <v>1329.7783202999999</v>
      </c>
      <c r="I858">
        <v>1332.8487548999999</v>
      </c>
      <c r="J858">
        <v>1331.9063721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582.23462400000005</v>
      </c>
      <c r="B859" s="1">
        <f>DATE(2011,12,4) + TIME(5,37,51)</f>
        <v>40881.234618055554</v>
      </c>
      <c r="C859">
        <v>80</v>
      </c>
      <c r="D859">
        <v>75.604782103999995</v>
      </c>
      <c r="E859">
        <v>50</v>
      </c>
      <c r="F859">
        <v>49.938411713000001</v>
      </c>
      <c r="G859">
        <v>1330.0867920000001</v>
      </c>
      <c r="H859">
        <v>1329.7445068</v>
      </c>
      <c r="I859">
        <v>1332.8480225000001</v>
      </c>
      <c r="J859">
        <v>1331.9063721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583.94548699999996</v>
      </c>
      <c r="B860" s="1">
        <f>DATE(2011,12,5) + TIME(22,41,30)</f>
        <v>40882.945486111108</v>
      </c>
      <c r="C860">
        <v>80</v>
      </c>
      <c r="D860">
        <v>75.316658020000006</v>
      </c>
      <c r="E860">
        <v>50</v>
      </c>
      <c r="F860">
        <v>49.938392639</v>
      </c>
      <c r="G860">
        <v>1330.0615233999999</v>
      </c>
      <c r="H860">
        <v>1329.7104492000001</v>
      </c>
      <c r="I860">
        <v>1332.847168</v>
      </c>
      <c r="J860">
        <v>1331.90625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585.72742400000004</v>
      </c>
      <c r="B861" s="1">
        <f>DATE(2011,12,7) + TIME(17,27,29)</f>
        <v>40884.727418981478</v>
      </c>
      <c r="C861">
        <v>80</v>
      </c>
      <c r="D861">
        <v>75.014823914000004</v>
      </c>
      <c r="E861">
        <v>50</v>
      </c>
      <c r="F861">
        <v>49.938381194999998</v>
      </c>
      <c r="G861">
        <v>1330.0361327999999</v>
      </c>
      <c r="H861">
        <v>1329.6763916</v>
      </c>
      <c r="I861">
        <v>1332.8463135</v>
      </c>
      <c r="J861">
        <v>1331.90625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587.59654399999999</v>
      </c>
      <c r="B862" s="1">
        <f>DATE(2011,12,9) + TIME(14,19,1)</f>
        <v>40886.596539351849</v>
      </c>
      <c r="C862">
        <v>80</v>
      </c>
      <c r="D862">
        <v>74.697669982999997</v>
      </c>
      <c r="E862">
        <v>50</v>
      </c>
      <c r="F862">
        <v>49.938373566000003</v>
      </c>
      <c r="G862">
        <v>1330.0107422000001</v>
      </c>
      <c r="H862">
        <v>1329.6422118999999</v>
      </c>
      <c r="I862">
        <v>1332.8452147999999</v>
      </c>
      <c r="J862">
        <v>1331.9061279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589.587806</v>
      </c>
      <c r="B863" s="1">
        <f>DATE(2011,12,11) + TIME(14,6,26)</f>
        <v>40888.587800925925</v>
      </c>
      <c r="C863">
        <v>80</v>
      </c>
      <c r="D863">
        <v>74.361938476999995</v>
      </c>
      <c r="E863">
        <v>50</v>
      </c>
      <c r="F863">
        <v>49.938373566000003</v>
      </c>
      <c r="G863">
        <v>1329.9851074000001</v>
      </c>
      <c r="H863">
        <v>1329.6079102000001</v>
      </c>
      <c r="I863">
        <v>1332.8441161999999</v>
      </c>
      <c r="J863">
        <v>1331.9060059000001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591.67557899999997</v>
      </c>
      <c r="B864" s="1">
        <f>DATE(2011,12,13) + TIME(16,12,50)</f>
        <v>40890.675578703704</v>
      </c>
      <c r="C864">
        <v>80</v>
      </c>
      <c r="D864">
        <v>74.009399414000001</v>
      </c>
      <c r="E864">
        <v>50</v>
      </c>
      <c r="F864">
        <v>49.938377379999999</v>
      </c>
      <c r="G864">
        <v>1329.9591064000001</v>
      </c>
      <c r="H864">
        <v>1329.5732422000001</v>
      </c>
      <c r="I864">
        <v>1332.8430175999999</v>
      </c>
      <c r="J864">
        <v>1331.9060059000001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593.87773000000004</v>
      </c>
      <c r="B865" s="1">
        <f>DATE(2011,12,15) + TIME(21,3,55)</f>
        <v>40892.87771990741</v>
      </c>
      <c r="C865">
        <v>80</v>
      </c>
      <c r="D865">
        <v>73.638893127000003</v>
      </c>
      <c r="E865">
        <v>50</v>
      </c>
      <c r="F865">
        <v>49.938381194999998</v>
      </c>
      <c r="G865">
        <v>1329.9328613</v>
      </c>
      <c r="H865">
        <v>1329.5383300999999</v>
      </c>
      <c r="I865">
        <v>1332.8419189000001</v>
      </c>
      <c r="J865">
        <v>1331.9061279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596.22662100000002</v>
      </c>
      <c r="B866" s="1">
        <f>DATE(2011,12,18) + TIME(5,26,20)</f>
        <v>40895.226620370369</v>
      </c>
      <c r="C866">
        <v>80</v>
      </c>
      <c r="D866">
        <v>73.247619628999999</v>
      </c>
      <c r="E866">
        <v>50</v>
      </c>
      <c r="F866">
        <v>49.938388824</v>
      </c>
      <c r="G866">
        <v>1329.9063721</v>
      </c>
      <c r="H866">
        <v>1329.5031738</v>
      </c>
      <c r="I866">
        <v>1332.8408202999999</v>
      </c>
      <c r="J866">
        <v>1331.90625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598.72599300000002</v>
      </c>
      <c r="B867" s="1">
        <f>DATE(2011,12,20) + TIME(17,25,25)</f>
        <v>40897.725983796299</v>
      </c>
      <c r="C867">
        <v>80</v>
      </c>
      <c r="D867">
        <v>72.834548949999999</v>
      </c>
      <c r="E867">
        <v>50</v>
      </c>
      <c r="F867">
        <v>49.938400268999999</v>
      </c>
      <c r="G867">
        <v>1329.8795166</v>
      </c>
      <c r="H867">
        <v>1329.4674072</v>
      </c>
      <c r="I867">
        <v>1332.8398437999999</v>
      </c>
      <c r="J867">
        <v>1331.9064940999999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601.256843</v>
      </c>
      <c r="B868" s="1">
        <f>DATE(2011,12,23) + TIME(6,9,51)</f>
        <v>40900.256840277776</v>
      </c>
      <c r="C868">
        <v>80</v>
      </c>
      <c r="D868">
        <v>72.409385681000003</v>
      </c>
      <c r="E868">
        <v>50</v>
      </c>
      <c r="F868">
        <v>49.938407898000001</v>
      </c>
      <c r="G868">
        <v>1329.8522949000001</v>
      </c>
      <c r="H868">
        <v>1329.4313964999999</v>
      </c>
      <c r="I868">
        <v>1332.8387451000001</v>
      </c>
      <c r="J868">
        <v>1331.9068603999999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603.85061599999995</v>
      </c>
      <c r="B869" s="1">
        <f>DATE(2011,12,25) + TIME(20,24,53)</f>
        <v>40902.850613425922</v>
      </c>
      <c r="C869">
        <v>80</v>
      </c>
      <c r="D869">
        <v>71.974594116000006</v>
      </c>
      <c r="E869">
        <v>50</v>
      </c>
      <c r="F869">
        <v>49.938415526999997</v>
      </c>
      <c r="G869">
        <v>1329.8255615</v>
      </c>
      <c r="H869">
        <v>1329.3959961</v>
      </c>
      <c r="I869">
        <v>1332.8378906</v>
      </c>
      <c r="J869">
        <v>1331.9072266000001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606.54535299999998</v>
      </c>
      <c r="B870" s="1">
        <f>DATE(2011,12,28) + TIME(13,5,18)</f>
        <v>40905.545347222222</v>
      </c>
      <c r="C870">
        <v>80</v>
      </c>
      <c r="D870">
        <v>71.528800963999998</v>
      </c>
      <c r="E870">
        <v>50</v>
      </c>
      <c r="F870">
        <v>49.938426970999998</v>
      </c>
      <c r="G870">
        <v>1329.7993164</v>
      </c>
      <c r="H870">
        <v>1329.3610839999999</v>
      </c>
      <c r="I870">
        <v>1332.8370361</v>
      </c>
      <c r="J870">
        <v>1331.9077147999999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609.33268799999996</v>
      </c>
      <c r="B871" s="1">
        <f>DATE(2011,12,31) + TIME(7,59,4)</f>
        <v>40908.332685185182</v>
      </c>
      <c r="C871">
        <v>80</v>
      </c>
      <c r="D871">
        <v>71.072296143000003</v>
      </c>
      <c r="E871">
        <v>50</v>
      </c>
      <c r="F871">
        <v>49.938438415999997</v>
      </c>
      <c r="G871">
        <v>1329.7733154</v>
      </c>
      <c r="H871">
        <v>1329.3267822</v>
      </c>
      <c r="I871">
        <v>1332.8361815999999</v>
      </c>
      <c r="J871">
        <v>1331.9083252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610</v>
      </c>
      <c r="B872" s="1">
        <f>DATE(2012,1,1) + TIME(0,0,0)</f>
        <v>40909</v>
      </c>
      <c r="C872">
        <v>80</v>
      </c>
      <c r="D872">
        <v>70.886840820000003</v>
      </c>
      <c r="E872">
        <v>50</v>
      </c>
      <c r="F872">
        <v>49.938419342000003</v>
      </c>
      <c r="G872">
        <v>1329.7480469</v>
      </c>
      <c r="H872">
        <v>1329.2944336</v>
      </c>
      <c r="I872">
        <v>1332.8353271000001</v>
      </c>
      <c r="J872">
        <v>1331.9089355000001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612.88858400000004</v>
      </c>
      <c r="B873" s="1">
        <f>DATE(2012,1,3) + TIME(21,19,33)</f>
        <v>40911.88857638889</v>
      </c>
      <c r="C873">
        <v>80</v>
      </c>
      <c r="D873">
        <v>70.459556579999997</v>
      </c>
      <c r="E873">
        <v>50</v>
      </c>
      <c r="F873">
        <v>49.938446044999999</v>
      </c>
      <c r="G873">
        <v>1329.7395019999999</v>
      </c>
      <c r="H873">
        <v>1329.2805175999999</v>
      </c>
      <c r="I873">
        <v>1332.8352050999999</v>
      </c>
      <c r="J873">
        <v>1331.9091797000001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615.88817700000004</v>
      </c>
      <c r="B874" s="1">
        <f>DATE(2012,1,6) + TIME(21,18,58)</f>
        <v>40914.888171296298</v>
      </c>
      <c r="C874">
        <v>80</v>
      </c>
      <c r="D874">
        <v>70.000114440999994</v>
      </c>
      <c r="E874">
        <v>50</v>
      </c>
      <c r="F874">
        <v>49.938461304</v>
      </c>
      <c r="G874">
        <v>1329.7155762</v>
      </c>
      <c r="H874">
        <v>1329.2497559000001</v>
      </c>
      <c r="I874">
        <v>1332.8344727000001</v>
      </c>
      <c r="J874">
        <v>1331.9099120999999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619.00922700000001</v>
      </c>
      <c r="B875" s="1">
        <f>DATE(2012,1,10) + TIME(0,13,17)</f>
        <v>40918.00922453704</v>
      </c>
      <c r="C875">
        <v>80</v>
      </c>
      <c r="D875">
        <v>69.518806458</v>
      </c>
      <c r="E875">
        <v>50</v>
      </c>
      <c r="F875">
        <v>49.938476561999998</v>
      </c>
      <c r="G875">
        <v>1329.6914062000001</v>
      </c>
      <c r="H875">
        <v>1329.2182617000001</v>
      </c>
      <c r="I875">
        <v>1332.8338623</v>
      </c>
      <c r="J875">
        <v>1331.9108887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622.28685199999995</v>
      </c>
      <c r="B876" s="1">
        <f>DATE(2012,1,13) + TIME(6,53,3)</f>
        <v>40921.286840277775</v>
      </c>
      <c r="C876">
        <v>80</v>
      </c>
      <c r="D876">
        <v>69.018981933999996</v>
      </c>
      <c r="E876">
        <v>50</v>
      </c>
      <c r="F876">
        <v>49.938491821</v>
      </c>
      <c r="G876">
        <v>1329.6672363</v>
      </c>
      <c r="H876">
        <v>1329.1865233999999</v>
      </c>
      <c r="I876">
        <v>1332.8332519999999</v>
      </c>
      <c r="J876">
        <v>1331.9117432</v>
      </c>
      <c r="K876">
        <v>0</v>
      </c>
      <c r="L876">
        <v>550</v>
      </c>
      <c r="M876">
        <v>550</v>
      </c>
      <c r="N876">
        <v>0</v>
      </c>
    </row>
    <row r="877" spans="1:14" x14ac:dyDescent="0.25">
      <c r="A877">
        <v>625.78278399999999</v>
      </c>
      <c r="B877" s="1">
        <f>DATE(2012,1,16) + TIME(18,47,12)</f>
        <v>40924.782777777778</v>
      </c>
      <c r="C877">
        <v>80</v>
      </c>
      <c r="D877">
        <v>68.498039246000005</v>
      </c>
      <c r="E877">
        <v>50</v>
      </c>
      <c r="F877">
        <v>49.938510895</v>
      </c>
      <c r="G877">
        <v>1329.6430664</v>
      </c>
      <c r="H877">
        <v>1329.1546631000001</v>
      </c>
      <c r="I877">
        <v>1332.8326416</v>
      </c>
      <c r="J877">
        <v>1331.9128418</v>
      </c>
      <c r="K877">
        <v>0</v>
      </c>
      <c r="L877">
        <v>550</v>
      </c>
      <c r="M877">
        <v>550</v>
      </c>
      <c r="N877">
        <v>0</v>
      </c>
    </row>
    <row r="878" spans="1:14" x14ac:dyDescent="0.25">
      <c r="A878">
        <v>629.53684399999997</v>
      </c>
      <c r="B878" s="1">
        <f>DATE(2012,1,20) + TIME(12,53,3)</f>
        <v>40928.536840277775</v>
      </c>
      <c r="C878">
        <v>80</v>
      </c>
      <c r="D878">
        <v>67.951713561999995</v>
      </c>
      <c r="E878">
        <v>50</v>
      </c>
      <c r="F878">
        <v>49.938529967999997</v>
      </c>
      <c r="G878">
        <v>1329.6185303</v>
      </c>
      <c r="H878">
        <v>1329.1226807</v>
      </c>
      <c r="I878">
        <v>1332.8321533000001</v>
      </c>
      <c r="J878">
        <v>1331.9139404</v>
      </c>
      <c r="K878">
        <v>0</v>
      </c>
      <c r="L878">
        <v>550</v>
      </c>
      <c r="M878">
        <v>550</v>
      </c>
      <c r="N878">
        <v>0</v>
      </c>
    </row>
    <row r="879" spans="1:14" x14ac:dyDescent="0.25">
      <c r="A879">
        <v>633.48077599999999</v>
      </c>
      <c r="B879" s="1">
        <f>DATE(2012,1,24) + TIME(11,32,19)</f>
        <v>40932.480775462966</v>
      </c>
      <c r="C879">
        <v>80</v>
      </c>
      <c r="D879">
        <v>67.381401061999995</v>
      </c>
      <c r="E879">
        <v>50</v>
      </c>
      <c r="F879">
        <v>49.938552856000001</v>
      </c>
      <c r="G879">
        <v>1329.59375</v>
      </c>
      <c r="H879">
        <v>1329.090332</v>
      </c>
      <c r="I879">
        <v>1332.831543</v>
      </c>
      <c r="J879">
        <v>1331.9151611</v>
      </c>
      <c r="K879">
        <v>0</v>
      </c>
      <c r="L879">
        <v>550</v>
      </c>
      <c r="M879">
        <v>550</v>
      </c>
      <c r="N879">
        <v>0</v>
      </c>
    </row>
    <row r="880" spans="1:14" x14ac:dyDescent="0.25">
      <c r="A880">
        <v>637.684889</v>
      </c>
      <c r="B880" s="1">
        <f>DATE(2012,1,28) + TIME(16,26,14)</f>
        <v>40936.684884259259</v>
      </c>
      <c r="C880">
        <v>80</v>
      </c>
      <c r="D880">
        <v>66.787216186999999</v>
      </c>
      <c r="E880">
        <v>50</v>
      </c>
      <c r="F880">
        <v>49.938579558999997</v>
      </c>
      <c r="G880">
        <v>1329.5688477000001</v>
      </c>
      <c r="H880">
        <v>1329.0578613</v>
      </c>
      <c r="I880">
        <v>1332.8310547000001</v>
      </c>
      <c r="J880">
        <v>1331.9165039</v>
      </c>
      <c r="K880">
        <v>0</v>
      </c>
      <c r="L880">
        <v>550</v>
      </c>
      <c r="M880">
        <v>550</v>
      </c>
      <c r="N880">
        <v>0</v>
      </c>
    </row>
    <row r="881" spans="1:14" x14ac:dyDescent="0.25">
      <c r="A881">
        <v>641</v>
      </c>
      <c r="B881" s="1">
        <f>DATE(2012,2,1) + TIME(0,0,0)</f>
        <v>40940</v>
      </c>
      <c r="C881">
        <v>80</v>
      </c>
      <c r="D881">
        <v>66.232437133999994</v>
      </c>
      <c r="E881">
        <v>50</v>
      </c>
      <c r="F881">
        <v>49.938579558999997</v>
      </c>
      <c r="G881">
        <v>1329.5439452999999</v>
      </c>
      <c r="H881">
        <v>1329.0255127</v>
      </c>
      <c r="I881">
        <v>1332.8305664</v>
      </c>
      <c r="J881">
        <v>1331.9179687999999</v>
      </c>
      <c r="K881">
        <v>0</v>
      </c>
      <c r="L881">
        <v>550</v>
      </c>
      <c r="M881">
        <v>550</v>
      </c>
      <c r="N881">
        <v>0</v>
      </c>
    </row>
    <row r="882" spans="1:14" x14ac:dyDescent="0.25">
      <c r="A882">
        <v>645.38649599999997</v>
      </c>
      <c r="B882" s="1">
        <f>DATE(2012,2,5) + TIME(9,16,33)</f>
        <v>40944.386493055557</v>
      </c>
      <c r="C882">
        <v>80</v>
      </c>
      <c r="D882">
        <v>65.666168213000006</v>
      </c>
      <c r="E882">
        <v>50</v>
      </c>
      <c r="F882">
        <v>49.938617706000002</v>
      </c>
      <c r="G882">
        <v>1329.5233154</v>
      </c>
      <c r="H882">
        <v>1328.9969481999999</v>
      </c>
      <c r="I882">
        <v>1332.8302002</v>
      </c>
      <c r="J882">
        <v>1331.9190673999999</v>
      </c>
      <c r="K882">
        <v>0</v>
      </c>
      <c r="L882">
        <v>550</v>
      </c>
      <c r="M882">
        <v>550</v>
      </c>
      <c r="N882">
        <v>0</v>
      </c>
    </row>
    <row r="883" spans="1:14" x14ac:dyDescent="0.25">
      <c r="A883">
        <v>649.87091099999998</v>
      </c>
      <c r="B883" s="1">
        <f>DATE(2012,2,9) + TIME(20,54,6)</f>
        <v>40948.87090277778</v>
      </c>
      <c r="C883">
        <v>80</v>
      </c>
      <c r="D883">
        <v>65.058090210000003</v>
      </c>
      <c r="E883">
        <v>50</v>
      </c>
      <c r="F883">
        <v>49.938648223999998</v>
      </c>
      <c r="G883">
        <v>1329.5006103999999</v>
      </c>
      <c r="H883">
        <v>1328.9677733999999</v>
      </c>
      <c r="I883">
        <v>1332.8297118999999</v>
      </c>
      <c r="J883">
        <v>1331.9205322</v>
      </c>
      <c r="K883">
        <v>0</v>
      </c>
      <c r="L883">
        <v>550</v>
      </c>
      <c r="M883">
        <v>550</v>
      </c>
      <c r="N883">
        <v>0</v>
      </c>
    </row>
    <row r="884" spans="1:14" x14ac:dyDescent="0.25">
      <c r="A884">
        <v>654.46195299999999</v>
      </c>
      <c r="B884" s="1">
        <f>DATE(2012,2,14) + TIME(11,5,12)</f>
        <v>40953.461944444447</v>
      </c>
      <c r="C884">
        <v>80</v>
      </c>
      <c r="D884">
        <v>64.43421936</v>
      </c>
      <c r="E884">
        <v>50</v>
      </c>
      <c r="F884">
        <v>49.938678740999997</v>
      </c>
      <c r="G884">
        <v>1329.4779053</v>
      </c>
      <c r="H884">
        <v>1328.9382324000001</v>
      </c>
      <c r="I884">
        <v>1332.8293457</v>
      </c>
      <c r="J884">
        <v>1331.9219971</v>
      </c>
      <c r="K884">
        <v>0</v>
      </c>
      <c r="L884">
        <v>550</v>
      </c>
      <c r="M884">
        <v>550</v>
      </c>
      <c r="N884">
        <v>0</v>
      </c>
    </row>
    <row r="885" spans="1:14" x14ac:dyDescent="0.25">
      <c r="A885">
        <v>659.21971499999995</v>
      </c>
      <c r="B885" s="1">
        <f>DATE(2012,2,19) + TIME(5,16,23)</f>
        <v>40958.219710648147</v>
      </c>
      <c r="C885">
        <v>80</v>
      </c>
      <c r="D885">
        <v>63.799797058000003</v>
      </c>
      <c r="E885">
        <v>50</v>
      </c>
      <c r="F885">
        <v>49.938716888000002</v>
      </c>
      <c r="G885">
        <v>1329.4558105000001</v>
      </c>
      <c r="H885">
        <v>1328.9091797000001</v>
      </c>
      <c r="I885">
        <v>1332.8289795000001</v>
      </c>
      <c r="J885">
        <v>1331.9235839999999</v>
      </c>
      <c r="K885">
        <v>0</v>
      </c>
      <c r="L885">
        <v>550</v>
      </c>
      <c r="M885">
        <v>550</v>
      </c>
      <c r="N885">
        <v>0</v>
      </c>
    </row>
    <row r="886" spans="1:14" x14ac:dyDescent="0.25">
      <c r="A886">
        <v>664.20833700000003</v>
      </c>
      <c r="B886" s="1">
        <f>DATE(2012,2,24) + TIME(5,0,0)</f>
        <v>40963.208333333336</v>
      </c>
      <c r="C886">
        <v>80</v>
      </c>
      <c r="D886">
        <v>63.151500702</v>
      </c>
      <c r="E886">
        <v>50</v>
      </c>
      <c r="F886">
        <v>49.938755035</v>
      </c>
      <c r="G886">
        <v>1329.4344481999999</v>
      </c>
      <c r="H886">
        <v>1328.8809814000001</v>
      </c>
      <c r="I886">
        <v>1332.8286132999999</v>
      </c>
      <c r="J886">
        <v>1331.9250488</v>
      </c>
      <c r="K886">
        <v>0</v>
      </c>
      <c r="L886">
        <v>550</v>
      </c>
      <c r="M886">
        <v>550</v>
      </c>
      <c r="N886">
        <v>0</v>
      </c>
    </row>
    <row r="887" spans="1:14" x14ac:dyDescent="0.25">
      <c r="A887">
        <v>669.49755700000003</v>
      </c>
      <c r="B887" s="1">
        <f>DATE(2012,2,29) + TIME(11,56,28)</f>
        <v>40968.497546296298</v>
      </c>
      <c r="C887">
        <v>80</v>
      </c>
      <c r="D887">
        <v>62.483306884999998</v>
      </c>
      <c r="E887">
        <v>50</v>
      </c>
      <c r="F887">
        <v>49.938800811999997</v>
      </c>
      <c r="G887">
        <v>1329.4134521000001</v>
      </c>
      <c r="H887">
        <v>1328.8533935999999</v>
      </c>
      <c r="I887">
        <v>1332.8282471</v>
      </c>
      <c r="J887">
        <v>1331.9266356999999</v>
      </c>
      <c r="K887">
        <v>0</v>
      </c>
      <c r="L887">
        <v>550</v>
      </c>
      <c r="M887">
        <v>550</v>
      </c>
      <c r="N887">
        <v>0</v>
      </c>
    </row>
    <row r="888" spans="1:14" x14ac:dyDescent="0.25">
      <c r="A888">
        <v>670</v>
      </c>
      <c r="B888" s="1">
        <f>DATE(2012,3,1) + TIME(0,0,0)</f>
        <v>40969</v>
      </c>
      <c r="C888">
        <v>80</v>
      </c>
      <c r="D888">
        <v>62.305286406999997</v>
      </c>
      <c r="E888">
        <v>50</v>
      </c>
      <c r="F888">
        <v>49.938781738000003</v>
      </c>
      <c r="G888">
        <v>1329.3919678</v>
      </c>
      <c r="H888">
        <v>1328.8280029</v>
      </c>
      <c r="I888">
        <v>1332.8277588000001</v>
      </c>
      <c r="J888">
        <v>1331.9282227000001</v>
      </c>
      <c r="K888">
        <v>0</v>
      </c>
      <c r="L888">
        <v>550</v>
      </c>
      <c r="M888">
        <v>550</v>
      </c>
      <c r="N888">
        <v>0</v>
      </c>
    </row>
    <row r="889" spans="1:14" x14ac:dyDescent="0.25">
      <c r="A889">
        <v>675.53002600000002</v>
      </c>
      <c r="B889" s="1">
        <f>DATE(2012,3,6) + TIME(12,43,14)</f>
        <v>40974.530023148145</v>
      </c>
      <c r="C889">
        <v>80</v>
      </c>
      <c r="D889">
        <v>61.694381714000002</v>
      </c>
      <c r="E889">
        <v>50</v>
      </c>
      <c r="F889">
        <v>49.938850403000004</v>
      </c>
      <c r="G889">
        <v>1329.3891602000001</v>
      </c>
      <c r="H889">
        <v>1328.8203125</v>
      </c>
      <c r="I889">
        <v>1332.8277588000001</v>
      </c>
      <c r="J889">
        <v>1331.9284668</v>
      </c>
      <c r="K889">
        <v>0</v>
      </c>
      <c r="L889">
        <v>550</v>
      </c>
      <c r="M889">
        <v>550</v>
      </c>
      <c r="N889">
        <v>0</v>
      </c>
    </row>
    <row r="890" spans="1:14" x14ac:dyDescent="0.25">
      <c r="A890">
        <v>681.35512100000005</v>
      </c>
      <c r="B890" s="1">
        <f>DATE(2012,3,12) + TIME(8,31,22)</f>
        <v>40980.355115740742</v>
      </c>
      <c r="C890">
        <v>80</v>
      </c>
      <c r="D890">
        <v>61.007003783999998</v>
      </c>
      <c r="E890">
        <v>50</v>
      </c>
      <c r="F890">
        <v>49.938915252999998</v>
      </c>
      <c r="G890">
        <v>1329.3702393000001</v>
      </c>
      <c r="H890">
        <v>1328.7962646000001</v>
      </c>
      <c r="I890">
        <v>1332.8273925999999</v>
      </c>
      <c r="J890">
        <v>1331.9300536999999</v>
      </c>
      <c r="K890">
        <v>0</v>
      </c>
      <c r="L890">
        <v>550</v>
      </c>
      <c r="M890">
        <v>550</v>
      </c>
      <c r="N890">
        <v>0</v>
      </c>
    </row>
    <row r="891" spans="1:14" x14ac:dyDescent="0.25">
      <c r="A891">
        <v>687.38512600000001</v>
      </c>
      <c r="B891" s="1">
        <f>DATE(2012,3,18) + TIME(9,14,34)</f>
        <v>40986.385115740741</v>
      </c>
      <c r="C891">
        <v>80</v>
      </c>
      <c r="D891">
        <v>60.286434174</v>
      </c>
      <c r="E891">
        <v>50</v>
      </c>
      <c r="F891">
        <v>49.938976287999999</v>
      </c>
      <c r="G891">
        <v>1329.3510742000001</v>
      </c>
      <c r="H891">
        <v>1328.7713623</v>
      </c>
      <c r="I891">
        <v>1332.8270264</v>
      </c>
      <c r="J891">
        <v>1331.9317627</v>
      </c>
      <c r="K891">
        <v>0</v>
      </c>
      <c r="L891">
        <v>550</v>
      </c>
      <c r="M891">
        <v>550</v>
      </c>
      <c r="N891">
        <v>0</v>
      </c>
    </row>
    <row r="892" spans="1:14" x14ac:dyDescent="0.25">
      <c r="A892">
        <v>693.70156199999997</v>
      </c>
      <c r="B892" s="1">
        <f>DATE(2012,3,24) + TIME(16,50,14)</f>
        <v>40992.701550925929</v>
      </c>
      <c r="C892">
        <v>80</v>
      </c>
      <c r="D892">
        <v>59.547702788999999</v>
      </c>
      <c r="E892">
        <v>50</v>
      </c>
      <c r="F892">
        <v>49.939044952000003</v>
      </c>
      <c r="G892">
        <v>1329.3325195</v>
      </c>
      <c r="H892">
        <v>1328.7469481999999</v>
      </c>
      <c r="I892">
        <v>1332.8266602000001</v>
      </c>
      <c r="J892">
        <v>1331.9334716999999</v>
      </c>
      <c r="K892">
        <v>0</v>
      </c>
      <c r="L892">
        <v>550</v>
      </c>
      <c r="M892">
        <v>550</v>
      </c>
      <c r="N892">
        <v>0</v>
      </c>
    </row>
    <row r="893" spans="1:14" x14ac:dyDescent="0.25">
      <c r="A893">
        <v>700.37252100000001</v>
      </c>
      <c r="B893" s="1">
        <f>DATE(2012,3,31) + TIME(8,56,25)</f>
        <v>40999.372511574074</v>
      </c>
      <c r="C893">
        <v>80</v>
      </c>
      <c r="D893">
        <v>58.790889739999997</v>
      </c>
      <c r="E893">
        <v>50</v>
      </c>
      <c r="F893">
        <v>49.939125060999999</v>
      </c>
      <c r="G893">
        <v>1329.3146973</v>
      </c>
      <c r="H893">
        <v>1328.7233887</v>
      </c>
      <c r="I893">
        <v>1332.8262939000001</v>
      </c>
      <c r="J893">
        <v>1331.9351807</v>
      </c>
      <c r="K893">
        <v>0</v>
      </c>
      <c r="L893">
        <v>550</v>
      </c>
      <c r="M893">
        <v>550</v>
      </c>
      <c r="N893">
        <v>0</v>
      </c>
    </row>
    <row r="894" spans="1:14" x14ac:dyDescent="0.25">
      <c r="A894">
        <v>701</v>
      </c>
      <c r="B894" s="1">
        <f>DATE(2012,4,1) + TIME(0,0,0)</f>
        <v>41000</v>
      </c>
      <c r="C894">
        <v>80</v>
      </c>
      <c r="D894">
        <v>58.568393706999998</v>
      </c>
      <c r="E894">
        <v>50</v>
      </c>
      <c r="F894">
        <v>49.939098358000003</v>
      </c>
      <c r="G894">
        <v>1329.2962646000001</v>
      </c>
      <c r="H894">
        <v>1328.7021483999999</v>
      </c>
      <c r="I894">
        <v>1332.8258057</v>
      </c>
      <c r="J894">
        <v>1331.9368896000001</v>
      </c>
      <c r="K894">
        <v>0</v>
      </c>
      <c r="L894">
        <v>550</v>
      </c>
      <c r="M894">
        <v>550</v>
      </c>
      <c r="N894">
        <v>0</v>
      </c>
    </row>
    <row r="895" spans="1:14" x14ac:dyDescent="0.25">
      <c r="A895">
        <v>707.97700899999995</v>
      </c>
      <c r="B895" s="1">
        <f>DATE(2012,4,7) + TIME(23,26,53)</f>
        <v>41006.977002314816</v>
      </c>
      <c r="C895">
        <v>80</v>
      </c>
      <c r="D895">
        <v>57.907699585000003</v>
      </c>
      <c r="E895">
        <v>50</v>
      </c>
      <c r="F895">
        <v>49.939208983999997</v>
      </c>
      <c r="G895">
        <v>1329.2945557</v>
      </c>
      <c r="H895">
        <v>1328.6953125</v>
      </c>
      <c r="I895">
        <v>1332.8258057</v>
      </c>
      <c r="J895">
        <v>1331.9370117000001</v>
      </c>
      <c r="K895">
        <v>0</v>
      </c>
      <c r="L895">
        <v>550</v>
      </c>
      <c r="M895">
        <v>550</v>
      </c>
      <c r="N895">
        <v>0</v>
      </c>
    </row>
    <row r="896" spans="1:14" x14ac:dyDescent="0.25">
      <c r="A896">
        <v>715.42274299999997</v>
      </c>
      <c r="B896" s="1">
        <f>DATE(2012,4,15) + TIME(10,8,45)</f>
        <v>41014.422743055555</v>
      </c>
      <c r="C896">
        <v>80</v>
      </c>
      <c r="D896">
        <v>57.148822783999996</v>
      </c>
      <c r="E896">
        <v>50</v>
      </c>
      <c r="F896">
        <v>49.939311981000003</v>
      </c>
      <c r="G896">
        <v>1329.2796631000001</v>
      </c>
      <c r="H896">
        <v>1328.6766356999999</v>
      </c>
      <c r="I896">
        <v>1332.8253173999999</v>
      </c>
      <c r="J896">
        <v>1331.9387207</v>
      </c>
      <c r="K896">
        <v>0</v>
      </c>
      <c r="L896">
        <v>550</v>
      </c>
      <c r="M896">
        <v>550</v>
      </c>
      <c r="N896">
        <v>0</v>
      </c>
    </row>
    <row r="897" spans="1:14" x14ac:dyDescent="0.25">
      <c r="A897">
        <v>723.21630300000004</v>
      </c>
      <c r="B897" s="1">
        <f>DATE(2012,4,23) + TIME(5,11,28)</f>
        <v>41022.216296296298</v>
      </c>
      <c r="C897">
        <v>80</v>
      </c>
      <c r="D897">
        <v>56.357242583999998</v>
      </c>
      <c r="E897">
        <v>50</v>
      </c>
      <c r="F897">
        <v>49.939418793000002</v>
      </c>
      <c r="G897">
        <v>1329.2648925999999</v>
      </c>
      <c r="H897">
        <v>1328.6573486</v>
      </c>
      <c r="I897">
        <v>1332.8249512</v>
      </c>
      <c r="J897">
        <v>1331.9404297000001</v>
      </c>
      <c r="K897">
        <v>0</v>
      </c>
      <c r="L897">
        <v>550</v>
      </c>
      <c r="M897">
        <v>550</v>
      </c>
      <c r="N897">
        <v>0</v>
      </c>
    </row>
    <row r="898" spans="1:14" x14ac:dyDescent="0.25">
      <c r="A898">
        <v>731</v>
      </c>
      <c r="B898" s="1">
        <f>DATE(2012,5,1) + TIME(0,0,0)</f>
        <v>41030</v>
      </c>
      <c r="C898">
        <v>80</v>
      </c>
      <c r="D898">
        <v>55.568145752</v>
      </c>
      <c r="E898">
        <v>50</v>
      </c>
      <c r="F898">
        <v>49.939521790000001</v>
      </c>
      <c r="G898">
        <v>1329.2508545000001</v>
      </c>
      <c r="H898">
        <v>1328.6387939000001</v>
      </c>
      <c r="I898">
        <v>1332.8244629000001</v>
      </c>
      <c r="J898">
        <v>1331.9422606999999</v>
      </c>
      <c r="K898">
        <v>0</v>
      </c>
      <c r="L898">
        <v>550</v>
      </c>
      <c r="M898">
        <v>550</v>
      </c>
      <c r="N898">
        <v>0</v>
      </c>
    </row>
    <row r="899" spans="1:14" x14ac:dyDescent="0.25">
      <c r="A899">
        <v>731.000001</v>
      </c>
      <c r="B899" s="1">
        <f>DATE(2012,5,1) + TIME(0,0,0)</f>
        <v>41030</v>
      </c>
      <c r="C899">
        <v>80</v>
      </c>
      <c r="D899">
        <v>55.568187713999997</v>
      </c>
      <c r="E899">
        <v>50</v>
      </c>
      <c r="F899">
        <v>49.939502716</v>
      </c>
      <c r="G899">
        <v>1330.1262207</v>
      </c>
      <c r="H899">
        <v>1329.4801024999999</v>
      </c>
      <c r="I899">
        <v>1331.7750243999999</v>
      </c>
      <c r="J899">
        <v>1331.6774902</v>
      </c>
      <c r="K899">
        <v>550</v>
      </c>
      <c r="L899">
        <v>0</v>
      </c>
      <c r="M899">
        <v>0</v>
      </c>
      <c r="N899">
        <v>550</v>
      </c>
    </row>
    <row r="900" spans="1:14" x14ac:dyDescent="0.25">
      <c r="A900">
        <v>731.00000399999999</v>
      </c>
      <c r="B900" s="1">
        <f>DATE(2012,5,1) + TIME(0,0,0)</f>
        <v>41030</v>
      </c>
      <c r="C900">
        <v>80</v>
      </c>
      <c r="D900">
        <v>55.568260193</v>
      </c>
      <c r="E900">
        <v>50</v>
      </c>
      <c r="F900">
        <v>49.939468384000001</v>
      </c>
      <c r="G900">
        <v>1330.4257812000001</v>
      </c>
      <c r="H900">
        <v>1329.8140868999999</v>
      </c>
      <c r="I900">
        <v>1331.5144043</v>
      </c>
      <c r="J900">
        <v>1331.4188231999999</v>
      </c>
      <c r="K900">
        <v>550</v>
      </c>
      <c r="L900">
        <v>0</v>
      </c>
      <c r="M900">
        <v>0</v>
      </c>
      <c r="N900">
        <v>550</v>
      </c>
    </row>
    <row r="901" spans="1:14" x14ac:dyDescent="0.25">
      <c r="A901">
        <v>731.00001299999997</v>
      </c>
      <c r="B901" s="1">
        <f>DATE(2012,5,1) + TIME(0,0,1)</f>
        <v>41030.000011574077</v>
      </c>
      <c r="C901">
        <v>80</v>
      </c>
      <c r="D901">
        <v>55.568401336999997</v>
      </c>
      <c r="E901">
        <v>50</v>
      </c>
      <c r="F901">
        <v>49.939430237000003</v>
      </c>
      <c r="G901">
        <v>1330.8048096</v>
      </c>
      <c r="H901">
        <v>1330.1861572</v>
      </c>
      <c r="I901">
        <v>1331.2133789</v>
      </c>
      <c r="J901">
        <v>1331.1085204999999</v>
      </c>
      <c r="K901">
        <v>550</v>
      </c>
      <c r="L901">
        <v>0</v>
      </c>
      <c r="M901">
        <v>0</v>
      </c>
      <c r="N901">
        <v>550</v>
      </c>
    </row>
    <row r="902" spans="1:14" x14ac:dyDescent="0.25">
      <c r="A902">
        <v>731.00004000000001</v>
      </c>
      <c r="B902" s="1">
        <f>DATE(2012,5,1) + TIME(0,0,3)</f>
        <v>41030.000034722223</v>
      </c>
      <c r="C902">
        <v>80</v>
      </c>
      <c r="D902">
        <v>55.568737030000001</v>
      </c>
      <c r="E902">
        <v>50</v>
      </c>
      <c r="F902">
        <v>49.939392089999998</v>
      </c>
      <c r="G902">
        <v>1331.1968993999999</v>
      </c>
      <c r="H902">
        <v>1330.5589600000001</v>
      </c>
      <c r="I902">
        <v>1330.9086914</v>
      </c>
      <c r="J902">
        <v>1330.7895507999999</v>
      </c>
      <c r="K902">
        <v>550</v>
      </c>
      <c r="L902">
        <v>0</v>
      </c>
      <c r="M902">
        <v>0</v>
      </c>
      <c r="N902">
        <v>550</v>
      </c>
    </row>
    <row r="903" spans="1:14" x14ac:dyDescent="0.25">
      <c r="A903">
        <v>731.00012100000004</v>
      </c>
      <c r="B903" s="1">
        <f>DATE(2012,5,1) + TIME(0,0,10)</f>
        <v>41030.000115740739</v>
      </c>
      <c r="C903">
        <v>80</v>
      </c>
      <c r="D903">
        <v>55.569671630999999</v>
      </c>
      <c r="E903">
        <v>50</v>
      </c>
      <c r="F903">
        <v>49.939350128000001</v>
      </c>
      <c r="G903">
        <v>1331.5703125</v>
      </c>
      <c r="H903">
        <v>1330.9133300999999</v>
      </c>
      <c r="I903">
        <v>1330.6087646000001</v>
      </c>
      <c r="J903">
        <v>1330.4704589999999</v>
      </c>
      <c r="K903">
        <v>550</v>
      </c>
      <c r="L903">
        <v>0</v>
      </c>
      <c r="M903">
        <v>0</v>
      </c>
      <c r="N903">
        <v>550</v>
      </c>
    </row>
    <row r="904" spans="1:14" x14ac:dyDescent="0.25">
      <c r="A904">
        <v>731.00036399999999</v>
      </c>
      <c r="B904" s="1">
        <f>DATE(2012,5,1) + TIME(0,0,31)</f>
        <v>41030.000358796293</v>
      </c>
      <c r="C904">
        <v>80</v>
      </c>
      <c r="D904">
        <v>55.572456359999997</v>
      </c>
      <c r="E904">
        <v>50</v>
      </c>
      <c r="F904">
        <v>49.939304352000001</v>
      </c>
      <c r="G904">
        <v>1331.8835449000001</v>
      </c>
      <c r="H904">
        <v>1331.2071533000001</v>
      </c>
      <c r="I904">
        <v>1330.3455810999999</v>
      </c>
      <c r="J904">
        <v>1330.1860352000001</v>
      </c>
      <c r="K904">
        <v>550</v>
      </c>
      <c r="L904">
        <v>0</v>
      </c>
      <c r="M904">
        <v>0</v>
      </c>
      <c r="N904">
        <v>550</v>
      </c>
    </row>
    <row r="905" spans="1:14" x14ac:dyDescent="0.25">
      <c r="A905">
        <v>731.00109299999997</v>
      </c>
      <c r="B905" s="1">
        <f>DATE(2012,5,1) + TIME(0,1,34)</f>
        <v>41030.001087962963</v>
      </c>
      <c r="C905">
        <v>80</v>
      </c>
      <c r="D905">
        <v>55.580879211000003</v>
      </c>
      <c r="E905">
        <v>50</v>
      </c>
      <c r="F905">
        <v>49.939243316999999</v>
      </c>
      <c r="G905">
        <v>1332.0869141000001</v>
      </c>
      <c r="H905">
        <v>1331.3968506000001</v>
      </c>
      <c r="I905">
        <v>1330.1611327999999</v>
      </c>
      <c r="J905">
        <v>1329.9876709</v>
      </c>
      <c r="K905">
        <v>550</v>
      </c>
      <c r="L905">
        <v>0</v>
      </c>
      <c r="M905">
        <v>0</v>
      </c>
      <c r="N905">
        <v>550</v>
      </c>
    </row>
    <row r="906" spans="1:14" x14ac:dyDescent="0.25">
      <c r="A906">
        <v>731.00328000000002</v>
      </c>
      <c r="B906" s="1">
        <f>DATE(2012,5,1) + TIME(0,4,43)</f>
        <v>41030.003275462965</v>
      </c>
      <c r="C906">
        <v>80</v>
      </c>
      <c r="D906">
        <v>55.606266022</v>
      </c>
      <c r="E906">
        <v>50</v>
      </c>
      <c r="F906">
        <v>49.939117432000003</v>
      </c>
      <c r="G906">
        <v>1332.1871338000001</v>
      </c>
      <c r="H906">
        <v>1331.4915771000001</v>
      </c>
      <c r="I906">
        <v>1330.0620117000001</v>
      </c>
      <c r="J906">
        <v>1329.8831786999999</v>
      </c>
      <c r="K906">
        <v>550</v>
      </c>
      <c r="L906">
        <v>0</v>
      </c>
      <c r="M906">
        <v>0</v>
      </c>
      <c r="N906">
        <v>550</v>
      </c>
    </row>
    <row r="907" spans="1:14" x14ac:dyDescent="0.25">
      <c r="A907">
        <v>731.00984100000005</v>
      </c>
      <c r="B907" s="1">
        <f>DATE(2012,5,1) + TIME(0,14,10)</f>
        <v>41030.009837962964</v>
      </c>
      <c r="C907">
        <v>80</v>
      </c>
      <c r="D907">
        <v>55.682350159000002</v>
      </c>
      <c r="E907">
        <v>50</v>
      </c>
      <c r="F907">
        <v>49.938777924</v>
      </c>
      <c r="G907">
        <v>1332.2252197</v>
      </c>
      <c r="H907">
        <v>1331.5288086</v>
      </c>
      <c r="I907">
        <v>1330.0274658000001</v>
      </c>
      <c r="J907">
        <v>1329.847168</v>
      </c>
      <c r="K907">
        <v>550</v>
      </c>
      <c r="L907">
        <v>0</v>
      </c>
      <c r="M907">
        <v>0</v>
      </c>
      <c r="N907">
        <v>550</v>
      </c>
    </row>
    <row r="908" spans="1:14" x14ac:dyDescent="0.25">
      <c r="A908">
        <v>731.02952400000004</v>
      </c>
      <c r="B908" s="1">
        <f>DATE(2012,5,1) + TIME(0,42,30)</f>
        <v>41030.029513888891</v>
      </c>
      <c r="C908">
        <v>80</v>
      </c>
      <c r="D908">
        <v>55.908828735</v>
      </c>
      <c r="E908">
        <v>50</v>
      </c>
      <c r="F908">
        <v>49.937763214</v>
      </c>
      <c r="G908">
        <v>1332.2346190999999</v>
      </c>
      <c r="H908">
        <v>1331.5393065999999</v>
      </c>
      <c r="I908">
        <v>1330.0227050999999</v>
      </c>
      <c r="J908">
        <v>1329.8420410000001</v>
      </c>
      <c r="K908">
        <v>550</v>
      </c>
      <c r="L908">
        <v>0</v>
      </c>
      <c r="M908">
        <v>0</v>
      </c>
      <c r="N908">
        <v>550</v>
      </c>
    </row>
    <row r="909" spans="1:14" x14ac:dyDescent="0.25">
      <c r="A909">
        <v>731.088573</v>
      </c>
      <c r="B909" s="1">
        <f>DATE(2012,5,1) + TIME(2,7,32)</f>
        <v>41030.088564814818</v>
      </c>
      <c r="C909">
        <v>80</v>
      </c>
      <c r="D909">
        <v>56.572307586999997</v>
      </c>
      <c r="E909">
        <v>50</v>
      </c>
      <c r="F909">
        <v>49.934734343999999</v>
      </c>
      <c r="G909">
        <v>1332.2353516000001</v>
      </c>
      <c r="H909">
        <v>1331.5435791</v>
      </c>
      <c r="I909">
        <v>1330.0220947</v>
      </c>
      <c r="J909">
        <v>1329.8409423999999</v>
      </c>
      <c r="K909">
        <v>550</v>
      </c>
      <c r="L909">
        <v>0</v>
      </c>
      <c r="M909">
        <v>0</v>
      </c>
      <c r="N909">
        <v>550</v>
      </c>
    </row>
    <row r="910" spans="1:14" x14ac:dyDescent="0.25">
      <c r="A910">
        <v>731.16231400000004</v>
      </c>
      <c r="B910" s="1">
        <f>DATE(2012,5,1) + TIME(3,53,43)</f>
        <v>41030.162303240744</v>
      </c>
      <c r="C910">
        <v>80</v>
      </c>
      <c r="D910">
        <v>57.389766692999999</v>
      </c>
      <c r="E910">
        <v>50</v>
      </c>
      <c r="F910">
        <v>49.930957794000001</v>
      </c>
      <c r="G910">
        <v>1332.2612305</v>
      </c>
      <c r="H910">
        <v>1331.5626221</v>
      </c>
      <c r="I910">
        <v>1330.020874</v>
      </c>
      <c r="J910">
        <v>1329.8383789</v>
      </c>
      <c r="K910">
        <v>550</v>
      </c>
      <c r="L910">
        <v>0</v>
      </c>
      <c r="M910">
        <v>0</v>
      </c>
      <c r="N910">
        <v>550</v>
      </c>
    </row>
    <row r="911" spans="1:14" x14ac:dyDescent="0.25">
      <c r="A911">
        <v>731.23738700000001</v>
      </c>
      <c r="B911" s="1">
        <f>DATE(2012,5,1) + TIME(5,41,50)</f>
        <v>41030.237384259257</v>
      </c>
      <c r="C911">
        <v>80</v>
      </c>
      <c r="D911">
        <v>58.215282440000003</v>
      </c>
      <c r="E911">
        <v>50</v>
      </c>
      <c r="F911">
        <v>49.927112579000003</v>
      </c>
      <c r="G911">
        <v>1332.2990723</v>
      </c>
      <c r="H911">
        <v>1331.588501</v>
      </c>
      <c r="I911">
        <v>1330.0194091999999</v>
      </c>
      <c r="J911">
        <v>1329.8352050999999</v>
      </c>
      <c r="K911">
        <v>550</v>
      </c>
      <c r="L911">
        <v>0</v>
      </c>
      <c r="M911">
        <v>0</v>
      </c>
      <c r="N911">
        <v>550</v>
      </c>
    </row>
    <row r="912" spans="1:14" x14ac:dyDescent="0.25">
      <c r="A912">
        <v>731.31372599999997</v>
      </c>
      <c r="B912" s="1">
        <f>DATE(2012,5,1) + TIME(7,31,45)</f>
        <v>41030.313715277778</v>
      </c>
      <c r="C912">
        <v>80</v>
      </c>
      <c r="D912">
        <v>59.046985626000001</v>
      </c>
      <c r="E912">
        <v>50</v>
      </c>
      <c r="F912">
        <v>49.923194885000001</v>
      </c>
      <c r="G912">
        <v>1332.3388672000001</v>
      </c>
      <c r="H912">
        <v>1331.6156006000001</v>
      </c>
      <c r="I912">
        <v>1330.0179443</v>
      </c>
      <c r="J912">
        <v>1329.8321533000001</v>
      </c>
      <c r="K912">
        <v>550</v>
      </c>
      <c r="L912">
        <v>0</v>
      </c>
      <c r="M912">
        <v>0</v>
      </c>
      <c r="N912">
        <v>550</v>
      </c>
    </row>
    <row r="913" spans="1:14" x14ac:dyDescent="0.25">
      <c r="A913">
        <v>731.39136199999996</v>
      </c>
      <c r="B913" s="1">
        <f>DATE(2012,5,1) + TIME(9,23,33)</f>
        <v>41030.39135416667</v>
      </c>
      <c r="C913">
        <v>80</v>
      </c>
      <c r="D913">
        <v>59.883892058999997</v>
      </c>
      <c r="E913">
        <v>50</v>
      </c>
      <c r="F913">
        <v>49.919212340999998</v>
      </c>
      <c r="G913">
        <v>1332.3804932</v>
      </c>
      <c r="H913">
        <v>1331.6441649999999</v>
      </c>
      <c r="I913">
        <v>1330.0164795000001</v>
      </c>
      <c r="J913">
        <v>1329.8289795000001</v>
      </c>
      <c r="K913">
        <v>550</v>
      </c>
      <c r="L913">
        <v>0</v>
      </c>
      <c r="M913">
        <v>0</v>
      </c>
      <c r="N913">
        <v>550</v>
      </c>
    </row>
    <row r="914" spans="1:14" x14ac:dyDescent="0.25">
      <c r="A914">
        <v>731.47033799999997</v>
      </c>
      <c r="B914" s="1">
        <f>DATE(2012,5,1) + TIME(11,17,17)</f>
        <v>41030.470335648148</v>
      </c>
      <c r="C914">
        <v>80</v>
      </c>
      <c r="D914">
        <v>60.724361420000001</v>
      </c>
      <c r="E914">
        <v>50</v>
      </c>
      <c r="F914">
        <v>49.915153502999999</v>
      </c>
      <c r="G914">
        <v>1332.4238281</v>
      </c>
      <c r="H914">
        <v>1331.6737060999999</v>
      </c>
      <c r="I914">
        <v>1330.0150146000001</v>
      </c>
      <c r="J914">
        <v>1329.8259277</v>
      </c>
      <c r="K914">
        <v>550</v>
      </c>
      <c r="L914">
        <v>0</v>
      </c>
      <c r="M914">
        <v>0</v>
      </c>
      <c r="N914">
        <v>550</v>
      </c>
    </row>
    <row r="915" spans="1:14" x14ac:dyDescent="0.25">
      <c r="A915">
        <v>731.55070499999999</v>
      </c>
      <c r="B915" s="1">
        <f>DATE(2012,5,1) + TIME(13,13,0)</f>
        <v>41030.550694444442</v>
      </c>
      <c r="C915">
        <v>80</v>
      </c>
      <c r="D915">
        <v>61.567584990999997</v>
      </c>
      <c r="E915">
        <v>50</v>
      </c>
      <c r="F915">
        <v>49.911022185999997</v>
      </c>
      <c r="G915">
        <v>1332.4688721</v>
      </c>
      <c r="H915">
        <v>1331.7044678</v>
      </c>
      <c r="I915">
        <v>1330.0136719</v>
      </c>
      <c r="J915">
        <v>1329.822876</v>
      </c>
      <c r="K915">
        <v>550</v>
      </c>
      <c r="L915">
        <v>0</v>
      </c>
      <c r="M915">
        <v>0</v>
      </c>
      <c r="N915">
        <v>550</v>
      </c>
    </row>
    <row r="916" spans="1:14" x14ac:dyDescent="0.25">
      <c r="A916">
        <v>731.63252399999999</v>
      </c>
      <c r="B916" s="1">
        <f>DATE(2012,5,1) + TIME(15,10,50)</f>
        <v>41030.632523148146</v>
      </c>
      <c r="C916">
        <v>80</v>
      </c>
      <c r="D916">
        <v>62.412273407000001</v>
      </c>
      <c r="E916">
        <v>50</v>
      </c>
      <c r="F916">
        <v>49.906818389999998</v>
      </c>
      <c r="G916">
        <v>1332.5153809000001</v>
      </c>
      <c r="H916">
        <v>1331.7363281</v>
      </c>
      <c r="I916">
        <v>1330.012207</v>
      </c>
      <c r="J916">
        <v>1329.8198242000001</v>
      </c>
      <c r="K916">
        <v>550</v>
      </c>
      <c r="L916">
        <v>0</v>
      </c>
      <c r="M916">
        <v>0</v>
      </c>
      <c r="N916">
        <v>550</v>
      </c>
    </row>
    <row r="917" spans="1:14" x14ac:dyDescent="0.25">
      <c r="A917">
        <v>731.71586100000002</v>
      </c>
      <c r="B917" s="1">
        <f>DATE(2012,5,1) + TIME(17,10,50)</f>
        <v>41030.715856481482</v>
      </c>
      <c r="C917">
        <v>80</v>
      </c>
      <c r="D917">
        <v>63.256900786999999</v>
      </c>
      <c r="E917">
        <v>50</v>
      </c>
      <c r="F917">
        <v>49.902530669999997</v>
      </c>
      <c r="G917">
        <v>1332.5633545000001</v>
      </c>
      <c r="H917">
        <v>1331.769043</v>
      </c>
      <c r="I917">
        <v>1330.0108643000001</v>
      </c>
      <c r="J917">
        <v>1329.8166504000001</v>
      </c>
      <c r="K917">
        <v>550</v>
      </c>
      <c r="L917">
        <v>0</v>
      </c>
      <c r="M917">
        <v>0</v>
      </c>
      <c r="N917">
        <v>550</v>
      </c>
    </row>
    <row r="918" spans="1:14" x14ac:dyDescent="0.25">
      <c r="A918">
        <v>731.80079499999999</v>
      </c>
      <c r="B918" s="1">
        <f>DATE(2012,5,1) + TIME(19,13,8)</f>
        <v>41030.800787037035</v>
      </c>
      <c r="C918">
        <v>80</v>
      </c>
      <c r="D918">
        <v>64.099838257000002</v>
      </c>
      <c r="E918">
        <v>50</v>
      </c>
      <c r="F918">
        <v>49.898159026999998</v>
      </c>
      <c r="G918">
        <v>1332.6125488</v>
      </c>
      <c r="H918">
        <v>1331.8027344</v>
      </c>
      <c r="I918">
        <v>1330.0095214999999</v>
      </c>
      <c r="J918">
        <v>1329.8135986</v>
      </c>
      <c r="K918">
        <v>550</v>
      </c>
      <c r="L918">
        <v>0</v>
      </c>
      <c r="M918">
        <v>0</v>
      </c>
      <c r="N918">
        <v>550</v>
      </c>
    </row>
    <row r="919" spans="1:14" x14ac:dyDescent="0.25">
      <c r="A919">
        <v>731.88741700000003</v>
      </c>
      <c r="B919" s="1">
        <f>DATE(2012,5,1) + TIME(21,17,52)</f>
        <v>41030.887407407405</v>
      </c>
      <c r="C919">
        <v>80</v>
      </c>
      <c r="D919">
        <v>64.939331054999997</v>
      </c>
      <c r="E919">
        <v>50</v>
      </c>
      <c r="F919">
        <v>49.893695831000002</v>
      </c>
      <c r="G919">
        <v>1332.6629639</v>
      </c>
      <c r="H919">
        <v>1331.8372803</v>
      </c>
      <c r="I919">
        <v>1330.0081786999999</v>
      </c>
      <c r="J919">
        <v>1329.8105469</v>
      </c>
      <c r="K919">
        <v>550</v>
      </c>
      <c r="L919">
        <v>0</v>
      </c>
      <c r="M919">
        <v>0</v>
      </c>
      <c r="N919">
        <v>550</v>
      </c>
    </row>
    <row r="920" spans="1:14" x14ac:dyDescent="0.25">
      <c r="A920">
        <v>731.97582799999998</v>
      </c>
      <c r="B920" s="1">
        <f>DATE(2012,5,1) + TIME(23,25,11)</f>
        <v>41030.975821759261</v>
      </c>
      <c r="C920">
        <v>80</v>
      </c>
      <c r="D920">
        <v>65.773719787999994</v>
      </c>
      <c r="E920">
        <v>50</v>
      </c>
      <c r="F920">
        <v>49.889144897000001</v>
      </c>
      <c r="G920">
        <v>1332.7144774999999</v>
      </c>
      <c r="H920">
        <v>1331.8725586</v>
      </c>
      <c r="I920">
        <v>1330.0068358999999</v>
      </c>
      <c r="J920">
        <v>1329.8073730000001</v>
      </c>
      <c r="K920">
        <v>550</v>
      </c>
      <c r="L920">
        <v>0</v>
      </c>
      <c r="M920">
        <v>0</v>
      </c>
      <c r="N920">
        <v>550</v>
      </c>
    </row>
    <row r="921" spans="1:14" x14ac:dyDescent="0.25">
      <c r="A921">
        <v>732.06618400000002</v>
      </c>
      <c r="B921" s="1">
        <f>DATE(2012,5,2) + TIME(1,35,18)</f>
        <v>41031.066180555557</v>
      </c>
      <c r="C921">
        <v>80</v>
      </c>
      <c r="D921">
        <v>66.601226807000003</v>
      </c>
      <c r="E921">
        <v>50</v>
      </c>
      <c r="F921">
        <v>49.884490966999998</v>
      </c>
      <c r="G921">
        <v>1332.7668457</v>
      </c>
      <c r="H921">
        <v>1331.9085693</v>
      </c>
      <c r="I921">
        <v>1330.0056152</v>
      </c>
      <c r="J921">
        <v>1329.8043213000001</v>
      </c>
      <c r="K921">
        <v>550</v>
      </c>
      <c r="L921">
        <v>0</v>
      </c>
      <c r="M921">
        <v>0</v>
      </c>
      <c r="N921">
        <v>550</v>
      </c>
    </row>
    <row r="922" spans="1:14" x14ac:dyDescent="0.25">
      <c r="A922">
        <v>732.15857800000003</v>
      </c>
      <c r="B922" s="1">
        <f>DATE(2012,5,2) + TIME(3,48,21)</f>
        <v>41031.158576388887</v>
      </c>
      <c r="C922">
        <v>80</v>
      </c>
      <c r="D922">
        <v>67.419456482000001</v>
      </c>
      <c r="E922">
        <v>50</v>
      </c>
      <c r="F922">
        <v>49.879730225000003</v>
      </c>
      <c r="G922">
        <v>1332.8201904</v>
      </c>
      <c r="H922">
        <v>1331.9450684000001</v>
      </c>
      <c r="I922">
        <v>1330.0042725000001</v>
      </c>
      <c r="J922">
        <v>1329.8011475000001</v>
      </c>
      <c r="K922">
        <v>550</v>
      </c>
      <c r="L922">
        <v>0</v>
      </c>
      <c r="M922">
        <v>0</v>
      </c>
      <c r="N922">
        <v>550</v>
      </c>
    </row>
    <row r="923" spans="1:14" x14ac:dyDescent="0.25">
      <c r="A923">
        <v>732.25315699999999</v>
      </c>
      <c r="B923" s="1">
        <f>DATE(2012,5,2) + TIME(6,4,32)</f>
        <v>41031.253148148149</v>
      </c>
      <c r="C923">
        <v>80</v>
      </c>
      <c r="D923">
        <v>68.226303100999999</v>
      </c>
      <c r="E923">
        <v>50</v>
      </c>
      <c r="F923">
        <v>49.874855042</v>
      </c>
      <c r="G923">
        <v>1332.8741454999999</v>
      </c>
      <c r="H923">
        <v>1331.9821777</v>
      </c>
      <c r="I923">
        <v>1330.0029297000001</v>
      </c>
      <c r="J923">
        <v>1329.7980957</v>
      </c>
      <c r="K923">
        <v>550</v>
      </c>
      <c r="L923">
        <v>0</v>
      </c>
      <c r="M923">
        <v>0</v>
      </c>
      <c r="N923">
        <v>550</v>
      </c>
    </row>
    <row r="924" spans="1:14" x14ac:dyDescent="0.25">
      <c r="A924">
        <v>732.35008600000003</v>
      </c>
      <c r="B924" s="1">
        <f>DATE(2012,5,2) + TIME(8,24,7)</f>
        <v>41031.350081018521</v>
      </c>
      <c r="C924">
        <v>80</v>
      </c>
      <c r="D924">
        <v>69.019630432</v>
      </c>
      <c r="E924">
        <v>50</v>
      </c>
      <c r="F924">
        <v>49.869861602999997</v>
      </c>
      <c r="G924">
        <v>1332.9287108999999</v>
      </c>
      <c r="H924">
        <v>1332.0197754000001</v>
      </c>
      <c r="I924">
        <v>1330.0015868999999</v>
      </c>
      <c r="J924">
        <v>1329.7949219</v>
      </c>
      <c r="K924">
        <v>550</v>
      </c>
      <c r="L924">
        <v>0</v>
      </c>
      <c r="M924">
        <v>0</v>
      </c>
      <c r="N924">
        <v>550</v>
      </c>
    </row>
    <row r="925" spans="1:14" x14ac:dyDescent="0.25">
      <c r="A925">
        <v>732.44955200000004</v>
      </c>
      <c r="B925" s="1">
        <f>DATE(2012,5,2) + TIME(10,47,21)</f>
        <v>41031.449548611112</v>
      </c>
      <c r="C925">
        <v>80</v>
      </c>
      <c r="D925">
        <v>69.797264099000003</v>
      </c>
      <c r="E925">
        <v>50</v>
      </c>
      <c r="F925">
        <v>49.864738463999998</v>
      </c>
      <c r="G925">
        <v>1332.9837646000001</v>
      </c>
      <c r="H925">
        <v>1332.0576172000001</v>
      </c>
      <c r="I925">
        <v>1330.0002440999999</v>
      </c>
      <c r="J925">
        <v>1329.7917480000001</v>
      </c>
      <c r="K925">
        <v>550</v>
      </c>
      <c r="L925">
        <v>0</v>
      </c>
      <c r="M925">
        <v>0</v>
      </c>
      <c r="N925">
        <v>550</v>
      </c>
    </row>
    <row r="926" spans="1:14" x14ac:dyDescent="0.25">
      <c r="A926">
        <v>732.55176700000004</v>
      </c>
      <c r="B926" s="1">
        <f>DATE(2012,5,2) + TIME(13,14,32)</f>
        <v>41031.551759259259</v>
      </c>
      <c r="C926">
        <v>80</v>
      </c>
      <c r="D926">
        <v>70.556617736999996</v>
      </c>
      <c r="E926">
        <v>50</v>
      </c>
      <c r="F926">
        <v>49.859474182</v>
      </c>
      <c r="G926">
        <v>1333.0391846</v>
      </c>
      <c r="H926">
        <v>1332.0958252</v>
      </c>
      <c r="I926">
        <v>1329.9989014</v>
      </c>
      <c r="J926">
        <v>1329.7884521000001</v>
      </c>
      <c r="K926">
        <v>550</v>
      </c>
      <c r="L926">
        <v>0</v>
      </c>
      <c r="M926">
        <v>0</v>
      </c>
      <c r="N926">
        <v>550</v>
      </c>
    </row>
    <row r="927" spans="1:14" x14ac:dyDescent="0.25">
      <c r="A927">
        <v>732.65697</v>
      </c>
      <c r="B927" s="1">
        <f>DATE(2012,5,2) + TIME(15,46,2)</f>
        <v>41031.656967592593</v>
      </c>
      <c r="C927">
        <v>80</v>
      </c>
      <c r="D927">
        <v>71.295791625999996</v>
      </c>
      <c r="E927">
        <v>50</v>
      </c>
      <c r="F927">
        <v>49.854061127000001</v>
      </c>
      <c r="G927">
        <v>1333.0947266000001</v>
      </c>
      <c r="H927">
        <v>1332.1341553</v>
      </c>
      <c r="I927">
        <v>1329.9975586</v>
      </c>
      <c r="J927">
        <v>1329.7852783000001</v>
      </c>
      <c r="K927">
        <v>550</v>
      </c>
      <c r="L927">
        <v>0</v>
      </c>
      <c r="M927">
        <v>0</v>
      </c>
      <c r="N927">
        <v>550</v>
      </c>
    </row>
    <row r="928" spans="1:14" x14ac:dyDescent="0.25">
      <c r="A928">
        <v>732.76543300000003</v>
      </c>
      <c r="B928" s="1">
        <f>DATE(2012,5,2) + TIME(18,22,13)</f>
        <v>41031.765428240738</v>
      </c>
      <c r="C928">
        <v>80</v>
      </c>
      <c r="D928">
        <v>72.012825011999993</v>
      </c>
      <c r="E928">
        <v>50</v>
      </c>
      <c r="F928">
        <v>49.848480225000003</v>
      </c>
      <c r="G928">
        <v>1333.1505127</v>
      </c>
      <c r="H928">
        <v>1332.1726074000001</v>
      </c>
      <c r="I928">
        <v>1329.9962158000001</v>
      </c>
      <c r="J928">
        <v>1329.7819824000001</v>
      </c>
      <c r="K928">
        <v>550</v>
      </c>
      <c r="L928">
        <v>0</v>
      </c>
      <c r="M928">
        <v>0</v>
      </c>
      <c r="N928">
        <v>550</v>
      </c>
    </row>
    <row r="929" spans="1:14" x14ac:dyDescent="0.25">
      <c r="A929">
        <v>732.87746600000003</v>
      </c>
      <c r="B929" s="1">
        <f>DATE(2012,5,2) + TIME(21,3,33)</f>
        <v>41031.877465277779</v>
      </c>
      <c r="C929">
        <v>80</v>
      </c>
      <c r="D929">
        <v>72.705673218000001</v>
      </c>
      <c r="E929">
        <v>50</v>
      </c>
      <c r="F929">
        <v>49.842720032000003</v>
      </c>
      <c r="G929">
        <v>1333.2061768000001</v>
      </c>
      <c r="H929">
        <v>1332.2110596</v>
      </c>
      <c r="I929">
        <v>1329.994751</v>
      </c>
      <c r="J929">
        <v>1329.7786865</v>
      </c>
      <c r="K929">
        <v>550</v>
      </c>
      <c r="L929">
        <v>0</v>
      </c>
      <c r="M929">
        <v>0</v>
      </c>
      <c r="N929">
        <v>550</v>
      </c>
    </row>
    <row r="930" spans="1:14" x14ac:dyDescent="0.25">
      <c r="A930">
        <v>732.993427</v>
      </c>
      <c r="B930" s="1">
        <f>DATE(2012,5,2) + TIME(23,50,32)</f>
        <v>41031.993425925924</v>
      </c>
      <c r="C930">
        <v>80</v>
      </c>
      <c r="D930">
        <v>73.372436523000005</v>
      </c>
      <c r="E930">
        <v>50</v>
      </c>
      <c r="F930">
        <v>49.836765288999999</v>
      </c>
      <c r="G930">
        <v>1333.2617187999999</v>
      </c>
      <c r="H930">
        <v>1332.2493896000001</v>
      </c>
      <c r="I930">
        <v>1329.9934082</v>
      </c>
      <c r="J930">
        <v>1329.7752685999999</v>
      </c>
      <c r="K930">
        <v>550</v>
      </c>
      <c r="L930">
        <v>0</v>
      </c>
      <c r="M930">
        <v>0</v>
      </c>
      <c r="N930">
        <v>550</v>
      </c>
    </row>
    <row r="931" spans="1:14" x14ac:dyDescent="0.25">
      <c r="A931">
        <v>733.11378999999999</v>
      </c>
      <c r="B931" s="1">
        <f>DATE(2012,5,3) + TIME(2,43,51)</f>
        <v>41032.11378472222</v>
      </c>
      <c r="C931">
        <v>80</v>
      </c>
      <c r="D931">
        <v>74.011596679999997</v>
      </c>
      <c r="E931">
        <v>50</v>
      </c>
      <c r="F931">
        <v>49.830589293999999</v>
      </c>
      <c r="G931">
        <v>1333.3170166</v>
      </c>
      <c r="H931">
        <v>1332.2874756000001</v>
      </c>
      <c r="I931">
        <v>1329.9918213000001</v>
      </c>
      <c r="J931">
        <v>1329.7718506000001</v>
      </c>
      <c r="K931">
        <v>550</v>
      </c>
      <c r="L931">
        <v>0</v>
      </c>
      <c r="M931">
        <v>0</v>
      </c>
      <c r="N931">
        <v>550</v>
      </c>
    </row>
    <row r="932" spans="1:14" x14ac:dyDescent="0.25">
      <c r="A932">
        <v>733.23899900000004</v>
      </c>
      <c r="B932" s="1">
        <f>DATE(2012,5,3) + TIME(5,44,9)</f>
        <v>41032.238993055558</v>
      </c>
      <c r="C932">
        <v>80</v>
      </c>
      <c r="D932">
        <v>74.621253967000001</v>
      </c>
      <c r="E932">
        <v>50</v>
      </c>
      <c r="F932">
        <v>49.824172974</v>
      </c>
      <c r="G932">
        <v>1333.3718262</v>
      </c>
      <c r="H932">
        <v>1332.3253173999999</v>
      </c>
      <c r="I932">
        <v>1329.9903564000001</v>
      </c>
      <c r="J932">
        <v>1329.7683105000001</v>
      </c>
      <c r="K932">
        <v>550</v>
      </c>
      <c r="L932">
        <v>0</v>
      </c>
      <c r="M932">
        <v>0</v>
      </c>
      <c r="N932">
        <v>550</v>
      </c>
    </row>
    <row r="933" spans="1:14" x14ac:dyDescent="0.25">
      <c r="A933">
        <v>733.36959100000001</v>
      </c>
      <c r="B933" s="1">
        <f>DATE(2012,5,3) + TIME(8,52,12)</f>
        <v>41032.369583333333</v>
      </c>
      <c r="C933">
        <v>80</v>
      </c>
      <c r="D933">
        <v>75.199348450000002</v>
      </c>
      <c r="E933">
        <v>50</v>
      </c>
      <c r="F933">
        <v>49.817493439000003</v>
      </c>
      <c r="G933">
        <v>1333.4243164</v>
      </c>
      <c r="H933">
        <v>1332.3615723</v>
      </c>
      <c r="I933">
        <v>1329.9886475000001</v>
      </c>
      <c r="J933">
        <v>1329.7647704999999</v>
      </c>
      <c r="K933">
        <v>550</v>
      </c>
      <c r="L933">
        <v>0</v>
      </c>
      <c r="M933">
        <v>0</v>
      </c>
      <c r="N933">
        <v>550</v>
      </c>
    </row>
    <row r="934" spans="1:14" x14ac:dyDescent="0.25">
      <c r="A934">
        <v>733.50635</v>
      </c>
      <c r="B934" s="1">
        <f>DATE(2012,5,3) + TIME(12,9,8)</f>
        <v>41032.506342592591</v>
      </c>
      <c r="C934">
        <v>80</v>
      </c>
      <c r="D934">
        <v>75.744812011999997</v>
      </c>
      <c r="E934">
        <v>50</v>
      </c>
      <c r="F934">
        <v>49.810508728000002</v>
      </c>
      <c r="G934">
        <v>1333.4749756000001</v>
      </c>
      <c r="H934">
        <v>1332.3964844</v>
      </c>
      <c r="I934">
        <v>1329.9869385</v>
      </c>
      <c r="J934">
        <v>1329.7609863</v>
      </c>
      <c r="K934">
        <v>550</v>
      </c>
      <c r="L934">
        <v>0</v>
      </c>
      <c r="M934">
        <v>0</v>
      </c>
      <c r="N934">
        <v>550</v>
      </c>
    </row>
    <row r="935" spans="1:14" x14ac:dyDescent="0.25">
      <c r="A935">
        <v>733.65013799999997</v>
      </c>
      <c r="B935" s="1">
        <f>DATE(2012,5,3) + TIME(15,36,11)</f>
        <v>41032.650127314817</v>
      </c>
      <c r="C935">
        <v>80</v>
      </c>
      <c r="D935">
        <v>76.256729125999996</v>
      </c>
      <c r="E935">
        <v>50</v>
      </c>
      <c r="F935">
        <v>49.803184508999998</v>
      </c>
      <c r="G935">
        <v>1333.5227050999999</v>
      </c>
      <c r="H935">
        <v>1332.4294434000001</v>
      </c>
      <c r="I935">
        <v>1329.9849853999999</v>
      </c>
      <c r="J935">
        <v>1329.7572021000001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733.802055</v>
      </c>
      <c r="B936" s="1">
        <f>DATE(2012,5,3) + TIME(19,14,57)</f>
        <v>41032.802048611113</v>
      </c>
      <c r="C936">
        <v>80</v>
      </c>
      <c r="D936">
        <v>76.734436035000002</v>
      </c>
      <c r="E936">
        <v>50</v>
      </c>
      <c r="F936">
        <v>49.795463562000002</v>
      </c>
      <c r="G936">
        <v>1333.5679932</v>
      </c>
      <c r="H936">
        <v>1332.4606934000001</v>
      </c>
      <c r="I936">
        <v>1329.9829102000001</v>
      </c>
      <c r="J936">
        <v>1329.7531738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733.963031</v>
      </c>
      <c r="B937" s="1">
        <f>DATE(2012,5,3) + TIME(23,6,45)</f>
        <v>41032.963020833333</v>
      </c>
      <c r="C937">
        <v>80</v>
      </c>
      <c r="D937">
        <v>77.176559448000006</v>
      </c>
      <c r="E937">
        <v>50</v>
      </c>
      <c r="F937">
        <v>49.787311553999999</v>
      </c>
      <c r="G937">
        <v>1333.6113281</v>
      </c>
      <c r="H937">
        <v>1332.4904785000001</v>
      </c>
      <c r="I937">
        <v>1329.9808350000001</v>
      </c>
      <c r="J937">
        <v>1329.7491454999999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734.13277800000003</v>
      </c>
      <c r="B938" s="1">
        <f>DATE(2012,5,4) + TIME(3,11,11)</f>
        <v>41033.1327662037</v>
      </c>
      <c r="C938">
        <v>80</v>
      </c>
      <c r="D938">
        <v>77.579124450999998</v>
      </c>
      <c r="E938">
        <v>50</v>
      </c>
      <c r="F938">
        <v>49.778743744000003</v>
      </c>
      <c r="G938">
        <v>1333.6500243999999</v>
      </c>
      <c r="H938">
        <v>1332.5172118999999</v>
      </c>
      <c r="I938">
        <v>1329.9783935999999</v>
      </c>
      <c r="J938">
        <v>1329.744751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734.31277499999999</v>
      </c>
      <c r="B939" s="1">
        <f>DATE(2012,5,4) + TIME(7,30,23)</f>
        <v>41033.3127662037</v>
      </c>
      <c r="C939">
        <v>80</v>
      </c>
      <c r="D939">
        <v>77.943412781000006</v>
      </c>
      <c r="E939">
        <v>50</v>
      </c>
      <c r="F939">
        <v>49.769695282000001</v>
      </c>
      <c r="G939">
        <v>1333.6875</v>
      </c>
      <c r="H939">
        <v>1332.5429687999999</v>
      </c>
      <c r="I939">
        <v>1329.9759521000001</v>
      </c>
      <c r="J939">
        <v>1329.7403564000001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734.50406399999997</v>
      </c>
      <c r="B940" s="1">
        <f>DATE(2012,5,4) + TIME(12,5,51)</f>
        <v>41033.504062499997</v>
      </c>
      <c r="C940">
        <v>80</v>
      </c>
      <c r="D940">
        <v>78.269432068</v>
      </c>
      <c r="E940">
        <v>50</v>
      </c>
      <c r="F940">
        <v>49.760116576999998</v>
      </c>
      <c r="G940">
        <v>1333.7205810999999</v>
      </c>
      <c r="H940">
        <v>1332.5657959</v>
      </c>
      <c r="I940">
        <v>1329.9732666</v>
      </c>
      <c r="J940">
        <v>1329.7357178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734.70389799999998</v>
      </c>
      <c r="B941" s="1">
        <f>DATE(2012,5,4) + TIME(16,53,36)</f>
        <v>41033.703888888886</v>
      </c>
      <c r="C941">
        <v>80</v>
      </c>
      <c r="D941">
        <v>78.553314209000007</v>
      </c>
      <c r="E941">
        <v>50</v>
      </c>
      <c r="F941">
        <v>49.750156402999998</v>
      </c>
      <c r="G941">
        <v>1333.75</v>
      </c>
      <c r="H941">
        <v>1332.5861815999999</v>
      </c>
      <c r="I941">
        <v>1329.9703368999999</v>
      </c>
      <c r="J941">
        <v>1329.730957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734.90655100000004</v>
      </c>
      <c r="B942" s="1">
        <f>DATE(2012,5,4) + TIME(21,45,26)</f>
        <v>41033.906550925924</v>
      </c>
      <c r="C942">
        <v>80</v>
      </c>
      <c r="D942">
        <v>78.792205811000002</v>
      </c>
      <c r="E942">
        <v>50</v>
      </c>
      <c r="F942">
        <v>49.740093231000003</v>
      </c>
      <c r="G942">
        <v>1333.7775879000001</v>
      </c>
      <c r="H942">
        <v>1332.6052245999999</v>
      </c>
      <c r="I942">
        <v>1329.9674072</v>
      </c>
      <c r="J942">
        <v>1329.7260742000001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735.11392799999999</v>
      </c>
      <c r="B943" s="1">
        <f>DATE(2012,5,5) + TIME(2,44,3)</f>
        <v>41034.113923611112</v>
      </c>
      <c r="C943">
        <v>80</v>
      </c>
      <c r="D943">
        <v>78.993804932000003</v>
      </c>
      <c r="E943">
        <v>50</v>
      </c>
      <c r="F943">
        <v>49.729835510000001</v>
      </c>
      <c r="G943">
        <v>1333.8023682</v>
      </c>
      <c r="H943">
        <v>1332.6224365</v>
      </c>
      <c r="I943">
        <v>1329.9645995999999</v>
      </c>
      <c r="J943">
        <v>1329.7213135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735.32753100000002</v>
      </c>
      <c r="B944" s="1">
        <f>DATE(2012,5,5) + TIME(7,51,38)</f>
        <v>41034.327523148146</v>
      </c>
      <c r="C944">
        <v>80</v>
      </c>
      <c r="D944">
        <v>79.163665770999998</v>
      </c>
      <c r="E944">
        <v>50</v>
      </c>
      <c r="F944">
        <v>49.719318389999998</v>
      </c>
      <c r="G944">
        <v>1333.8205565999999</v>
      </c>
      <c r="H944">
        <v>1332.6352539</v>
      </c>
      <c r="I944">
        <v>1329.9615478999999</v>
      </c>
      <c r="J944">
        <v>1329.7164307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735.54918299999997</v>
      </c>
      <c r="B945" s="1">
        <f>DATE(2012,5,5) + TIME(13,10,49)</f>
        <v>41034.549178240741</v>
      </c>
      <c r="C945">
        <v>80</v>
      </c>
      <c r="D945">
        <v>79.306678771999998</v>
      </c>
      <c r="E945">
        <v>50</v>
      </c>
      <c r="F945">
        <v>49.708461761000002</v>
      </c>
      <c r="G945">
        <v>1333.8361815999999</v>
      </c>
      <c r="H945">
        <v>1332.6466064000001</v>
      </c>
      <c r="I945">
        <v>1329.9584961</v>
      </c>
      <c r="J945">
        <v>1329.7115478999999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735.78056400000003</v>
      </c>
      <c r="B946" s="1">
        <f>DATE(2012,5,5) + TIME(18,44,0)</f>
        <v>41034.780555555553</v>
      </c>
      <c r="C946">
        <v>80</v>
      </c>
      <c r="D946">
        <v>79.426765442000004</v>
      </c>
      <c r="E946">
        <v>50</v>
      </c>
      <c r="F946">
        <v>49.697185515999998</v>
      </c>
      <c r="G946">
        <v>1333.8502197</v>
      </c>
      <c r="H946">
        <v>1332.6569824000001</v>
      </c>
      <c r="I946">
        <v>1329.9553223</v>
      </c>
      <c r="J946">
        <v>1329.706543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736.02127199999995</v>
      </c>
      <c r="B947" s="1">
        <f>DATE(2012,5,6) + TIME(0,30,37)</f>
        <v>41035.021261574075</v>
      </c>
      <c r="C947">
        <v>80</v>
      </c>
      <c r="D947">
        <v>79.526451111</v>
      </c>
      <c r="E947">
        <v>50</v>
      </c>
      <c r="F947">
        <v>49.685523987000003</v>
      </c>
      <c r="G947">
        <v>1333.862793</v>
      </c>
      <c r="H947">
        <v>1332.6665039</v>
      </c>
      <c r="I947">
        <v>1329.9521483999999</v>
      </c>
      <c r="J947">
        <v>1329.7015381000001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736.26518899999996</v>
      </c>
      <c r="B948" s="1">
        <f>DATE(2012,5,6) + TIME(6,21,52)</f>
        <v>41035.265185185184</v>
      </c>
      <c r="C948">
        <v>80</v>
      </c>
      <c r="D948">
        <v>79.606880188000005</v>
      </c>
      <c r="E948">
        <v>50</v>
      </c>
      <c r="F948">
        <v>49.673763274999999</v>
      </c>
      <c r="G948">
        <v>1333.8740233999999</v>
      </c>
      <c r="H948">
        <v>1332.6751709</v>
      </c>
      <c r="I948">
        <v>1329.9488524999999</v>
      </c>
      <c r="J948">
        <v>1329.6964111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736.51334399999996</v>
      </c>
      <c r="B949" s="1">
        <f>DATE(2012,5,6) + TIME(12,19,12)</f>
        <v>41035.513333333336</v>
      </c>
      <c r="C949">
        <v>80</v>
      </c>
      <c r="D949">
        <v>79.671829224000007</v>
      </c>
      <c r="E949">
        <v>50</v>
      </c>
      <c r="F949">
        <v>49.661857605000002</v>
      </c>
      <c r="G949">
        <v>1333.8836670000001</v>
      </c>
      <c r="H949">
        <v>1332.6828613</v>
      </c>
      <c r="I949">
        <v>1329.9456786999999</v>
      </c>
      <c r="J949">
        <v>1329.6912841999999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736.76649099999997</v>
      </c>
      <c r="B950" s="1">
        <f>DATE(2012,5,6) + TIME(18,23,44)</f>
        <v>41035.766481481478</v>
      </c>
      <c r="C950">
        <v>80</v>
      </c>
      <c r="D950">
        <v>79.724258422999995</v>
      </c>
      <c r="E950">
        <v>50</v>
      </c>
      <c r="F950">
        <v>49.649780272999998</v>
      </c>
      <c r="G950">
        <v>1333.8918457</v>
      </c>
      <c r="H950">
        <v>1332.6896973</v>
      </c>
      <c r="I950">
        <v>1329.9423827999999</v>
      </c>
      <c r="J950">
        <v>1329.6861572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737.025442</v>
      </c>
      <c r="B951" s="1">
        <f>DATE(2012,5,7) + TIME(0,36,38)</f>
        <v>41036.025439814817</v>
      </c>
      <c r="C951">
        <v>80</v>
      </c>
      <c r="D951">
        <v>79.766540527000004</v>
      </c>
      <c r="E951">
        <v>50</v>
      </c>
      <c r="F951">
        <v>49.637489318999997</v>
      </c>
      <c r="G951">
        <v>1333.8986815999999</v>
      </c>
      <c r="H951">
        <v>1332.6956786999999</v>
      </c>
      <c r="I951">
        <v>1329.9390868999999</v>
      </c>
      <c r="J951">
        <v>1329.6810303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737.29109100000005</v>
      </c>
      <c r="B952" s="1">
        <f>DATE(2012,5,7) + TIME(6,59,10)</f>
        <v>41036.291087962964</v>
      </c>
      <c r="C952">
        <v>80</v>
      </c>
      <c r="D952">
        <v>79.800621032999999</v>
      </c>
      <c r="E952">
        <v>50</v>
      </c>
      <c r="F952">
        <v>49.624958038000003</v>
      </c>
      <c r="G952">
        <v>1333.9044189000001</v>
      </c>
      <c r="H952">
        <v>1332.7010498</v>
      </c>
      <c r="I952">
        <v>1329.9357910000001</v>
      </c>
      <c r="J952">
        <v>1329.6757812000001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737.56439699999999</v>
      </c>
      <c r="B953" s="1">
        <f>DATE(2012,5,7) + TIME(13,32,43)</f>
        <v>41036.564386574071</v>
      </c>
      <c r="C953">
        <v>80</v>
      </c>
      <c r="D953">
        <v>79.828041076999995</v>
      </c>
      <c r="E953">
        <v>50</v>
      </c>
      <c r="F953">
        <v>49.612140656000001</v>
      </c>
      <c r="G953">
        <v>1333.9083252</v>
      </c>
      <c r="H953">
        <v>1332.7054443</v>
      </c>
      <c r="I953">
        <v>1329.9324951000001</v>
      </c>
      <c r="J953">
        <v>1329.6706543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737.84656600000005</v>
      </c>
      <c r="B954" s="1">
        <f>DATE(2012,5,7) + TIME(20,19,3)</f>
        <v>41036.846562500003</v>
      </c>
      <c r="C954">
        <v>80</v>
      </c>
      <c r="D954">
        <v>79.850067139000004</v>
      </c>
      <c r="E954">
        <v>50</v>
      </c>
      <c r="F954">
        <v>49.598987579000003</v>
      </c>
      <c r="G954">
        <v>1333.9099120999999</v>
      </c>
      <c r="H954">
        <v>1332.7082519999999</v>
      </c>
      <c r="I954">
        <v>1329.9290771000001</v>
      </c>
      <c r="J954">
        <v>1329.6654053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738.140221</v>
      </c>
      <c r="B955" s="1">
        <f>DATE(2012,5,8) + TIME(3,21,55)</f>
        <v>41037.140219907407</v>
      </c>
      <c r="C955">
        <v>80</v>
      </c>
      <c r="D955">
        <v>79.867797851999995</v>
      </c>
      <c r="E955">
        <v>50</v>
      </c>
      <c r="F955">
        <v>49.585399627999998</v>
      </c>
      <c r="G955">
        <v>1333.9110106999999</v>
      </c>
      <c r="H955">
        <v>1332.7108154</v>
      </c>
      <c r="I955">
        <v>1329.9256591999999</v>
      </c>
      <c r="J955">
        <v>1329.6600341999999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738.44424400000003</v>
      </c>
      <c r="B956" s="1">
        <f>DATE(2012,5,8) + TIME(10,39,42)</f>
        <v>41037.444236111114</v>
      </c>
      <c r="C956">
        <v>80</v>
      </c>
      <c r="D956">
        <v>79.881942749000004</v>
      </c>
      <c r="E956">
        <v>50</v>
      </c>
      <c r="F956">
        <v>49.571422577</v>
      </c>
      <c r="G956">
        <v>1333.9117432</v>
      </c>
      <c r="H956">
        <v>1332.7132568</v>
      </c>
      <c r="I956">
        <v>1329.9221190999999</v>
      </c>
      <c r="J956">
        <v>1329.6546631000001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738.75814600000001</v>
      </c>
      <c r="B957" s="1">
        <f>DATE(2012,5,8) + TIME(18,11,43)</f>
        <v>41037.758136574077</v>
      </c>
      <c r="C957">
        <v>80</v>
      </c>
      <c r="D957">
        <v>79.893165588000002</v>
      </c>
      <c r="E957">
        <v>50</v>
      </c>
      <c r="F957">
        <v>49.557090758999998</v>
      </c>
      <c r="G957">
        <v>1333.9119873</v>
      </c>
      <c r="H957">
        <v>1332.7154541</v>
      </c>
      <c r="I957">
        <v>1329.9185791</v>
      </c>
      <c r="J957">
        <v>1329.6491699000001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739.08324900000002</v>
      </c>
      <c r="B958" s="1">
        <f>DATE(2012,5,9) + TIME(1,59,52)</f>
        <v>41038.083240740743</v>
      </c>
      <c r="C958">
        <v>80</v>
      </c>
      <c r="D958">
        <v>79.902053832999997</v>
      </c>
      <c r="E958">
        <v>50</v>
      </c>
      <c r="F958">
        <v>49.542354584000002</v>
      </c>
      <c r="G958">
        <v>1333.9117432</v>
      </c>
      <c r="H958">
        <v>1332.7175293</v>
      </c>
      <c r="I958">
        <v>1329.9149170000001</v>
      </c>
      <c r="J958">
        <v>1329.6435547000001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739.42100700000003</v>
      </c>
      <c r="B959" s="1">
        <f>DATE(2012,5,9) + TIME(10,6,14)</f>
        <v>41038.420995370368</v>
      </c>
      <c r="C959">
        <v>80</v>
      </c>
      <c r="D959">
        <v>79.909095764</v>
      </c>
      <c r="E959">
        <v>50</v>
      </c>
      <c r="F959">
        <v>49.527160645000002</v>
      </c>
      <c r="G959">
        <v>1333.9113769999999</v>
      </c>
      <c r="H959">
        <v>1332.7193603999999</v>
      </c>
      <c r="I959">
        <v>1329.9111327999999</v>
      </c>
      <c r="J959">
        <v>1329.6378173999999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739.77279599999997</v>
      </c>
      <c r="B960" s="1">
        <f>DATE(2012,5,9) + TIME(18,32,49)</f>
        <v>41038.772789351853</v>
      </c>
      <c r="C960">
        <v>80</v>
      </c>
      <c r="D960">
        <v>79.914665221999996</v>
      </c>
      <c r="E960">
        <v>50</v>
      </c>
      <c r="F960">
        <v>49.511455536</v>
      </c>
      <c r="G960">
        <v>1333.9105225000001</v>
      </c>
      <c r="H960">
        <v>1332.7211914</v>
      </c>
      <c r="I960">
        <v>1329.9073486</v>
      </c>
      <c r="J960">
        <v>1329.6319579999999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740.14038700000003</v>
      </c>
      <c r="B961" s="1">
        <f>DATE(2012,5,10) + TIME(3,22,9)</f>
        <v>41039.140381944446</v>
      </c>
      <c r="C961">
        <v>80</v>
      </c>
      <c r="D961">
        <v>79.919067382999998</v>
      </c>
      <c r="E961">
        <v>50</v>
      </c>
      <c r="F961">
        <v>49.495182036999999</v>
      </c>
      <c r="G961">
        <v>1333.9095459</v>
      </c>
      <c r="H961">
        <v>1332.7229004000001</v>
      </c>
      <c r="I961">
        <v>1329.9035644999999</v>
      </c>
      <c r="J961">
        <v>1329.6259766000001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740.52855599999998</v>
      </c>
      <c r="B962" s="1">
        <f>DATE(2012,5,10) + TIME(12,41,7)</f>
        <v>41039.528553240743</v>
      </c>
      <c r="C962">
        <v>80</v>
      </c>
      <c r="D962">
        <v>79.922554016000007</v>
      </c>
      <c r="E962">
        <v>50</v>
      </c>
      <c r="F962">
        <v>49.478149414000001</v>
      </c>
      <c r="G962">
        <v>1333.9082031</v>
      </c>
      <c r="H962">
        <v>1332.7244873</v>
      </c>
      <c r="I962">
        <v>1329.8995361</v>
      </c>
      <c r="J962">
        <v>1329.6198730000001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740.94205899999997</v>
      </c>
      <c r="B963" s="1">
        <f>DATE(2012,5,10) + TIME(22,36,33)</f>
        <v>41039.942048611112</v>
      </c>
      <c r="C963">
        <v>80</v>
      </c>
      <c r="D963">
        <v>79.925323485999996</v>
      </c>
      <c r="E963">
        <v>50</v>
      </c>
      <c r="F963">
        <v>49.460186004999997</v>
      </c>
      <c r="G963">
        <v>1333.9066161999999</v>
      </c>
      <c r="H963">
        <v>1332.7259521000001</v>
      </c>
      <c r="I963">
        <v>1329.8953856999999</v>
      </c>
      <c r="J963">
        <v>1329.6134033000001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741.38533199999995</v>
      </c>
      <c r="B964" s="1">
        <f>DATE(2012,5,11) + TIME(9,14,52)</f>
        <v>41040.385324074072</v>
      </c>
      <c r="C964">
        <v>80</v>
      </c>
      <c r="D964">
        <v>79.927513122999997</v>
      </c>
      <c r="E964">
        <v>50</v>
      </c>
      <c r="F964">
        <v>49.441135406000001</v>
      </c>
      <c r="G964">
        <v>1333.9049072</v>
      </c>
      <c r="H964">
        <v>1332.7275391000001</v>
      </c>
      <c r="I964">
        <v>1329.8909911999999</v>
      </c>
      <c r="J964">
        <v>1329.6068115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741.86254699999995</v>
      </c>
      <c r="B965" s="1">
        <f>DATE(2012,5,11) + TIME(20,42,4)</f>
        <v>41040.862546296295</v>
      </c>
      <c r="C965">
        <v>80</v>
      </c>
      <c r="D965">
        <v>79.929237365999995</v>
      </c>
      <c r="E965">
        <v>50</v>
      </c>
      <c r="F965">
        <v>49.420860290999997</v>
      </c>
      <c r="G965">
        <v>1333.9029541</v>
      </c>
      <c r="H965">
        <v>1332.7290039</v>
      </c>
      <c r="I965">
        <v>1329.8864745999999</v>
      </c>
      <c r="J965">
        <v>1329.5997314000001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742.35784799999999</v>
      </c>
      <c r="B966" s="1">
        <f>DATE(2012,5,12) + TIME(8,35,18)</f>
        <v>41041.357847222222</v>
      </c>
      <c r="C966">
        <v>80</v>
      </c>
      <c r="D966">
        <v>79.930526732999994</v>
      </c>
      <c r="E966">
        <v>50</v>
      </c>
      <c r="F966">
        <v>49.400005341000004</v>
      </c>
      <c r="G966">
        <v>1333.9007568</v>
      </c>
      <c r="H966">
        <v>1332.7305908000001</v>
      </c>
      <c r="I966">
        <v>1329.8817139</v>
      </c>
      <c r="J966">
        <v>1329.5924072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742.869732</v>
      </c>
      <c r="B967" s="1">
        <f>DATE(2012,5,12) + TIME(20,52,24)</f>
        <v>41041.869722222225</v>
      </c>
      <c r="C967">
        <v>80</v>
      </c>
      <c r="D967">
        <v>79.931495666999993</v>
      </c>
      <c r="E967">
        <v>50</v>
      </c>
      <c r="F967">
        <v>49.378639221</v>
      </c>
      <c r="G967">
        <v>1333.8983154</v>
      </c>
      <c r="H967">
        <v>1332.7320557</v>
      </c>
      <c r="I967">
        <v>1329.8768310999999</v>
      </c>
      <c r="J967">
        <v>1329.5848389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743.393687</v>
      </c>
      <c r="B968" s="1">
        <f>DATE(2012,5,13) + TIME(9,26,54)</f>
        <v>41042.393680555557</v>
      </c>
      <c r="C968">
        <v>80</v>
      </c>
      <c r="D968">
        <v>79.932205199999999</v>
      </c>
      <c r="E968">
        <v>50</v>
      </c>
      <c r="F968">
        <v>49.356937408</v>
      </c>
      <c r="G968">
        <v>1333.8959961</v>
      </c>
      <c r="H968">
        <v>1332.7335204999999</v>
      </c>
      <c r="I968">
        <v>1329.8718262</v>
      </c>
      <c r="J968">
        <v>1329.5771483999999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743.92042300000003</v>
      </c>
      <c r="B969" s="1">
        <f>DATE(2012,5,13) + TIME(22,5,24)</f>
        <v>41042.920416666668</v>
      </c>
      <c r="C969">
        <v>80</v>
      </c>
      <c r="D969">
        <v>79.932708739999995</v>
      </c>
      <c r="E969">
        <v>50</v>
      </c>
      <c r="F969">
        <v>49.335258484000001</v>
      </c>
      <c r="G969">
        <v>1333.8935547000001</v>
      </c>
      <c r="H969">
        <v>1332.7349853999999</v>
      </c>
      <c r="I969">
        <v>1329.8668213000001</v>
      </c>
      <c r="J969">
        <v>1329.5694579999999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744.45221900000001</v>
      </c>
      <c r="B970" s="1">
        <f>DATE(2012,5,14) + TIME(10,51,11)</f>
        <v>41043.452210648145</v>
      </c>
      <c r="C970">
        <v>80</v>
      </c>
      <c r="D970">
        <v>79.933074950999995</v>
      </c>
      <c r="E970">
        <v>50</v>
      </c>
      <c r="F970">
        <v>49.313514709000003</v>
      </c>
      <c r="G970">
        <v>1333.8911132999999</v>
      </c>
      <c r="H970">
        <v>1332.7363281</v>
      </c>
      <c r="I970">
        <v>1329.8618164</v>
      </c>
      <c r="J970">
        <v>1329.5617675999999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744.99130300000002</v>
      </c>
      <c r="B971" s="1">
        <f>DATE(2012,5,14) + TIME(23,47,28)</f>
        <v>41043.991296296299</v>
      </c>
      <c r="C971">
        <v>80</v>
      </c>
      <c r="D971">
        <v>79.933326721</v>
      </c>
      <c r="E971">
        <v>50</v>
      </c>
      <c r="F971">
        <v>49.291625977000002</v>
      </c>
      <c r="G971">
        <v>1333.8886719</v>
      </c>
      <c r="H971">
        <v>1332.7376709</v>
      </c>
      <c r="I971">
        <v>1329.8569336</v>
      </c>
      <c r="J971">
        <v>1329.5541992000001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745.539895</v>
      </c>
      <c r="B972" s="1">
        <f>DATE(2012,5,15) + TIME(12,57,26)</f>
        <v>41044.539884259262</v>
      </c>
      <c r="C972">
        <v>80</v>
      </c>
      <c r="D972">
        <v>79.933494568</v>
      </c>
      <c r="E972">
        <v>50</v>
      </c>
      <c r="F972">
        <v>49.269512177000003</v>
      </c>
      <c r="G972">
        <v>1333.8863524999999</v>
      </c>
      <c r="H972">
        <v>1332.7390137</v>
      </c>
      <c r="I972">
        <v>1329.8519286999999</v>
      </c>
      <c r="J972">
        <v>1329.5465088000001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746.100281</v>
      </c>
      <c r="B973" s="1">
        <f>DATE(2012,5,16) + TIME(2,24,24)</f>
        <v>41045.100277777776</v>
      </c>
      <c r="C973">
        <v>80</v>
      </c>
      <c r="D973">
        <v>79.933601378999995</v>
      </c>
      <c r="E973">
        <v>50</v>
      </c>
      <c r="F973">
        <v>49.247093200999998</v>
      </c>
      <c r="G973">
        <v>1333.8839111</v>
      </c>
      <c r="H973">
        <v>1332.7403564000001</v>
      </c>
      <c r="I973">
        <v>1329.8469238</v>
      </c>
      <c r="J973">
        <v>1329.5388184000001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746.67489599999999</v>
      </c>
      <c r="B974" s="1">
        <f>DATE(2012,5,16) + TIME(16,11,50)</f>
        <v>41045.674884259257</v>
      </c>
      <c r="C974">
        <v>80</v>
      </c>
      <c r="D974">
        <v>79.933662415000001</v>
      </c>
      <c r="E974">
        <v>50</v>
      </c>
      <c r="F974">
        <v>49.224288940000001</v>
      </c>
      <c r="G974">
        <v>1333.8815918</v>
      </c>
      <c r="H974">
        <v>1332.7416992000001</v>
      </c>
      <c r="I974">
        <v>1329.8419189000001</v>
      </c>
      <c r="J974">
        <v>1329.5311279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747.26652899999999</v>
      </c>
      <c r="B975" s="1">
        <f>DATE(2012,5,17) + TIME(6,23,48)</f>
        <v>41046.266527777778</v>
      </c>
      <c r="C975">
        <v>80</v>
      </c>
      <c r="D975">
        <v>79.933677673000005</v>
      </c>
      <c r="E975">
        <v>50</v>
      </c>
      <c r="F975">
        <v>49.201007842999999</v>
      </c>
      <c r="G975">
        <v>1333.8792725000001</v>
      </c>
      <c r="H975">
        <v>1332.7430420000001</v>
      </c>
      <c r="I975">
        <v>1329.8369141000001</v>
      </c>
      <c r="J975">
        <v>1329.5231934000001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747.87812399999996</v>
      </c>
      <c r="B976" s="1">
        <f>DATE(2012,5,17) + TIME(21,4,29)</f>
        <v>41046.878113425926</v>
      </c>
      <c r="C976">
        <v>80</v>
      </c>
      <c r="D976">
        <v>79.933670043999996</v>
      </c>
      <c r="E976">
        <v>50</v>
      </c>
      <c r="F976">
        <v>49.177146911999998</v>
      </c>
      <c r="G976">
        <v>1333.8769531</v>
      </c>
      <c r="H976">
        <v>1332.7443848</v>
      </c>
      <c r="I976">
        <v>1329.8316649999999</v>
      </c>
      <c r="J976">
        <v>1329.5152588000001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748.51315599999998</v>
      </c>
      <c r="B977" s="1">
        <f>DATE(2012,5,18) + TIME(12,18,56)</f>
        <v>41047.513148148151</v>
      </c>
      <c r="C977">
        <v>80</v>
      </c>
      <c r="D977">
        <v>79.933631896999998</v>
      </c>
      <c r="E977">
        <v>50</v>
      </c>
      <c r="F977">
        <v>49.152599334999998</v>
      </c>
      <c r="G977">
        <v>1333.8746338000001</v>
      </c>
      <c r="H977">
        <v>1332.7457274999999</v>
      </c>
      <c r="I977">
        <v>1329.8264160000001</v>
      </c>
      <c r="J977">
        <v>1329.5072021000001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749.17574000000002</v>
      </c>
      <c r="B978" s="1">
        <f>DATE(2012,5,19) + TIME(4,13,3)</f>
        <v>41048.175729166665</v>
      </c>
      <c r="C978">
        <v>80</v>
      </c>
      <c r="D978">
        <v>79.933570861999996</v>
      </c>
      <c r="E978">
        <v>50</v>
      </c>
      <c r="F978">
        <v>49.127235413000001</v>
      </c>
      <c r="G978">
        <v>1333.8723144999999</v>
      </c>
      <c r="H978">
        <v>1332.7470702999999</v>
      </c>
      <c r="I978">
        <v>1329.8211670000001</v>
      </c>
      <c r="J978">
        <v>1329.4989014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749.87230799999998</v>
      </c>
      <c r="B979" s="1">
        <f>DATE(2012,5,19) + TIME(20,56,7)</f>
        <v>41048.872303240743</v>
      </c>
      <c r="C979">
        <v>80</v>
      </c>
      <c r="D979">
        <v>79.933502196999996</v>
      </c>
      <c r="E979">
        <v>50</v>
      </c>
      <c r="F979">
        <v>49.100856780999997</v>
      </c>
      <c r="G979">
        <v>1333.8699951000001</v>
      </c>
      <c r="H979">
        <v>1332.7484131000001</v>
      </c>
      <c r="I979">
        <v>1329.8155518000001</v>
      </c>
      <c r="J979">
        <v>1329.4903564000001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750.60753499999998</v>
      </c>
      <c r="B980" s="1">
        <f>DATE(2012,5,20) + TIME(14,34,51)</f>
        <v>41049.607534722221</v>
      </c>
      <c r="C980">
        <v>80</v>
      </c>
      <c r="D980">
        <v>79.933410644999995</v>
      </c>
      <c r="E980">
        <v>50</v>
      </c>
      <c r="F980">
        <v>49.073318481000001</v>
      </c>
      <c r="G980">
        <v>1333.8676757999999</v>
      </c>
      <c r="H980">
        <v>1332.7497559000001</v>
      </c>
      <c r="I980">
        <v>1329.8099365</v>
      </c>
      <c r="J980">
        <v>1329.4814452999999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751.38066700000002</v>
      </c>
      <c r="B981" s="1">
        <f>DATE(2012,5,21) + TIME(9,8,9)</f>
        <v>41050.380659722221</v>
      </c>
      <c r="C981">
        <v>80</v>
      </c>
      <c r="D981">
        <v>79.933303832999997</v>
      </c>
      <c r="E981">
        <v>50</v>
      </c>
      <c r="F981">
        <v>49.044666290000002</v>
      </c>
      <c r="G981">
        <v>1333.8652344</v>
      </c>
      <c r="H981">
        <v>1332.7510986</v>
      </c>
      <c r="I981">
        <v>1329.8039550999999</v>
      </c>
      <c r="J981">
        <v>1329.4722899999999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752.17301999999995</v>
      </c>
      <c r="B982" s="1">
        <f>DATE(2012,5,22) + TIME(4,9,8)</f>
        <v>41051.173009259262</v>
      </c>
      <c r="C982">
        <v>80</v>
      </c>
      <c r="D982">
        <v>79.933189392000003</v>
      </c>
      <c r="E982">
        <v>50</v>
      </c>
      <c r="F982">
        <v>49.015502929999997</v>
      </c>
      <c r="G982">
        <v>1333.8629149999999</v>
      </c>
      <c r="H982">
        <v>1332.7524414</v>
      </c>
      <c r="I982">
        <v>1329.7979736</v>
      </c>
      <c r="J982">
        <v>1329.4628906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752.97893899999997</v>
      </c>
      <c r="B983" s="1">
        <f>DATE(2012,5,22) + TIME(23,29,40)</f>
        <v>41051.978935185187</v>
      </c>
      <c r="C983">
        <v>80</v>
      </c>
      <c r="D983">
        <v>79.933067321999999</v>
      </c>
      <c r="E983">
        <v>50</v>
      </c>
      <c r="F983">
        <v>48.986007690000001</v>
      </c>
      <c r="G983">
        <v>1333.8605957</v>
      </c>
      <c r="H983">
        <v>1332.7539062000001</v>
      </c>
      <c r="I983">
        <v>1329.7917480000001</v>
      </c>
      <c r="J983">
        <v>1329.4533690999999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753.80585099999996</v>
      </c>
      <c r="B984" s="1">
        <f>DATE(2012,5,23) + TIME(19,20,25)</f>
        <v>41052.805844907409</v>
      </c>
      <c r="C984">
        <v>80</v>
      </c>
      <c r="D984">
        <v>79.932937621999997</v>
      </c>
      <c r="E984">
        <v>50</v>
      </c>
      <c r="F984">
        <v>48.955959319999998</v>
      </c>
      <c r="G984">
        <v>1333.8583983999999</v>
      </c>
      <c r="H984">
        <v>1332.7553711</v>
      </c>
      <c r="I984">
        <v>1329.7856445</v>
      </c>
      <c r="J984">
        <v>1329.4437256000001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754.64830300000006</v>
      </c>
      <c r="B985" s="1">
        <f>DATE(2012,5,24) + TIME(15,33,33)</f>
        <v>41053.648298611108</v>
      </c>
      <c r="C985">
        <v>80</v>
      </c>
      <c r="D985">
        <v>79.932807921999995</v>
      </c>
      <c r="E985">
        <v>50</v>
      </c>
      <c r="F985">
        <v>48.925529480000002</v>
      </c>
      <c r="G985">
        <v>1333.8562012</v>
      </c>
      <c r="H985">
        <v>1332.7568358999999</v>
      </c>
      <c r="I985">
        <v>1329.7794189000001</v>
      </c>
      <c r="J985">
        <v>1329.434082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755.51470099999995</v>
      </c>
      <c r="B986" s="1">
        <f>DATE(2012,5,25) + TIME(12,21,10)</f>
        <v>41054.514699074076</v>
      </c>
      <c r="C986">
        <v>80</v>
      </c>
      <c r="D986">
        <v>79.932670592999997</v>
      </c>
      <c r="E986">
        <v>50</v>
      </c>
      <c r="F986">
        <v>48.894474029999998</v>
      </c>
      <c r="G986">
        <v>1333.854126</v>
      </c>
      <c r="H986">
        <v>1332.7583007999999</v>
      </c>
      <c r="I986">
        <v>1329.7730713000001</v>
      </c>
      <c r="J986">
        <v>1329.4241943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756.41369099999997</v>
      </c>
      <c r="B987" s="1">
        <f>DATE(2012,5,26) + TIME(9,55,42)</f>
        <v>41055.413680555554</v>
      </c>
      <c r="C987">
        <v>80</v>
      </c>
      <c r="D987">
        <v>79.932533264</v>
      </c>
      <c r="E987">
        <v>50</v>
      </c>
      <c r="F987">
        <v>48.862529754999997</v>
      </c>
      <c r="G987">
        <v>1333.8520507999999</v>
      </c>
      <c r="H987">
        <v>1332.7598877</v>
      </c>
      <c r="I987">
        <v>1329.7667236</v>
      </c>
      <c r="J987">
        <v>1329.4143065999999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757.35470099999998</v>
      </c>
      <c r="B988" s="1">
        <f>DATE(2012,5,27) + TIME(8,30,46)</f>
        <v>41056.354699074072</v>
      </c>
      <c r="C988">
        <v>80</v>
      </c>
      <c r="D988">
        <v>79.932395935000002</v>
      </c>
      <c r="E988">
        <v>50</v>
      </c>
      <c r="F988">
        <v>48.829437255999999</v>
      </c>
      <c r="G988">
        <v>1333.8500977000001</v>
      </c>
      <c r="H988">
        <v>1332.7613524999999</v>
      </c>
      <c r="I988">
        <v>1329.7602539</v>
      </c>
      <c r="J988">
        <v>1329.4041748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758.30003099999999</v>
      </c>
      <c r="B989" s="1">
        <f>DATE(2012,5,28) + TIME(7,12,2)</f>
        <v>41057.300023148149</v>
      </c>
      <c r="C989">
        <v>80</v>
      </c>
      <c r="D989">
        <v>79.932258606000005</v>
      </c>
      <c r="E989">
        <v>50</v>
      </c>
      <c r="F989">
        <v>48.796276093000003</v>
      </c>
      <c r="G989">
        <v>1333.8480225000001</v>
      </c>
      <c r="H989">
        <v>1332.7628173999999</v>
      </c>
      <c r="I989">
        <v>1329.7536620999999</v>
      </c>
      <c r="J989">
        <v>1329.3936768000001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759.25215800000001</v>
      </c>
      <c r="B990" s="1">
        <f>DATE(2012,5,29) + TIME(6,3,6)</f>
        <v>41058.252152777779</v>
      </c>
      <c r="C990">
        <v>80</v>
      </c>
      <c r="D990">
        <v>79.932121276999993</v>
      </c>
      <c r="E990">
        <v>50</v>
      </c>
      <c r="F990">
        <v>48.762996674</v>
      </c>
      <c r="G990">
        <v>1333.8460693</v>
      </c>
      <c r="H990">
        <v>1332.7642822</v>
      </c>
      <c r="I990">
        <v>1329.7470702999999</v>
      </c>
      <c r="J990">
        <v>1329.3834228999999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760.22204899999997</v>
      </c>
      <c r="B991" s="1">
        <f>DATE(2012,5,30) + TIME(5,19,44)</f>
        <v>41059.222037037034</v>
      </c>
      <c r="C991">
        <v>80</v>
      </c>
      <c r="D991">
        <v>79.931991577000005</v>
      </c>
      <c r="E991">
        <v>50</v>
      </c>
      <c r="F991">
        <v>48.729297637999998</v>
      </c>
      <c r="G991">
        <v>1333.8442382999999</v>
      </c>
      <c r="H991">
        <v>1332.765625</v>
      </c>
      <c r="I991">
        <v>1329.7404785000001</v>
      </c>
      <c r="J991">
        <v>1329.3730469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761.22091499999999</v>
      </c>
      <c r="B992" s="1">
        <f>DATE(2012,5,31) + TIME(5,18,7)</f>
        <v>41060.220914351848</v>
      </c>
      <c r="C992">
        <v>80</v>
      </c>
      <c r="D992">
        <v>79.931854247999993</v>
      </c>
      <c r="E992">
        <v>50</v>
      </c>
      <c r="F992">
        <v>48.694869994999998</v>
      </c>
      <c r="G992">
        <v>1333.8416748</v>
      </c>
      <c r="H992">
        <v>1332.7664795000001</v>
      </c>
      <c r="I992">
        <v>1329.7340088000001</v>
      </c>
      <c r="J992">
        <v>1329.3626709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762</v>
      </c>
      <c r="B993" s="1">
        <f>DATE(2012,6,1) + TIME(0,0,0)</f>
        <v>41061</v>
      </c>
      <c r="C993">
        <v>80</v>
      </c>
      <c r="D993">
        <v>79.931724548000005</v>
      </c>
      <c r="E993">
        <v>50</v>
      </c>
      <c r="F993">
        <v>48.666931151999997</v>
      </c>
      <c r="G993">
        <v>1333.8392334</v>
      </c>
      <c r="H993">
        <v>1332.7674560999999</v>
      </c>
      <c r="I993">
        <v>1329.7274170000001</v>
      </c>
      <c r="J993">
        <v>1329.3524170000001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763.03098299999999</v>
      </c>
      <c r="B994" s="1">
        <f>DATE(2012,6,2) + TIME(0,44,36)</f>
        <v>41062.030972222223</v>
      </c>
      <c r="C994">
        <v>80</v>
      </c>
      <c r="D994">
        <v>79.931602478000002</v>
      </c>
      <c r="E994">
        <v>50</v>
      </c>
      <c r="F994">
        <v>48.631984711000001</v>
      </c>
      <c r="G994">
        <v>1333.8374022999999</v>
      </c>
      <c r="H994">
        <v>1332.7681885</v>
      </c>
      <c r="I994">
        <v>1329.7219238</v>
      </c>
      <c r="J994">
        <v>1329.3436279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764.11244199999999</v>
      </c>
      <c r="B995" s="1">
        <f>DATE(2012,6,3) + TIME(2,41,54)</f>
        <v>41063.112430555557</v>
      </c>
      <c r="C995">
        <v>80</v>
      </c>
      <c r="D995">
        <v>79.931472778</v>
      </c>
      <c r="E995">
        <v>50</v>
      </c>
      <c r="F995">
        <v>48.595722197999997</v>
      </c>
      <c r="G995">
        <v>1333.8350829999999</v>
      </c>
      <c r="H995">
        <v>1332.7691649999999</v>
      </c>
      <c r="I995">
        <v>1329.715332</v>
      </c>
      <c r="J995">
        <v>1329.3331298999999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765.23121500000002</v>
      </c>
      <c r="B996" s="1">
        <f>DATE(2012,6,4) + TIME(5,32,56)</f>
        <v>41064.231203703705</v>
      </c>
      <c r="C996">
        <v>80</v>
      </c>
      <c r="D996">
        <v>79.931343079000001</v>
      </c>
      <c r="E996">
        <v>50</v>
      </c>
      <c r="F996">
        <v>48.558490753000001</v>
      </c>
      <c r="G996">
        <v>1333.8328856999999</v>
      </c>
      <c r="H996">
        <v>1332.7701416</v>
      </c>
      <c r="I996">
        <v>1329.7086182</v>
      </c>
      <c r="J996">
        <v>1329.3223877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766.35479399999997</v>
      </c>
      <c r="B997" s="1">
        <f>DATE(2012,6,5) + TIME(8,30,54)</f>
        <v>41065.354791666665</v>
      </c>
      <c r="C997">
        <v>80</v>
      </c>
      <c r="D997">
        <v>79.931213378999999</v>
      </c>
      <c r="E997">
        <v>50</v>
      </c>
      <c r="F997">
        <v>48.521167755</v>
      </c>
      <c r="G997">
        <v>1333.8308105000001</v>
      </c>
      <c r="H997">
        <v>1332.7712402</v>
      </c>
      <c r="I997">
        <v>1329.7017822</v>
      </c>
      <c r="J997">
        <v>1329.3112793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767.48960199999999</v>
      </c>
      <c r="B998" s="1">
        <f>DATE(2012,6,6) + TIME(11,45,1)</f>
        <v>41066.489594907405</v>
      </c>
      <c r="C998">
        <v>80</v>
      </c>
      <c r="D998">
        <v>79.931091308999996</v>
      </c>
      <c r="E998">
        <v>50</v>
      </c>
      <c r="F998">
        <v>48.483654022000003</v>
      </c>
      <c r="G998">
        <v>1333.8287353999999</v>
      </c>
      <c r="H998">
        <v>1332.7722168</v>
      </c>
      <c r="I998">
        <v>1329.6949463000001</v>
      </c>
      <c r="J998">
        <v>1329.3004149999999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768.647513</v>
      </c>
      <c r="B999" s="1">
        <f>DATE(2012,6,7) + TIME(15,32,25)</f>
        <v>41067.647511574076</v>
      </c>
      <c r="C999">
        <v>80</v>
      </c>
      <c r="D999">
        <v>79.930976868000002</v>
      </c>
      <c r="E999">
        <v>50</v>
      </c>
      <c r="F999">
        <v>48.445709229000002</v>
      </c>
      <c r="G999">
        <v>1333.8269043</v>
      </c>
      <c r="H999">
        <v>1332.7733154</v>
      </c>
      <c r="I999">
        <v>1329.6881103999999</v>
      </c>
      <c r="J999">
        <v>1329.2894286999999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769.84194200000002</v>
      </c>
      <c r="B1000" s="1">
        <f>DATE(2012,6,8) + TIME(20,12,23)</f>
        <v>41068.841932870368</v>
      </c>
      <c r="C1000">
        <v>80</v>
      </c>
      <c r="D1000">
        <v>79.930862426999994</v>
      </c>
      <c r="E1000">
        <v>50</v>
      </c>
      <c r="F1000">
        <v>48.407066344999997</v>
      </c>
      <c r="G1000">
        <v>1333.8250731999999</v>
      </c>
      <c r="H1000">
        <v>1332.7742920000001</v>
      </c>
      <c r="I1000">
        <v>1329.6813964999999</v>
      </c>
      <c r="J1000">
        <v>1329.2784423999999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771.084428</v>
      </c>
      <c r="B1001" s="1">
        <f>DATE(2012,6,10) + TIME(2,1,34)</f>
        <v>41070.084421296298</v>
      </c>
      <c r="C1001">
        <v>80</v>
      </c>
      <c r="D1001">
        <v>79.930755614999995</v>
      </c>
      <c r="E1001">
        <v>50</v>
      </c>
      <c r="F1001">
        <v>48.367534636999999</v>
      </c>
      <c r="G1001">
        <v>1333.8232422000001</v>
      </c>
      <c r="H1001">
        <v>1332.7753906</v>
      </c>
      <c r="I1001">
        <v>1329.6745605000001</v>
      </c>
      <c r="J1001">
        <v>1329.2673339999999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772.35150099999998</v>
      </c>
      <c r="B1002" s="1">
        <f>DATE(2012,6,11) + TIME(8,26,9)</f>
        <v>41071.351493055554</v>
      </c>
      <c r="C1002">
        <v>80</v>
      </c>
      <c r="D1002">
        <v>79.930656432999996</v>
      </c>
      <c r="E1002">
        <v>50</v>
      </c>
      <c r="F1002">
        <v>48.327816009999999</v>
      </c>
      <c r="G1002">
        <v>1333.8215332</v>
      </c>
      <c r="H1002">
        <v>1332.7764893000001</v>
      </c>
      <c r="I1002">
        <v>1329.6676024999999</v>
      </c>
      <c r="J1002">
        <v>1329.2558594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773.63170000000002</v>
      </c>
      <c r="B1003" s="1">
        <f>DATE(2012,6,12) + TIME(15,9,38)</f>
        <v>41072.631689814814</v>
      </c>
      <c r="C1003">
        <v>80</v>
      </c>
      <c r="D1003">
        <v>79.930557250999996</v>
      </c>
      <c r="E1003">
        <v>50</v>
      </c>
      <c r="F1003">
        <v>48.288379669000001</v>
      </c>
      <c r="G1003">
        <v>1333.8199463000001</v>
      </c>
      <c r="H1003">
        <v>1332.7775879000001</v>
      </c>
      <c r="I1003">
        <v>1329.6607666</v>
      </c>
      <c r="J1003">
        <v>1329.2445068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774.93333900000005</v>
      </c>
      <c r="B1004" s="1">
        <f>DATE(2012,6,13) + TIME(22,24,0)</f>
        <v>41073.933333333334</v>
      </c>
      <c r="C1004">
        <v>80</v>
      </c>
      <c r="D1004">
        <v>79.930465698000006</v>
      </c>
      <c r="E1004">
        <v>50</v>
      </c>
      <c r="F1004">
        <v>48.249305724999999</v>
      </c>
      <c r="G1004">
        <v>1333.8184814000001</v>
      </c>
      <c r="H1004">
        <v>1332.7785644999999</v>
      </c>
      <c r="I1004">
        <v>1329.6539307</v>
      </c>
      <c r="J1004">
        <v>1329.2331543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776.26313300000004</v>
      </c>
      <c r="B1005" s="1">
        <f>DATE(2012,6,15) + TIME(6,18,54)</f>
        <v>41075.263124999998</v>
      </c>
      <c r="C1005">
        <v>80</v>
      </c>
      <c r="D1005">
        <v>79.930381775000001</v>
      </c>
      <c r="E1005">
        <v>50</v>
      </c>
      <c r="F1005">
        <v>48.210788727000001</v>
      </c>
      <c r="G1005">
        <v>1333.8170166</v>
      </c>
      <c r="H1005">
        <v>1332.7796631000001</v>
      </c>
      <c r="I1005">
        <v>1329.6470947</v>
      </c>
      <c r="J1005">
        <v>1329.2218018000001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777.61741700000005</v>
      </c>
      <c r="B1006" s="1">
        <f>DATE(2012,6,16) + TIME(14,49,4)</f>
        <v>41076.617407407408</v>
      </c>
      <c r="C1006">
        <v>80</v>
      </c>
      <c r="D1006">
        <v>79.930297851999995</v>
      </c>
      <c r="E1006">
        <v>50</v>
      </c>
      <c r="F1006">
        <v>48.173343658</v>
      </c>
      <c r="G1006">
        <v>1333.8155518000001</v>
      </c>
      <c r="H1006">
        <v>1332.7807617000001</v>
      </c>
      <c r="I1006">
        <v>1329.6403809000001</v>
      </c>
      <c r="J1006">
        <v>1329.2104492000001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779.01097200000004</v>
      </c>
      <c r="B1007" s="1">
        <f>DATE(2012,6,18) + TIME(0,15,47)</f>
        <v>41078.010960648149</v>
      </c>
      <c r="C1007">
        <v>80</v>
      </c>
      <c r="D1007">
        <v>79.930221558</v>
      </c>
      <c r="E1007">
        <v>50</v>
      </c>
      <c r="F1007">
        <v>48.137241363999998</v>
      </c>
      <c r="G1007">
        <v>1333.8142089999999</v>
      </c>
      <c r="H1007">
        <v>1332.7817382999999</v>
      </c>
      <c r="I1007">
        <v>1329.6337891000001</v>
      </c>
      <c r="J1007">
        <v>1329.1989745999999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780.46037999999999</v>
      </c>
      <c r="B1008" s="1">
        <f>DATE(2012,6,19) + TIME(11,2,56)</f>
        <v>41079.460370370369</v>
      </c>
      <c r="C1008">
        <v>80</v>
      </c>
      <c r="D1008">
        <v>79.930152892999999</v>
      </c>
      <c r="E1008">
        <v>50</v>
      </c>
      <c r="F1008">
        <v>48.102958678999997</v>
      </c>
      <c r="G1008">
        <v>1333.8128661999999</v>
      </c>
      <c r="H1008">
        <v>1332.7828368999999</v>
      </c>
      <c r="I1008">
        <v>1329.6270752</v>
      </c>
      <c r="J1008">
        <v>1329.1875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781.91979800000001</v>
      </c>
      <c r="B1009" s="1">
        <f>DATE(2012,6,20) + TIME(22,4,30)</f>
        <v>41080.919791666667</v>
      </c>
      <c r="C1009">
        <v>80</v>
      </c>
      <c r="D1009">
        <v>79.930091857999997</v>
      </c>
      <c r="E1009">
        <v>50</v>
      </c>
      <c r="F1009">
        <v>48.072257995999998</v>
      </c>
      <c r="G1009">
        <v>1333.8116454999999</v>
      </c>
      <c r="H1009">
        <v>1332.7838135</v>
      </c>
      <c r="I1009">
        <v>1329.6204834</v>
      </c>
      <c r="J1009">
        <v>1329.1759033000001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783.39257599999996</v>
      </c>
      <c r="B1010" s="1">
        <f>DATE(2012,6,22) + TIME(9,25,18)</f>
        <v>41082.392569444448</v>
      </c>
      <c r="C1010">
        <v>80</v>
      </c>
      <c r="D1010">
        <v>79.930030822999996</v>
      </c>
      <c r="E1010">
        <v>50</v>
      </c>
      <c r="F1010">
        <v>48.046234130999999</v>
      </c>
      <c r="G1010">
        <v>1333.8103027</v>
      </c>
      <c r="H1010">
        <v>1332.7849120999999</v>
      </c>
      <c r="I1010">
        <v>1329.6138916</v>
      </c>
      <c r="J1010">
        <v>1329.1644286999999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784.89838899999995</v>
      </c>
      <c r="B1011" s="1">
        <f>DATE(2012,6,23) + TIME(21,33,40)</f>
        <v>41083.898379629631</v>
      </c>
      <c r="C1011">
        <v>80</v>
      </c>
      <c r="D1011">
        <v>79.929977417000003</v>
      </c>
      <c r="E1011">
        <v>50</v>
      </c>
      <c r="F1011">
        <v>48.026008605999998</v>
      </c>
      <c r="G1011">
        <v>1333.8092041</v>
      </c>
      <c r="H1011">
        <v>1332.7858887</v>
      </c>
      <c r="I1011">
        <v>1329.6075439000001</v>
      </c>
      <c r="J1011">
        <v>1329.1531981999999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786.452179</v>
      </c>
      <c r="B1012" s="1">
        <f>DATE(2012,6,25) + TIME(10,51,8)</f>
        <v>41085.452175925922</v>
      </c>
      <c r="C1012">
        <v>80</v>
      </c>
      <c r="D1012">
        <v>79.929931640999996</v>
      </c>
      <c r="E1012">
        <v>50</v>
      </c>
      <c r="F1012">
        <v>48.013236999999997</v>
      </c>
      <c r="G1012">
        <v>1333.8079834</v>
      </c>
      <c r="H1012">
        <v>1332.7868652</v>
      </c>
      <c r="I1012">
        <v>1329.6014404</v>
      </c>
      <c r="J1012">
        <v>1329.1418457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788.03546200000005</v>
      </c>
      <c r="B1013" s="1">
        <f>DATE(2012,6,27) + TIME(0,51,3)</f>
        <v>41087.035451388889</v>
      </c>
      <c r="C1013">
        <v>80</v>
      </c>
      <c r="D1013">
        <v>79.929885863999999</v>
      </c>
      <c r="E1013">
        <v>50</v>
      </c>
      <c r="F1013">
        <v>48.010238647000001</v>
      </c>
      <c r="G1013">
        <v>1333.8068848</v>
      </c>
      <c r="H1013">
        <v>1332.7878418</v>
      </c>
      <c r="I1013">
        <v>1329.5953368999999</v>
      </c>
      <c r="J1013">
        <v>1329.1306152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789.66839700000003</v>
      </c>
      <c r="B1014" s="1">
        <f>DATE(2012,6,28) + TIME(16,2,29)</f>
        <v>41088.668391203704</v>
      </c>
      <c r="C1014">
        <v>80</v>
      </c>
      <c r="D1014">
        <v>79.929847717000001</v>
      </c>
      <c r="E1014">
        <v>50</v>
      </c>
      <c r="F1014">
        <v>48.019535064999999</v>
      </c>
      <c r="G1014">
        <v>1333.8057861</v>
      </c>
      <c r="H1014">
        <v>1332.7886963000001</v>
      </c>
      <c r="I1014">
        <v>1329.5893555</v>
      </c>
      <c r="J1014">
        <v>1329.1196289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791.33356700000002</v>
      </c>
      <c r="B1015" s="1">
        <f>DATE(2012,6,30) + TIME(8,0,20)</f>
        <v>41090.333564814813</v>
      </c>
      <c r="C1015">
        <v>80</v>
      </c>
      <c r="D1015">
        <v>79.929817200000002</v>
      </c>
      <c r="E1015">
        <v>50</v>
      </c>
      <c r="F1015">
        <v>48.044208527000002</v>
      </c>
      <c r="G1015">
        <v>1333.8046875</v>
      </c>
      <c r="H1015">
        <v>1332.7896728999999</v>
      </c>
      <c r="I1015">
        <v>1329.5836182</v>
      </c>
      <c r="J1015">
        <v>1329.1086425999999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792</v>
      </c>
      <c r="B1016" s="1">
        <f>DATE(2012,7,1) + TIME(0,0,0)</f>
        <v>41091</v>
      </c>
      <c r="C1016">
        <v>80</v>
      </c>
      <c r="D1016">
        <v>79.929763793999996</v>
      </c>
      <c r="E1016">
        <v>50</v>
      </c>
      <c r="F1016">
        <v>48.065525055000002</v>
      </c>
      <c r="G1016">
        <v>1333.8037108999999</v>
      </c>
      <c r="H1016">
        <v>1332.7906493999999</v>
      </c>
      <c r="I1016">
        <v>1329.5786132999999</v>
      </c>
      <c r="J1016">
        <v>1329.0985106999999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793.68153800000005</v>
      </c>
      <c r="B1017" s="1">
        <f>DATE(2012,7,2) + TIME(16,21,24)</f>
        <v>41092.681527777779</v>
      </c>
      <c r="C1017">
        <v>80</v>
      </c>
      <c r="D1017">
        <v>79.929763793999996</v>
      </c>
      <c r="E1017">
        <v>50</v>
      </c>
      <c r="F1017">
        <v>48.115577698000003</v>
      </c>
      <c r="G1017">
        <v>1333.8032227000001</v>
      </c>
      <c r="H1017">
        <v>1332.7908935999999</v>
      </c>
      <c r="I1017">
        <v>1329.5754394999999</v>
      </c>
      <c r="J1017">
        <v>1329.0928954999999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795.41161</v>
      </c>
      <c r="B1018" s="1">
        <f>DATE(2012,7,4) + TIME(9,52,43)</f>
        <v>41094.411608796298</v>
      </c>
      <c r="C1018">
        <v>80</v>
      </c>
      <c r="D1018">
        <v>79.929748535000002</v>
      </c>
      <c r="E1018">
        <v>50</v>
      </c>
      <c r="F1018">
        <v>48.189712524000001</v>
      </c>
      <c r="G1018">
        <v>1333.8022461</v>
      </c>
      <c r="H1018">
        <v>1332.7917480000001</v>
      </c>
      <c r="I1018">
        <v>1329.5705565999999</v>
      </c>
      <c r="J1018">
        <v>1329.0830077999999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797.20275800000002</v>
      </c>
      <c r="B1019" s="1">
        <f>DATE(2012,7,6) + TIME(4,51,58)</f>
        <v>41096.20275462963</v>
      </c>
      <c r="C1019">
        <v>80</v>
      </c>
      <c r="D1019">
        <v>79.929733275999993</v>
      </c>
      <c r="E1019">
        <v>50</v>
      </c>
      <c r="F1019">
        <v>48.292800903</v>
      </c>
      <c r="G1019">
        <v>1333.8012695</v>
      </c>
      <c r="H1019">
        <v>1332.7927245999999</v>
      </c>
      <c r="I1019">
        <v>1329.5657959</v>
      </c>
      <c r="J1019">
        <v>1329.0732422000001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799.03389900000002</v>
      </c>
      <c r="B1020" s="1">
        <f>DATE(2012,7,8) + TIME(0,48,48)</f>
        <v>41098.033888888887</v>
      </c>
      <c r="C1020">
        <v>80</v>
      </c>
      <c r="D1020">
        <v>79.929725646999998</v>
      </c>
      <c r="E1020">
        <v>50</v>
      </c>
      <c r="F1020">
        <v>48.429206848</v>
      </c>
      <c r="G1020">
        <v>1333.800293</v>
      </c>
      <c r="H1020">
        <v>1332.7935791</v>
      </c>
      <c r="I1020">
        <v>1329.5614014</v>
      </c>
      <c r="J1020">
        <v>1329.0638428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800.90327000000002</v>
      </c>
      <c r="B1021" s="1">
        <f>DATE(2012,7,9) + TIME(21,40,42)</f>
        <v>41099.903263888889</v>
      </c>
      <c r="C1021">
        <v>80</v>
      </c>
      <c r="D1021">
        <v>79.929718018000003</v>
      </c>
      <c r="E1021">
        <v>50</v>
      </c>
      <c r="F1021">
        <v>48.603309631000002</v>
      </c>
      <c r="G1021">
        <v>1333.7994385</v>
      </c>
      <c r="H1021">
        <v>1332.7944336</v>
      </c>
      <c r="I1021">
        <v>1329.557251</v>
      </c>
      <c r="J1021">
        <v>1329.0549315999999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802.80060200000003</v>
      </c>
      <c r="B1022" s="1">
        <f>DATE(2012,7,11) + TIME(19,12,52)</f>
        <v>41101.80060185185</v>
      </c>
      <c r="C1022">
        <v>80</v>
      </c>
      <c r="D1022">
        <v>79.929710388000004</v>
      </c>
      <c r="E1022">
        <v>50</v>
      </c>
      <c r="F1022">
        <v>48.818538666000002</v>
      </c>
      <c r="G1022">
        <v>1333.7984618999999</v>
      </c>
      <c r="H1022">
        <v>1332.7951660000001</v>
      </c>
      <c r="I1022">
        <v>1329.5534668</v>
      </c>
      <c r="J1022">
        <v>1329.0465088000001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804.74257899999998</v>
      </c>
      <c r="B1023" s="1">
        <f>DATE(2012,7,13) + TIME(17,49,18)</f>
        <v>41103.742569444446</v>
      </c>
      <c r="C1023">
        <v>80</v>
      </c>
      <c r="D1023">
        <v>79.929710388000004</v>
      </c>
      <c r="E1023">
        <v>50</v>
      </c>
      <c r="F1023">
        <v>49.079296112000002</v>
      </c>
      <c r="G1023">
        <v>1333.7976074000001</v>
      </c>
      <c r="H1023">
        <v>1332.7960204999999</v>
      </c>
      <c r="I1023">
        <v>1329.5500488</v>
      </c>
      <c r="J1023">
        <v>1329.0386963000001</v>
      </c>
      <c r="K1023">
        <v>550</v>
      </c>
      <c r="L1023">
        <v>0</v>
      </c>
      <c r="M1023">
        <v>0</v>
      </c>
      <c r="N1023">
        <v>550</v>
      </c>
    </row>
    <row r="1024" spans="1:14" x14ac:dyDescent="0.25">
      <c r="A1024">
        <v>806.72390700000005</v>
      </c>
      <c r="B1024" s="1">
        <f>DATE(2012,7,15) + TIME(17,22,25)</f>
        <v>41105.723900462966</v>
      </c>
      <c r="C1024">
        <v>80</v>
      </c>
      <c r="D1024">
        <v>79.929718018000003</v>
      </c>
      <c r="E1024">
        <v>50</v>
      </c>
      <c r="F1024">
        <v>49.388374329000001</v>
      </c>
      <c r="G1024">
        <v>1333.7966309000001</v>
      </c>
      <c r="H1024">
        <v>1332.7967529</v>
      </c>
      <c r="I1024">
        <v>1329.5469971</v>
      </c>
      <c r="J1024">
        <v>1329.0316161999999</v>
      </c>
      <c r="K1024">
        <v>550</v>
      </c>
      <c r="L1024">
        <v>0</v>
      </c>
      <c r="M1024">
        <v>0</v>
      </c>
      <c r="N1024">
        <v>550</v>
      </c>
    </row>
    <row r="1025" spans="1:14" x14ac:dyDescent="0.25">
      <c r="A1025">
        <v>808.773505</v>
      </c>
      <c r="B1025" s="1">
        <f>DATE(2012,7,17) + TIME(18,33,50)</f>
        <v>41107.773495370369</v>
      </c>
      <c r="C1025">
        <v>80</v>
      </c>
      <c r="D1025">
        <v>79.929733275999993</v>
      </c>
      <c r="E1025">
        <v>50</v>
      </c>
      <c r="F1025">
        <v>49.750694275000001</v>
      </c>
      <c r="G1025">
        <v>1333.7957764</v>
      </c>
      <c r="H1025">
        <v>1332.7976074000001</v>
      </c>
      <c r="I1025">
        <v>1329.5444336</v>
      </c>
      <c r="J1025">
        <v>1329.0252685999999</v>
      </c>
      <c r="K1025">
        <v>550</v>
      </c>
      <c r="L1025">
        <v>0</v>
      </c>
      <c r="M1025">
        <v>0</v>
      </c>
      <c r="N1025">
        <v>550</v>
      </c>
    </row>
    <row r="1026" spans="1:14" x14ac:dyDescent="0.25">
      <c r="A1026">
        <v>810.88169500000004</v>
      </c>
      <c r="B1026" s="1">
        <f>DATE(2012,7,19) + TIME(21,9,38)</f>
        <v>41109.881689814814</v>
      </c>
      <c r="C1026">
        <v>80</v>
      </c>
      <c r="D1026">
        <v>79.929748535000002</v>
      </c>
      <c r="E1026">
        <v>50</v>
      </c>
      <c r="F1026">
        <v>50.167564392000003</v>
      </c>
      <c r="G1026">
        <v>1333.7949219</v>
      </c>
      <c r="H1026">
        <v>1332.7983397999999</v>
      </c>
      <c r="I1026">
        <v>1329.5422363</v>
      </c>
      <c r="J1026">
        <v>1329.0196533000001</v>
      </c>
      <c r="K1026">
        <v>550</v>
      </c>
      <c r="L1026">
        <v>0</v>
      </c>
      <c r="M1026">
        <v>0</v>
      </c>
      <c r="N1026">
        <v>550</v>
      </c>
    </row>
    <row r="1027" spans="1:14" x14ac:dyDescent="0.25">
      <c r="A1027">
        <v>813.01339199999995</v>
      </c>
      <c r="B1027" s="1">
        <f>DATE(2012,7,22) + TIME(0,19,17)</f>
        <v>41112.013391203705</v>
      </c>
      <c r="C1027">
        <v>80</v>
      </c>
      <c r="D1027">
        <v>79.929771423000005</v>
      </c>
      <c r="E1027">
        <v>50</v>
      </c>
      <c r="F1027">
        <v>50.634296417000002</v>
      </c>
      <c r="G1027">
        <v>1333.7941894999999</v>
      </c>
      <c r="H1027">
        <v>1332.7990723</v>
      </c>
      <c r="I1027">
        <v>1329.5405272999999</v>
      </c>
      <c r="J1027">
        <v>1329.0147704999999</v>
      </c>
      <c r="K1027">
        <v>550</v>
      </c>
      <c r="L1027">
        <v>0</v>
      </c>
      <c r="M1027">
        <v>0</v>
      </c>
      <c r="N1027">
        <v>550</v>
      </c>
    </row>
    <row r="1028" spans="1:14" x14ac:dyDescent="0.25">
      <c r="A1028">
        <v>815.18598399999996</v>
      </c>
      <c r="B1028" s="1">
        <f>DATE(2012,7,24) + TIME(4,27,49)</f>
        <v>41114.185983796298</v>
      </c>
      <c r="C1028">
        <v>80</v>
      </c>
      <c r="D1028">
        <v>79.929794311999999</v>
      </c>
      <c r="E1028">
        <v>50</v>
      </c>
      <c r="F1028">
        <v>51.148281097000002</v>
      </c>
      <c r="G1028">
        <v>1333.7933350000001</v>
      </c>
      <c r="H1028">
        <v>1332.7998047000001</v>
      </c>
      <c r="I1028">
        <v>1329.5390625</v>
      </c>
      <c r="J1028">
        <v>1329.0108643000001</v>
      </c>
      <c r="K1028">
        <v>550</v>
      </c>
      <c r="L1028">
        <v>0</v>
      </c>
      <c r="M1028">
        <v>0</v>
      </c>
      <c r="N1028">
        <v>550</v>
      </c>
    </row>
    <row r="1029" spans="1:14" x14ac:dyDescent="0.25">
      <c r="A1029">
        <v>817.43204800000001</v>
      </c>
      <c r="B1029" s="1">
        <f>DATE(2012,7,26) + TIME(10,22,8)</f>
        <v>41116.432037037041</v>
      </c>
      <c r="C1029">
        <v>80</v>
      </c>
      <c r="D1029">
        <v>79.929824828999998</v>
      </c>
      <c r="E1029">
        <v>50</v>
      </c>
      <c r="F1029">
        <v>51.707492827999999</v>
      </c>
      <c r="G1029">
        <v>1333.7926024999999</v>
      </c>
      <c r="H1029">
        <v>1332.8005370999999</v>
      </c>
      <c r="I1029">
        <v>1329.5380858999999</v>
      </c>
      <c r="J1029">
        <v>1329.0075684000001</v>
      </c>
      <c r="K1029">
        <v>550</v>
      </c>
      <c r="L1029">
        <v>0</v>
      </c>
      <c r="M1029">
        <v>0</v>
      </c>
      <c r="N1029">
        <v>550</v>
      </c>
    </row>
    <row r="1030" spans="1:14" x14ac:dyDescent="0.25">
      <c r="A1030">
        <v>819.73205099999996</v>
      </c>
      <c r="B1030" s="1">
        <f>DATE(2012,7,28) + TIME(17,34,9)</f>
        <v>41118.732048611113</v>
      </c>
      <c r="C1030">
        <v>80</v>
      </c>
      <c r="D1030">
        <v>79.929862975999995</v>
      </c>
      <c r="E1030">
        <v>50</v>
      </c>
      <c r="F1030">
        <v>52.302951813</v>
      </c>
      <c r="G1030">
        <v>1333.7917480000001</v>
      </c>
      <c r="H1030">
        <v>1332.8012695</v>
      </c>
      <c r="I1030">
        <v>1329.5374756000001</v>
      </c>
      <c r="J1030">
        <v>1329.0051269999999</v>
      </c>
      <c r="K1030">
        <v>550</v>
      </c>
      <c r="L1030">
        <v>0</v>
      </c>
      <c r="M1030">
        <v>0</v>
      </c>
      <c r="N1030">
        <v>550</v>
      </c>
    </row>
    <row r="1031" spans="1:14" x14ac:dyDescent="0.25">
      <c r="A1031">
        <v>822.11253699999997</v>
      </c>
      <c r="B1031" s="1">
        <f>DATE(2012,7,31) + TIME(2,42,3)</f>
        <v>41121.112534722219</v>
      </c>
      <c r="C1031">
        <v>80</v>
      </c>
      <c r="D1031">
        <v>79.929901122999993</v>
      </c>
      <c r="E1031">
        <v>50</v>
      </c>
      <c r="F1031">
        <v>52.929889678999999</v>
      </c>
      <c r="G1031">
        <v>1333.7910156</v>
      </c>
      <c r="H1031">
        <v>1332.8020019999999</v>
      </c>
      <c r="I1031">
        <v>1329.5372314000001</v>
      </c>
      <c r="J1031">
        <v>1329.0032959</v>
      </c>
      <c r="K1031">
        <v>550</v>
      </c>
      <c r="L1031">
        <v>0</v>
      </c>
      <c r="M1031">
        <v>0</v>
      </c>
      <c r="N1031">
        <v>550</v>
      </c>
    </row>
    <row r="1032" spans="1:14" x14ac:dyDescent="0.25">
      <c r="A1032">
        <v>823</v>
      </c>
      <c r="B1032" s="1">
        <f>DATE(2012,8,1) + TIME(0,0,0)</f>
        <v>41122</v>
      </c>
      <c r="C1032">
        <v>80</v>
      </c>
      <c r="D1032">
        <v>79.929885863999999</v>
      </c>
      <c r="E1032">
        <v>50</v>
      </c>
      <c r="F1032">
        <v>53.266548157000003</v>
      </c>
      <c r="G1032">
        <v>1333.7904053</v>
      </c>
      <c r="H1032">
        <v>1332.8027344</v>
      </c>
      <c r="I1032">
        <v>1329.5384521000001</v>
      </c>
      <c r="J1032">
        <v>1329.0023193</v>
      </c>
      <c r="K1032">
        <v>550</v>
      </c>
      <c r="L1032">
        <v>0</v>
      </c>
      <c r="M1032">
        <v>0</v>
      </c>
      <c r="N1032">
        <v>550</v>
      </c>
    </row>
    <row r="1033" spans="1:14" x14ac:dyDescent="0.25">
      <c r="A1033">
        <v>825.41543300000001</v>
      </c>
      <c r="B1033" s="1">
        <f>DATE(2012,8,3) + TIME(9,58,13)</f>
        <v>41124.41542824074</v>
      </c>
      <c r="C1033">
        <v>80</v>
      </c>
      <c r="D1033">
        <v>79.929954529</v>
      </c>
      <c r="E1033">
        <v>50</v>
      </c>
      <c r="F1033">
        <v>53.865905761999997</v>
      </c>
      <c r="G1033">
        <v>1333.7901611</v>
      </c>
      <c r="H1033">
        <v>1332.8029785000001</v>
      </c>
      <c r="I1033">
        <v>1329.5372314000001</v>
      </c>
      <c r="J1033">
        <v>1329.0020752</v>
      </c>
      <c r="K1033">
        <v>550</v>
      </c>
      <c r="L1033">
        <v>0</v>
      </c>
      <c r="M1033">
        <v>0</v>
      </c>
      <c r="N1033">
        <v>550</v>
      </c>
    </row>
    <row r="1034" spans="1:14" x14ac:dyDescent="0.25">
      <c r="A1034">
        <v>827.90789099999995</v>
      </c>
      <c r="B1034" s="1">
        <f>DATE(2012,8,5) + TIME(21,47,21)</f>
        <v>41126.907881944448</v>
      </c>
      <c r="C1034">
        <v>80</v>
      </c>
      <c r="D1034">
        <v>79.930007935000006</v>
      </c>
      <c r="E1034">
        <v>50</v>
      </c>
      <c r="F1034">
        <v>54.495983123999999</v>
      </c>
      <c r="G1034">
        <v>1333.7894286999999</v>
      </c>
      <c r="H1034">
        <v>1332.8037108999999</v>
      </c>
      <c r="I1034">
        <v>1329.5377197</v>
      </c>
      <c r="J1034">
        <v>1329.0015868999999</v>
      </c>
      <c r="K1034">
        <v>550</v>
      </c>
      <c r="L1034">
        <v>0</v>
      </c>
      <c r="M1034">
        <v>0</v>
      </c>
      <c r="N1034">
        <v>550</v>
      </c>
    </row>
    <row r="1035" spans="1:14" x14ac:dyDescent="0.25">
      <c r="A1035">
        <v>830.47926399999994</v>
      </c>
      <c r="B1035" s="1">
        <f>DATE(2012,8,8) + TIME(11,30,8)</f>
        <v>41129.479259259257</v>
      </c>
      <c r="C1035">
        <v>80</v>
      </c>
      <c r="D1035">
        <v>79.930068969999994</v>
      </c>
      <c r="E1035">
        <v>50</v>
      </c>
      <c r="F1035">
        <v>55.141700745000001</v>
      </c>
      <c r="G1035">
        <v>1333.7888184000001</v>
      </c>
      <c r="H1035">
        <v>1332.8044434000001</v>
      </c>
      <c r="I1035">
        <v>1329.5384521000001</v>
      </c>
      <c r="J1035">
        <v>1329.0014647999999</v>
      </c>
      <c r="K1035">
        <v>550</v>
      </c>
      <c r="L1035">
        <v>0</v>
      </c>
      <c r="M1035">
        <v>0</v>
      </c>
      <c r="N1035">
        <v>550</v>
      </c>
    </row>
    <row r="1036" spans="1:14" x14ac:dyDescent="0.25">
      <c r="A1036">
        <v>833.13889800000004</v>
      </c>
      <c r="B1036" s="1">
        <f>DATE(2012,8,11) + TIME(3,20,0)</f>
        <v>41132.138888888891</v>
      </c>
      <c r="C1036">
        <v>80</v>
      </c>
      <c r="D1036">
        <v>79.930130004999995</v>
      </c>
      <c r="E1036">
        <v>50</v>
      </c>
      <c r="F1036">
        <v>55.792591094999999</v>
      </c>
      <c r="G1036">
        <v>1333.7882079999999</v>
      </c>
      <c r="H1036">
        <v>1332.8051757999999</v>
      </c>
      <c r="I1036">
        <v>1329.5394286999999</v>
      </c>
      <c r="J1036">
        <v>1329.0019531</v>
      </c>
      <c r="K1036">
        <v>550</v>
      </c>
      <c r="L1036">
        <v>0</v>
      </c>
      <c r="M1036">
        <v>0</v>
      </c>
      <c r="N1036">
        <v>550</v>
      </c>
    </row>
    <row r="1037" spans="1:14" x14ac:dyDescent="0.25">
      <c r="A1037">
        <v>835.86039000000005</v>
      </c>
      <c r="B1037" s="1">
        <f>DATE(2012,8,13) + TIME(20,38,57)</f>
        <v>41134.860381944447</v>
      </c>
      <c r="C1037">
        <v>80</v>
      </c>
      <c r="D1037">
        <v>79.930198669000006</v>
      </c>
      <c r="E1037">
        <v>50</v>
      </c>
      <c r="F1037">
        <v>56.436756133999999</v>
      </c>
      <c r="G1037">
        <v>1333.7875977000001</v>
      </c>
      <c r="H1037">
        <v>1332.8059082</v>
      </c>
      <c r="I1037">
        <v>1329.5405272999999</v>
      </c>
      <c r="J1037">
        <v>1329.0026855000001</v>
      </c>
      <c r="K1037">
        <v>550</v>
      </c>
      <c r="L1037">
        <v>0</v>
      </c>
      <c r="M1037">
        <v>0</v>
      </c>
      <c r="N1037">
        <v>550</v>
      </c>
    </row>
    <row r="1038" spans="1:14" x14ac:dyDescent="0.25">
      <c r="A1038">
        <v>838.62921800000004</v>
      </c>
      <c r="B1038" s="1">
        <f>DATE(2012,8,16) + TIME(15,6,4)</f>
        <v>41137.629212962966</v>
      </c>
      <c r="C1038">
        <v>80</v>
      </c>
      <c r="D1038">
        <v>79.930267334000007</v>
      </c>
      <c r="E1038">
        <v>50</v>
      </c>
      <c r="F1038">
        <v>57.063758849999999</v>
      </c>
      <c r="G1038">
        <v>1333.7869873</v>
      </c>
      <c r="H1038">
        <v>1332.8066406</v>
      </c>
      <c r="I1038">
        <v>1329.5418701000001</v>
      </c>
      <c r="J1038">
        <v>1329.0036620999999</v>
      </c>
      <c r="K1038">
        <v>550</v>
      </c>
      <c r="L1038">
        <v>0</v>
      </c>
      <c r="M1038">
        <v>0</v>
      </c>
      <c r="N1038">
        <v>550</v>
      </c>
    </row>
    <row r="1039" spans="1:14" x14ac:dyDescent="0.25">
      <c r="A1039">
        <v>841.49401699999999</v>
      </c>
      <c r="B1039" s="1">
        <f>DATE(2012,8,19) + TIME(11,51,23)</f>
        <v>41140.494016203702</v>
      </c>
      <c r="C1039">
        <v>80</v>
      </c>
      <c r="D1039">
        <v>79.930343628000003</v>
      </c>
      <c r="E1039">
        <v>50</v>
      </c>
      <c r="F1039">
        <v>57.671806334999999</v>
      </c>
      <c r="G1039">
        <v>1333.7863769999999</v>
      </c>
      <c r="H1039">
        <v>1332.8073730000001</v>
      </c>
      <c r="I1039">
        <v>1329.5433350000001</v>
      </c>
      <c r="J1039">
        <v>1329.0047606999999</v>
      </c>
      <c r="K1039">
        <v>550</v>
      </c>
      <c r="L1039">
        <v>0</v>
      </c>
      <c r="M1039">
        <v>0</v>
      </c>
      <c r="N1039">
        <v>550</v>
      </c>
    </row>
    <row r="1040" spans="1:14" x14ac:dyDescent="0.25">
      <c r="A1040">
        <v>844.45533999999998</v>
      </c>
      <c r="B1040" s="1">
        <f>DATE(2012,8,22) + TIME(10,55,41)</f>
        <v>41143.455335648148</v>
      </c>
      <c r="C1040">
        <v>80</v>
      </c>
      <c r="D1040">
        <v>79.930427550999994</v>
      </c>
      <c r="E1040">
        <v>50</v>
      </c>
      <c r="F1040">
        <v>58.258579253999997</v>
      </c>
      <c r="G1040">
        <v>1333.7858887</v>
      </c>
      <c r="H1040">
        <v>1332.8081055</v>
      </c>
      <c r="I1040">
        <v>1329.5447998</v>
      </c>
      <c r="J1040">
        <v>1329.0059814000001</v>
      </c>
      <c r="K1040">
        <v>550</v>
      </c>
      <c r="L1040">
        <v>0</v>
      </c>
      <c r="M1040">
        <v>0</v>
      </c>
      <c r="N1040">
        <v>550</v>
      </c>
    </row>
    <row r="1041" spans="1:14" x14ac:dyDescent="0.25">
      <c r="A1041">
        <v>847.51248799999996</v>
      </c>
      <c r="B1041" s="1">
        <f>DATE(2012,8,25) + TIME(12,17,58)</f>
        <v>41146.512476851851</v>
      </c>
      <c r="C1041">
        <v>80</v>
      </c>
      <c r="D1041">
        <v>79.930511475000003</v>
      </c>
      <c r="E1041">
        <v>50</v>
      </c>
      <c r="F1041">
        <v>58.820457458</v>
      </c>
      <c r="G1041">
        <v>1333.7854004000001</v>
      </c>
      <c r="H1041">
        <v>1332.8088379000001</v>
      </c>
      <c r="I1041">
        <v>1329.5463867000001</v>
      </c>
      <c r="J1041">
        <v>1329.0074463000001</v>
      </c>
      <c r="K1041">
        <v>550</v>
      </c>
      <c r="L1041">
        <v>0</v>
      </c>
      <c r="M1041">
        <v>0</v>
      </c>
      <c r="N1041">
        <v>550</v>
      </c>
    </row>
    <row r="1042" spans="1:14" x14ac:dyDescent="0.25">
      <c r="A1042">
        <v>850.62590799999998</v>
      </c>
      <c r="B1042" s="1">
        <f>DATE(2012,8,28) + TIME(15,1,18)</f>
        <v>41149.625902777778</v>
      </c>
      <c r="C1042">
        <v>80</v>
      </c>
      <c r="D1042">
        <v>79.930603027000004</v>
      </c>
      <c r="E1042">
        <v>50</v>
      </c>
      <c r="F1042">
        <v>59.352519989000001</v>
      </c>
      <c r="G1042">
        <v>1333.7849120999999</v>
      </c>
      <c r="H1042">
        <v>1332.8095702999999</v>
      </c>
      <c r="I1042">
        <v>1329.5480957</v>
      </c>
      <c r="J1042">
        <v>1329.0087891000001</v>
      </c>
      <c r="K1042">
        <v>550</v>
      </c>
      <c r="L1042">
        <v>0</v>
      </c>
      <c r="M1042">
        <v>0</v>
      </c>
      <c r="N1042">
        <v>550</v>
      </c>
    </row>
    <row r="1043" spans="1:14" x14ac:dyDescent="0.25">
      <c r="A1043">
        <v>853.82928600000002</v>
      </c>
      <c r="B1043" s="1">
        <f>DATE(2012,8,31) + TIME(19,54,10)</f>
        <v>41152.829282407409</v>
      </c>
      <c r="C1043">
        <v>80</v>
      </c>
      <c r="D1043">
        <v>79.930702209000003</v>
      </c>
      <c r="E1043">
        <v>50</v>
      </c>
      <c r="F1043">
        <v>59.855159759999999</v>
      </c>
      <c r="G1043">
        <v>1333.7844238</v>
      </c>
      <c r="H1043">
        <v>1332.8104248</v>
      </c>
      <c r="I1043">
        <v>1329.5499268000001</v>
      </c>
      <c r="J1043">
        <v>1329.0102539</v>
      </c>
      <c r="K1043">
        <v>550</v>
      </c>
      <c r="L1043">
        <v>0</v>
      </c>
      <c r="M1043">
        <v>0</v>
      </c>
      <c r="N1043">
        <v>550</v>
      </c>
    </row>
    <row r="1044" spans="1:14" x14ac:dyDescent="0.25">
      <c r="A1044">
        <v>854</v>
      </c>
      <c r="B1044" s="1">
        <f>DATE(2012,9,1) + TIME(0,0,0)</f>
        <v>41153</v>
      </c>
      <c r="C1044">
        <v>80</v>
      </c>
      <c r="D1044">
        <v>79.930694579999994</v>
      </c>
      <c r="E1044">
        <v>50</v>
      </c>
      <c r="F1044">
        <v>59.909805298000002</v>
      </c>
      <c r="G1044">
        <v>1333.7840576000001</v>
      </c>
      <c r="H1044">
        <v>1332.8111572</v>
      </c>
      <c r="I1044">
        <v>1329.5532227000001</v>
      </c>
      <c r="J1044">
        <v>1329.0120850000001</v>
      </c>
      <c r="K1044">
        <v>550</v>
      </c>
      <c r="L1044">
        <v>0</v>
      </c>
      <c r="M1044">
        <v>0</v>
      </c>
      <c r="N1044">
        <v>550</v>
      </c>
    </row>
    <row r="1045" spans="1:14" x14ac:dyDescent="0.25">
      <c r="A1045">
        <v>857.313896</v>
      </c>
      <c r="B1045" s="1">
        <f>DATE(2012,9,4) + TIME(7,32,0)</f>
        <v>41156.313888888886</v>
      </c>
      <c r="C1045">
        <v>80</v>
      </c>
      <c r="D1045">
        <v>79.930809021000002</v>
      </c>
      <c r="E1045">
        <v>50</v>
      </c>
      <c r="F1045">
        <v>60.366306305000002</v>
      </c>
      <c r="G1045">
        <v>1333.7839355000001</v>
      </c>
      <c r="H1045">
        <v>1332.8111572</v>
      </c>
      <c r="I1045">
        <v>1329.5518798999999</v>
      </c>
      <c r="J1045">
        <v>1329.0120850000001</v>
      </c>
      <c r="K1045">
        <v>550</v>
      </c>
      <c r="L1045">
        <v>0</v>
      </c>
      <c r="M1045">
        <v>0</v>
      </c>
      <c r="N1045">
        <v>550</v>
      </c>
    </row>
    <row r="1046" spans="1:14" x14ac:dyDescent="0.25">
      <c r="A1046">
        <v>860.78722800000003</v>
      </c>
      <c r="B1046" s="1">
        <f>DATE(2012,9,7) + TIME(18,53,36)</f>
        <v>41159.787222222221</v>
      </c>
      <c r="C1046">
        <v>80</v>
      </c>
      <c r="D1046">
        <v>79.930915833</v>
      </c>
      <c r="E1046">
        <v>50</v>
      </c>
      <c r="F1046">
        <v>60.809066772000001</v>
      </c>
      <c r="G1046">
        <v>1333.7835693</v>
      </c>
      <c r="H1046">
        <v>1332.8118896000001</v>
      </c>
      <c r="I1046">
        <v>1329.5537108999999</v>
      </c>
      <c r="J1046">
        <v>1329.0134277</v>
      </c>
      <c r="K1046">
        <v>550</v>
      </c>
      <c r="L1046">
        <v>0</v>
      </c>
      <c r="M1046">
        <v>0</v>
      </c>
      <c r="N1046">
        <v>550</v>
      </c>
    </row>
    <row r="1047" spans="1:14" x14ac:dyDescent="0.25">
      <c r="A1047">
        <v>864.307502</v>
      </c>
      <c r="B1047" s="1">
        <f>DATE(2012,9,11) + TIME(7,22,48)</f>
        <v>41163.307500000003</v>
      </c>
      <c r="C1047">
        <v>80</v>
      </c>
      <c r="D1047">
        <v>79.931030273000005</v>
      </c>
      <c r="E1047">
        <v>50</v>
      </c>
      <c r="F1047">
        <v>61.229804993000002</v>
      </c>
      <c r="G1047">
        <v>1333.7832031</v>
      </c>
      <c r="H1047">
        <v>1332.8127440999999</v>
      </c>
      <c r="I1047">
        <v>1329.5555420000001</v>
      </c>
      <c r="J1047">
        <v>1329.0147704999999</v>
      </c>
      <c r="K1047">
        <v>550</v>
      </c>
      <c r="L1047">
        <v>0</v>
      </c>
      <c r="M1047">
        <v>0</v>
      </c>
      <c r="N1047">
        <v>550</v>
      </c>
    </row>
    <row r="1048" spans="1:14" x14ac:dyDescent="0.25">
      <c r="A1048">
        <v>867.91940799999998</v>
      </c>
      <c r="B1048" s="1">
        <f>DATE(2012,9,14) + TIME(22,3,56)</f>
        <v>41166.919398148151</v>
      </c>
      <c r="C1048">
        <v>80</v>
      </c>
      <c r="D1048">
        <v>79.931152343999997</v>
      </c>
      <c r="E1048">
        <v>50</v>
      </c>
      <c r="F1048">
        <v>61.625930785999998</v>
      </c>
      <c r="G1048">
        <v>1333.7828368999999</v>
      </c>
      <c r="H1048">
        <v>1332.8134766000001</v>
      </c>
      <c r="I1048">
        <v>1329.5574951000001</v>
      </c>
      <c r="J1048">
        <v>1329.0161132999999</v>
      </c>
      <c r="K1048">
        <v>550</v>
      </c>
      <c r="L1048">
        <v>0</v>
      </c>
      <c r="M1048">
        <v>0</v>
      </c>
      <c r="N1048">
        <v>550</v>
      </c>
    </row>
    <row r="1049" spans="1:14" x14ac:dyDescent="0.25">
      <c r="A1049">
        <v>871.69883900000002</v>
      </c>
      <c r="B1049" s="1">
        <f>DATE(2012,9,18) + TIME(16,46,19)</f>
        <v>41170.698831018519</v>
      </c>
      <c r="C1049">
        <v>80</v>
      </c>
      <c r="D1049">
        <v>79.931282042999996</v>
      </c>
      <c r="E1049">
        <v>50</v>
      </c>
      <c r="F1049">
        <v>62.001010895</v>
      </c>
      <c r="G1049">
        <v>1333.7824707</v>
      </c>
      <c r="H1049">
        <v>1332.8143310999999</v>
      </c>
      <c r="I1049">
        <v>1329.5593262</v>
      </c>
      <c r="J1049">
        <v>1329.0173339999999</v>
      </c>
      <c r="K1049">
        <v>550</v>
      </c>
      <c r="L1049">
        <v>0</v>
      </c>
      <c r="M1049">
        <v>0</v>
      </c>
      <c r="N1049">
        <v>550</v>
      </c>
    </row>
    <row r="1050" spans="1:14" x14ac:dyDescent="0.25">
      <c r="A1050">
        <v>875.62268700000004</v>
      </c>
      <c r="B1050" s="1">
        <f>DATE(2012,9,22) + TIME(14,56,40)</f>
        <v>41174.622685185182</v>
      </c>
      <c r="C1050">
        <v>80</v>
      </c>
      <c r="D1050">
        <v>79.931419372999997</v>
      </c>
      <c r="E1050">
        <v>50</v>
      </c>
      <c r="F1050">
        <v>62.356937408</v>
      </c>
      <c r="G1050">
        <v>1333.7822266000001</v>
      </c>
      <c r="H1050">
        <v>1332.8150635</v>
      </c>
      <c r="I1050">
        <v>1329.5611572</v>
      </c>
      <c r="J1050">
        <v>1329.0185547000001</v>
      </c>
      <c r="K1050">
        <v>550</v>
      </c>
      <c r="L1050">
        <v>0</v>
      </c>
      <c r="M1050">
        <v>0</v>
      </c>
      <c r="N1050">
        <v>550</v>
      </c>
    </row>
    <row r="1051" spans="1:14" x14ac:dyDescent="0.25">
      <c r="A1051">
        <v>879.60751800000003</v>
      </c>
      <c r="B1051" s="1">
        <f>DATE(2012,9,26) + TIME(14,34,49)</f>
        <v>41178.607511574075</v>
      </c>
      <c r="C1051">
        <v>80</v>
      </c>
      <c r="D1051">
        <v>79.931556701999995</v>
      </c>
      <c r="E1051">
        <v>50</v>
      </c>
      <c r="F1051">
        <v>62.691936493</v>
      </c>
      <c r="G1051">
        <v>1333.7819824000001</v>
      </c>
      <c r="H1051">
        <v>1332.815918</v>
      </c>
      <c r="I1051">
        <v>1329.5629882999999</v>
      </c>
      <c r="J1051">
        <v>1329.0197754000001</v>
      </c>
      <c r="K1051">
        <v>550</v>
      </c>
      <c r="L1051">
        <v>0</v>
      </c>
      <c r="M1051">
        <v>0</v>
      </c>
      <c r="N1051">
        <v>550</v>
      </c>
    </row>
    <row r="1052" spans="1:14" x14ac:dyDescent="0.25">
      <c r="A1052">
        <v>883.74294199999997</v>
      </c>
      <c r="B1052" s="1">
        <f>DATE(2012,9,30) + TIME(17,49,50)</f>
        <v>41182.742939814816</v>
      </c>
      <c r="C1052">
        <v>80</v>
      </c>
      <c r="D1052">
        <v>79.931701660000002</v>
      </c>
      <c r="E1052">
        <v>50</v>
      </c>
      <c r="F1052">
        <v>63.007640838999997</v>
      </c>
      <c r="G1052">
        <v>1333.7816161999999</v>
      </c>
      <c r="H1052">
        <v>1332.8167725000001</v>
      </c>
      <c r="I1052">
        <v>1329.5648193</v>
      </c>
      <c r="J1052">
        <v>1329.020874</v>
      </c>
      <c r="K1052">
        <v>550</v>
      </c>
      <c r="L1052">
        <v>0</v>
      </c>
      <c r="M1052">
        <v>0</v>
      </c>
      <c r="N1052">
        <v>550</v>
      </c>
    </row>
    <row r="1053" spans="1:14" x14ac:dyDescent="0.25">
      <c r="A1053">
        <v>884</v>
      </c>
      <c r="B1053" s="1">
        <f>DATE(2012,10,1) + TIME(0,0,0)</f>
        <v>41183</v>
      </c>
      <c r="C1053">
        <v>80</v>
      </c>
      <c r="D1053">
        <v>79.931694031000006</v>
      </c>
      <c r="E1053">
        <v>50</v>
      </c>
      <c r="F1053">
        <v>63.054481506000002</v>
      </c>
      <c r="G1053">
        <v>1333.7814940999999</v>
      </c>
      <c r="H1053">
        <v>1332.8176269999999</v>
      </c>
      <c r="I1053">
        <v>1329.5676269999999</v>
      </c>
      <c r="J1053">
        <v>1329.0222168</v>
      </c>
      <c r="K1053">
        <v>550</v>
      </c>
      <c r="L1053">
        <v>0</v>
      </c>
      <c r="M1053">
        <v>0</v>
      </c>
      <c r="N1053">
        <v>550</v>
      </c>
    </row>
    <row r="1054" spans="1:14" x14ac:dyDescent="0.25">
      <c r="A1054">
        <v>888.29228999999998</v>
      </c>
      <c r="B1054" s="1">
        <f>DATE(2012,10,5) + TIME(7,0,53)</f>
        <v>41187.292280092595</v>
      </c>
      <c r="C1054">
        <v>80</v>
      </c>
      <c r="D1054">
        <v>79.931861877000003</v>
      </c>
      <c r="E1054">
        <v>50</v>
      </c>
      <c r="F1054">
        <v>63.334758759000003</v>
      </c>
      <c r="G1054">
        <v>1333.7814940999999</v>
      </c>
      <c r="H1054">
        <v>1332.8176269999999</v>
      </c>
      <c r="I1054">
        <v>1329.5667725000001</v>
      </c>
      <c r="J1054">
        <v>1329.0222168</v>
      </c>
      <c r="K1054">
        <v>550</v>
      </c>
      <c r="L1054">
        <v>0</v>
      </c>
      <c r="M1054">
        <v>0</v>
      </c>
      <c r="N1054">
        <v>550</v>
      </c>
    </row>
    <row r="1055" spans="1:14" x14ac:dyDescent="0.25">
      <c r="A1055">
        <v>892.75817800000004</v>
      </c>
      <c r="B1055" s="1">
        <f>DATE(2012,10,9) + TIME(18,11,46)</f>
        <v>41191.758171296293</v>
      </c>
      <c r="C1055">
        <v>80</v>
      </c>
      <c r="D1055">
        <v>79.932022094999994</v>
      </c>
      <c r="E1055">
        <v>50</v>
      </c>
      <c r="F1055">
        <v>63.61265564</v>
      </c>
      <c r="G1055">
        <v>1333.78125</v>
      </c>
      <c r="H1055">
        <v>1332.8184814000001</v>
      </c>
      <c r="I1055">
        <v>1329.5684814000001</v>
      </c>
      <c r="J1055">
        <v>1329.0228271000001</v>
      </c>
      <c r="K1055">
        <v>550</v>
      </c>
      <c r="L1055">
        <v>0</v>
      </c>
      <c r="M1055">
        <v>0</v>
      </c>
      <c r="N1055">
        <v>550</v>
      </c>
    </row>
    <row r="1056" spans="1:14" x14ac:dyDescent="0.25">
      <c r="A1056">
        <v>897.33496600000001</v>
      </c>
      <c r="B1056" s="1">
        <f>DATE(2012,10,14) + TIME(8,2,21)</f>
        <v>41196.334965277776</v>
      </c>
      <c r="C1056">
        <v>80</v>
      </c>
      <c r="D1056">
        <v>79.932182311999995</v>
      </c>
      <c r="E1056">
        <v>50</v>
      </c>
      <c r="F1056">
        <v>63.880889893000003</v>
      </c>
      <c r="G1056">
        <v>1333.7810059000001</v>
      </c>
      <c r="H1056">
        <v>1332.8193358999999</v>
      </c>
      <c r="I1056">
        <v>1329.5701904</v>
      </c>
      <c r="J1056">
        <v>1329.0236815999999</v>
      </c>
      <c r="K1056">
        <v>550</v>
      </c>
      <c r="L1056">
        <v>0</v>
      </c>
      <c r="M1056">
        <v>0</v>
      </c>
      <c r="N1056">
        <v>550</v>
      </c>
    </row>
    <row r="1057" spans="1:14" x14ac:dyDescent="0.25">
      <c r="A1057">
        <v>902.07745499999999</v>
      </c>
      <c r="B1057" s="1">
        <f>DATE(2012,10,19) + TIME(1,51,32)</f>
        <v>41201.077453703707</v>
      </c>
      <c r="C1057">
        <v>80</v>
      </c>
      <c r="D1057">
        <v>79.932357788000004</v>
      </c>
      <c r="E1057">
        <v>50</v>
      </c>
      <c r="F1057">
        <v>64.137329101999995</v>
      </c>
      <c r="G1057">
        <v>1333.7808838000001</v>
      </c>
      <c r="H1057">
        <v>1332.8201904</v>
      </c>
      <c r="I1057">
        <v>1329.5718993999999</v>
      </c>
      <c r="J1057">
        <v>1329.0244141000001</v>
      </c>
      <c r="K1057">
        <v>550</v>
      </c>
      <c r="L1057">
        <v>0</v>
      </c>
      <c r="M1057">
        <v>0</v>
      </c>
      <c r="N1057">
        <v>550</v>
      </c>
    </row>
    <row r="1058" spans="1:14" x14ac:dyDescent="0.25">
      <c r="A1058">
        <v>907.098026</v>
      </c>
      <c r="B1058" s="1">
        <f>DATE(2012,10,24) + TIME(2,21,9)</f>
        <v>41206.098020833335</v>
      </c>
      <c r="C1058">
        <v>80</v>
      </c>
      <c r="D1058">
        <v>79.932540893999999</v>
      </c>
      <c r="E1058">
        <v>50</v>
      </c>
      <c r="F1058">
        <v>64.384254455999994</v>
      </c>
      <c r="G1058">
        <v>1333.7807617000001</v>
      </c>
      <c r="H1058">
        <v>1332.8210449000001</v>
      </c>
      <c r="I1058">
        <v>1329.5736084</v>
      </c>
      <c r="J1058">
        <v>1329.0251464999999</v>
      </c>
      <c r="K1058">
        <v>550</v>
      </c>
      <c r="L1058">
        <v>0</v>
      </c>
      <c r="M1058">
        <v>0</v>
      </c>
      <c r="N1058">
        <v>550</v>
      </c>
    </row>
    <row r="1059" spans="1:14" x14ac:dyDescent="0.25">
      <c r="A1059">
        <v>912.19283700000005</v>
      </c>
      <c r="B1059" s="1">
        <f>DATE(2012,10,29) + TIME(4,37,41)</f>
        <v>41211.192835648151</v>
      </c>
      <c r="C1059">
        <v>80</v>
      </c>
      <c r="D1059">
        <v>79.932731627999999</v>
      </c>
      <c r="E1059">
        <v>50</v>
      </c>
      <c r="F1059">
        <v>64.621154785000002</v>
      </c>
      <c r="G1059">
        <v>1333.7806396000001</v>
      </c>
      <c r="H1059">
        <v>1332.8220214999999</v>
      </c>
      <c r="I1059">
        <v>1329.5751952999999</v>
      </c>
      <c r="J1059">
        <v>1329.0257568</v>
      </c>
      <c r="K1059">
        <v>550</v>
      </c>
      <c r="L1059">
        <v>0</v>
      </c>
      <c r="M1059">
        <v>0</v>
      </c>
      <c r="N1059">
        <v>550</v>
      </c>
    </row>
    <row r="1060" spans="1:14" x14ac:dyDescent="0.25">
      <c r="A1060">
        <v>915</v>
      </c>
      <c r="B1060" s="1">
        <f>DATE(2012,11,1) + TIME(0,0,0)</f>
        <v>41214</v>
      </c>
      <c r="C1060">
        <v>80</v>
      </c>
      <c r="D1060">
        <v>79.932807921999995</v>
      </c>
      <c r="E1060">
        <v>50</v>
      </c>
      <c r="F1060">
        <v>64.799835204999994</v>
      </c>
      <c r="G1060">
        <v>1333.7806396000001</v>
      </c>
      <c r="H1060">
        <v>1332.822876</v>
      </c>
      <c r="I1060">
        <v>1329.5770264</v>
      </c>
      <c r="J1060">
        <v>1329.0264893000001</v>
      </c>
      <c r="K1060">
        <v>550</v>
      </c>
      <c r="L1060">
        <v>0</v>
      </c>
      <c r="M1060">
        <v>0</v>
      </c>
      <c r="N1060">
        <v>550</v>
      </c>
    </row>
    <row r="1061" spans="1:14" x14ac:dyDescent="0.25">
      <c r="A1061">
        <v>915.000001</v>
      </c>
      <c r="B1061" s="1">
        <f>DATE(2012,11,1) + TIME(0,0,0)</f>
        <v>41214</v>
      </c>
      <c r="C1061">
        <v>80</v>
      </c>
      <c r="D1061">
        <v>79.932777404999996</v>
      </c>
      <c r="E1061">
        <v>50</v>
      </c>
      <c r="F1061">
        <v>64.799858092999997</v>
      </c>
      <c r="G1061">
        <v>1332.6016846</v>
      </c>
      <c r="H1061">
        <v>1332.8691406</v>
      </c>
      <c r="I1061">
        <v>1330.4385986</v>
      </c>
      <c r="J1061">
        <v>1329.8140868999999</v>
      </c>
      <c r="K1061">
        <v>0</v>
      </c>
      <c r="L1061">
        <v>550</v>
      </c>
      <c r="M1061">
        <v>550</v>
      </c>
      <c r="N1061">
        <v>0</v>
      </c>
    </row>
    <row r="1062" spans="1:14" x14ac:dyDescent="0.25">
      <c r="A1062">
        <v>915.00000399999999</v>
      </c>
      <c r="B1062" s="1">
        <f>DATE(2012,11,1) + TIME(0,0,0)</f>
        <v>41214</v>
      </c>
      <c r="C1062">
        <v>80</v>
      </c>
      <c r="D1062">
        <v>79.932731627999999</v>
      </c>
      <c r="E1062">
        <v>50</v>
      </c>
      <c r="F1062">
        <v>64.799880981000001</v>
      </c>
      <c r="G1062">
        <v>1332.3100586</v>
      </c>
      <c r="H1062">
        <v>1332.635376</v>
      </c>
      <c r="I1062">
        <v>1330.7274170000001</v>
      </c>
      <c r="J1062">
        <v>1330.1379394999999</v>
      </c>
      <c r="K1062">
        <v>0</v>
      </c>
      <c r="L1062">
        <v>550</v>
      </c>
      <c r="M1062">
        <v>550</v>
      </c>
      <c r="N1062">
        <v>0</v>
      </c>
    </row>
    <row r="1063" spans="1:14" x14ac:dyDescent="0.25">
      <c r="A1063">
        <v>915.00001299999997</v>
      </c>
      <c r="B1063" s="1">
        <f>DATE(2012,11,1) + TIME(0,0,1)</f>
        <v>41214.000011574077</v>
      </c>
      <c r="C1063">
        <v>80</v>
      </c>
      <c r="D1063">
        <v>79.932693481000001</v>
      </c>
      <c r="E1063">
        <v>50</v>
      </c>
      <c r="F1063">
        <v>64.799865722999996</v>
      </c>
      <c r="G1063">
        <v>1332.0196533000001</v>
      </c>
      <c r="H1063">
        <v>1332.3409423999999</v>
      </c>
      <c r="I1063">
        <v>1331.0847168</v>
      </c>
      <c r="J1063">
        <v>1330.4886475000001</v>
      </c>
      <c r="K1063">
        <v>0</v>
      </c>
      <c r="L1063">
        <v>550</v>
      </c>
      <c r="M1063">
        <v>550</v>
      </c>
      <c r="N1063">
        <v>0</v>
      </c>
    </row>
    <row r="1064" spans="1:14" x14ac:dyDescent="0.25">
      <c r="A1064">
        <v>915.00004000000001</v>
      </c>
      <c r="B1064" s="1">
        <f>DATE(2012,11,1) + TIME(0,0,3)</f>
        <v>41214.000034722223</v>
      </c>
      <c r="C1064">
        <v>80</v>
      </c>
      <c r="D1064">
        <v>79.932655334000003</v>
      </c>
      <c r="E1064">
        <v>50</v>
      </c>
      <c r="F1064">
        <v>64.799713135000005</v>
      </c>
      <c r="G1064">
        <v>1331.7502440999999</v>
      </c>
      <c r="H1064">
        <v>1332.0292969</v>
      </c>
      <c r="I1064">
        <v>1331.4510498</v>
      </c>
      <c r="J1064">
        <v>1330.8372803</v>
      </c>
      <c r="K1064">
        <v>0</v>
      </c>
      <c r="L1064">
        <v>550</v>
      </c>
      <c r="M1064">
        <v>550</v>
      </c>
      <c r="N1064">
        <v>0</v>
      </c>
    </row>
    <row r="1065" spans="1:14" x14ac:dyDescent="0.25">
      <c r="A1065">
        <v>915.00012100000004</v>
      </c>
      <c r="B1065" s="1">
        <f>DATE(2012,11,1) + TIME(0,0,10)</f>
        <v>41214.000115740739</v>
      </c>
      <c r="C1065">
        <v>80</v>
      </c>
      <c r="D1065">
        <v>79.932609557999996</v>
      </c>
      <c r="E1065">
        <v>50</v>
      </c>
      <c r="F1065">
        <v>64.799148560000006</v>
      </c>
      <c r="G1065">
        <v>1331.5023193</v>
      </c>
      <c r="H1065">
        <v>1331.7199707</v>
      </c>
      <c r="I1065">
        <v>1331.7985839999999</v>
      </c>
      <c r="J1065">
        <v>1331.1641846</v>
      </c>
      <c r="K1065">
        <v>0</v>
      </c>
      <c r="L1065">
        <v>550</v>
      </c>
      <c r="M1065">
        <v>550</v>
      </c>
      <c r="N1065">
        <v>0</v>
      </c>
    </row>
    <row r="1066" spans="1:14" x14ac:dyDescent="0.25">
      <c r="A1066">
        <v>915.00036399999999</v>
      </c>
      <c r="B1066" s="1">
        <f>DATE(2012,11,1) + TIME(0,0,31)</f>
        <v>41214.000358796293</v>
      </c>
      <c r="C1066">
        <v>80</v>
      </c>
      <c r="D1066">
        <v>79.932571410999998</v>
      </c>
      <c r="E1066">
        <v>50</v>
      </c>
      <c r="F1066">
        <v>64.797286987000007</v>
      </c>
      <c r="G1066">
        <v>1331.3015137</v>
      </c>
      <c r="H1066">
        <v>1331.4541016000001</v>
      </c>
      <c r="I1066">
        <v>1332.088501</v>
      </c>
      <c r="J1066">
        <v>1331.4300536999999</v>
      </c>
      <c r="K1066">
        <v>0</v>
      </c>
      <c r="L1066">
        <v>550</v>
      </c>
      <c r="M1066">
        <v>550</v>
      </c>
      <c r="N1066">
        <v>0</v>
      </c>
    </row>
    <row r="1067" spans="1:14" x14ac:dyDescent="0.25">
      <c r="A1067">
        <v>915.00109299999997</v>
      </c>
      <c r="B1067" s="1">
        <f>DATE(2012,11,1) + TIME(0,1,34)</f>
        <v>41214.001087962963</v>
      </c>
      <c r="C1067">
        <v>80</v>
      </c>
      <c r="D1067">
        <v>79.932502747000001</v>
      </c>
      <c r="E1067">
        <v>50</v>
      </c>
      <c r="F1067">
        <v>64.791473389000004</v>
      </c>
      <c r="G1067">
        <v>1331.1678466999999</v>
      </c>
      <c r="H1067">
        <v>1331.2850341999999</v>
      </c>
      <c r="I1067">
        <v>1332.2796631000001</v>
      </c>
      <c r="J1067">
        <v>1331.6035156</v>
      </c>
      <c r="K1067">
        <v>0</v>
      </c>
      <c r="L1067">
        <v>550</v>
      </c>
      <c r="M1067">
        <v>550</v>
      </c>
      <c r="N1067">
        <v>0</v>
      </c>
    </row>
    <row r="1068" spans="1:14" x14ac:dyDescent="0.25">
      <c r="A1068">
        <v>915.00328000000002</v>
      </c>
      <c r="B1068" s="1">
        <f>DATE(2012,11,1) + TIME(0,4,43)</f>
        <v>41214.003275462965</v>
      </c>
      <c r="C1068">
        <v>80</v>
      </c>
      <c r="D1068">
        <v>79.932350158999995</v>
      </c>
      <c r="E1068">
        <v>50</v>
      </c>
      <c r="F1068">
        <v>64.773788452000005</v>
      </c>
      <c r="G1068">
        <v>1331.0959473</v>
      </c>
      <c r="H1068">
        <v>1331.2012939000001</v>
      </c>
      <c r="I1068">
        <v>1332.3759766000001</v>
      </c>
      <c r="J1068">
        <v>1331.6917725000001</v>
      </c>
      <c r="K1068">
        <v>0</v>
      </c>
      <c r="L1068">
        <v>550</v>
      </c>
      <c r="M1068">
        <v>550</v>
      </c>
      <c r="N1068">
        <v>0</v>
      </c>
    </row>
    <row r="1069" spans="1:14" x14ac:dyDescent="0.25">
      <c r="A1069">
        <v>915.00984100000005</v>
      </c>
      <c r="B1069" s="1">
        <f>DATE(2012,11,1) + TIME(0,14,10)</f>
        <v>41214.009837962964</v>
      </c>
      <c r="C1069">
        <v>80</v>
      </c>
      <c r="D1069">
        <v>79.931915282999995</v>
      </c>
      <c r="E1069">
        <v>50</v>
      </c>
      <c r="F1069">
        <v>64.720733643000003</v>
      </c>
      <c r="G1069">
        <v>1331.0660399999999</v>
      </c>
      <c r="H1069">
        <v>1331.1683350000001</v>
      </c>
      <c r="I1069">
        <v>1332.4077147999999</v>
      </c>
      <c r="J1069">
        <v>1331.7210693</v>
      </c>
      <c r="K1069">
        <v>0</v>
      </c>
      <c r="L1069">
        <v>550</v>
      </c>
      <c r="M1069">
        <v>550</v>
      </c>
      <c r="N1069">
        <v>0</v>
      </c>
    </row>
    <row r="1070" spans="1:14" x14ac:dyDescent="0.25">
      <c r="A1070">
        <v>915.02952400000004</v>
      </c>
      <c r="B1070" s="1">
        <f>DATE(2012,11,1) + TIME(0,42,30)</f>
        <v>41214.029513888891</v>
      </c>
      <c r="C1070">
        <v>80</v>
      </c>
      <c r="D1070">
        <v>79.930610657000003</v>
      </c>
      <c r="E1070">
        <v>50</v>
      </c>
      <c r="F1070">
        <v>64.563514709000003</v>
      </c>
      <c r="G1070">
        <v>1331.0578613</v>
      </c>
      <c r="H1070">
        <v>1331.1589355000001</v>
      </c>
      <c r="I1070">
        <v>1332.4111327999999</v>
      </c>
      <c r="J1070">
        <v>1331.723999</v>
      </c>
      <c r="K1070">
        <v>0</v>
      </c>
      <c r="L1070">
        <v>550</v>
      </c>
      <c r="M1070">
        <v>550</v>
      </c>
      <c r="N1070">
        <v>0</v>
      </c>
    </row>
    <row r="1071" spans="1:14" x14ac:dyDescent="0.25">
      <c r="A1071">
        <v>915.088573</v>
      </c>
      <c r="B1071" s="1">
        <f>DATE(2012,11,1) + TIME(2,7,32)</f>
        <v>41214.088564814818</v>
      </c>
      <c r="C1071">
        <v>80</v>
      </c>
      <c r="D1071">
        <v>79.926727295000006</v>
      </c>
      <c r="E1071">
        <v>50</v>
      </c>
      <c r="F1071">
        <v>64.109428406000006</v>
      </c>
      <c r="G1071">
        <v>1331.0557861</v>
      </c>
      <c r="H1071">
        <v>1331.1541748</v>
      </c>
      <c r="I1071">
        <v>1332.4090576000001</v>
      </c>
      <c r="J1071">
        <v>1331.7211914</v>
      </c>
      <c r="K1071">
        <v>0</v>
      </c>
      <c r="L1071">
        <v>550</v>
      </c>
      <c r="M1071">
        <v>550</v>
      </c>
      <c r="N1071">
        <v>0</v>
      </c>
    </row>
    <row r="1072" spans="1:14" x14ac:dyDescent="0.25">
      <c r="A1072">
        <v>915.20473600000003</v>
      </c>
      <c r="B1072" s="1">
        <f>DATE(2012,11,1) + TIME(4,54,49)</f>
        <v>41214.204733796294</v>
      </c>
      <c r="C1072">
        <v>80</v>
      </c>
      <c r="D1072">
        <v>79.919090271000002</v>
      </c>
      <c r="E1072">
        <v>50</v>
      </c>
      <c r="F1072">
        <v>63.278480530000003</v>
      </c>
      <c r="G1072">
        <v>1331.0528564000001</v>
      </c>
      <c r="H1072">
        <v>1331.1442870999999</v>
      </c>
      <c r="I1072">
        <v>1332.4056396000001</v>
      </c>
      <c r="J1072">
        <v>1331.7167969</v>
      </c>
      <c r="K1072">
        <v>0</v>
      </c>
      <c r="L1072">
        <v>550</v>
      </c>
      <c r="M1072">
        <v>550</v>
      </c>
      <c r="N1072">
        <v>0</v>
      </c>
    </row>
    <row r="1073" spans="1:14" x14ac:dyDescent="0.25">
      <c r="A1073">
        <v>915.32792099999995</v>
      </c>
      <c r="B1073" s="1">
        <f>DATE(2012,11,1) + TIME(7,52,12)</f>
        <v>41214.327916666669</v>
      </c>
      <c r="C1073">
        <v>80</v>
      </c>
      <c r="D1073">
        <v>79.911003113000007</v>
      </c>
      <c r="E1073">
        <v>50</v>
      </c>
      <c r="F1073">
        <v>62.460575104</v>
      </c>
      <c r="G1073">
        <v>1331.0479736</v>
      </c>
      <c r="H1073">
        <v>1331.1271973</v>
      </c>
      <c r="I1073">
        <v>1332.4046631000001</v>
      </c>
      <c r="J1073">
        <v>1331.7144774999999</v>
      </c>
      <c r="K1073">
        <v>0</v>
      </c>
      <c r="L1073">
        <v>550</v>
      </c>
      <c r="M1073">
        <v>550</v>
      </c>
      <c r="N1073">
        <v>0</v>
      </c>
    </row>
    <row r="1074" spans="1:14" x14ac:dyDescent="0.25">
      <c r="A1074">
        <v>915.45878300000004</v>
      </c>
      <c r="B1074" s="1">
        <f>DATE(2012,11,1) + TIME(11,0,38)</f>
        <v>41214.458773148152</v>
      </c>
      <c r="C1074">
        <v>80</v>
      </c>
      <c r="D1074">
        <v>79.902412415000001</v>
      </c>
      <c r="E1074">
        <v>50</v>
      </c>
      <c r="F1074">
        <v>61.656105042</v>
      </c>
      <c r="G1074">
        <v>1331.0428466999999</v>
      </c>
      <c r="H1074">
        <v>1331.1097411999999</v>
      </c>
      <c r="I1074">
        <v>1332.4046631000001</v>
      </c>
      <c r="J1074">
        <v>1331.7126464999999</v>
      </c>
      <c r="K1074">
        <v>0</v>
      </c>
      <c r="L1074">
        <v>550</v>
      </c>
      <c r="M1074">
        <v>550</v>
      </c>
      <c r="N1074">
        <v>0</v>
      </c>
    </row>
    <row r="1075" spans="1:14" x14ac:dyDescent="0.25">
      <c r="A1075">
        <v>915.59812899999997</v>
      </c>
      <c r="B1075" s="1">
        <f>DATE(2012,11,1) + TIME(14,21,18)</f>
        <v>41214.598124999997</v>
      </c>
      <c r="C1075">
        <v>80</v>
      </c>
      <c r="D1075">
        <v>79.893272400000001</v>
      </c>
      <c r="E1075">
        <v>50</v>
      </c>
      <c r="F1075">
        <v>60.865081787000001</v>
      </c>
      <c r="G1075">
        <v>1331.0377197</v>
      </c>
      <c r="H1075">
        <v>1331.0919189000001</v>
      </c>
      <c r="I1075">
        <v>1332.4057617000001</v>
      </c>
      <c r="J1075">
        <v>1331.7116699000001</v>
      </c>
      <c r="K1075">
        <v>0</v>
      </c>
      <c r="L1075">
        <v>550</v>
      </c>
      <c r="M1075">
        <v>550</v>
      </c>
      <c r="N1075">
        <v>0</v>
      </c>
    </row>
    <row r="1076" spans="1:14" x14ac:dyDescent="0.25">
      <c r="A1076">
        <v>915.74688400000002</v>
      </c>
      <c r="B1076" s="1">
        <f>DATE(2012,11,1) + TIME(17,55,30)</f>
        <v>41214.746874999997</v>
      </c>
      <c r="C1076">
        <v>80</v>
      </c>
      <c r="D1076">
        <v>79.883506775000001</v>
      </c>
      <c r="E1076">
        <v>50</v>
      </c>
      <c r="F1076">
        <v>60.087509154999999</v>
      </c>
      <c r="G1076">
        <v>1331.0324707</v>
      </c>
      <c r="H1076">
        <v>1331.0736084</v>
      </c>
      <c r="I1076">
        <v>1332.4079589999999</v>
      </c>
      <c r="J1076">
        <v>1331.7113036999999</v>
      </c>
      <c r="K1076">
        <v>0</v>
      </c>
      <c r="L1076">
        <v>550</v>
      </c>
      <c r="M1076">
        <v>550</v>
      </c>
      <c r="N1076">
        <v>0</v>
      </c>
    </row>
    <row r="1077" spans="1:14" x14ac:dyDescent="0.25">
      <c r="A1077">
        <v>915.90612199999998</v>
      </c>
      <c r="B1077" s="1">
        <f>DATE(2012,11,1) + TIME(21,44,48)</f>
        <v>41214.906111111108</v>
      </c>
      <c r="C1077">
        <v>80</v>
      </c>
      <c r="D1077">
        <v>79.873062133999994</v>
      </c>
      <c r="E1077">
        <v>50</v>
      </c>
      <c r="F1077">
        <v>59.323364257999998</v>
      </c>
      <c r="G1077">
        <v>1331.0272216999999</v>
      </c>
      <c r="H1077">
        <v>1331.0549315999999</v>
      </c>
      <c r="I1077">
        <v>1332.411499</v>
      </c>
      <c r="J1077">
        <v>1331.7117920000001</v>
      </c>
      <c r="K1077">
        <v>0</v>
      </c>
      <c r="L1077">
        <v>550</v>
      </c>
      <c r="M1077">
        <v>550</v>
      </c>
      <c r="N1077">
        <v>0</v>
      </c>
    </row>
    <row r="1078" spans="1:14" x14ac:dyDescent="0.25">
      <c r="A1078">
        <v>916.07709699999998</v>
      </c>
      <c r="B1078" s="1">
        <f>DATE(2012,11,2) + TIME(1,51,1)</f>
        <v>41215.077094907407</v>
      </c>
      <c r="C1078">
        <v>80</v>
      </c>
      <c r="D1078">
        <v>79.861839294000006</v>
      </c>
      <c r="E1078">
        <v>50</v>
      </c>
      <c r="F1078">
        <v>58.573719025000003</v>
      </c>
      <c r="G1078">
        <v>1331.0217285000001</v>
      </c>
      <c r="H1078">
        <v>1331.0357666</v>
      </c>
      <c r="I1078">
        <v>1332.4163818</v>
      </c>
      <c r="J1078">
        <v>1331.7130127</v>
      </c>
      <c r="K1078">
        <v>0</v>
      </c>
      <c r="L1078">
        <v>550</v>
      </c>
      <c r="M1078">
        <v>550</v>
      </c>
      <c r="N1078">
        <v>0</v>
      </c>
    </row>
    <row r="1079" spans="1:14" x14ac:dyDescent="0.25">
      <c r="A1079">
        <v>916.26127599999995</v>
      </c>
      <c r="B1079" s="1">
        <f>DATE(2012,11,2) + TIME(6,16,14)</f>
        <v>41215.261273148149</v>
      </c>
      <c r="C1079">
        <v>80</v>
      </c>
      <c r="D1079">
        <v>79.849739075000002</v>
      </c>
      <c r="E1079">
        <v>50</v>
      </c>
      <c r="F1079">
        <v>57.839477539000001</v>
      </c>
      <c r="G1079">
        <v>1331.0159911999999</v>
      </c>
      <c r="H1079">
        <v>1331.0159911999999</v>
      </c>
      <c r="I1079">
        <v>1332.4227295000001</v>
      </c>
      <c r="J1079">
        <v>1331.7152100000001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916.46039800000005</v>
      </c>
      <c r="B1080" s="1">
        <f>DATE(2012,11,2) + TIME(11,2,58)</f>
        <v>41215.460393518515</v>
      </c>
      <c r="C1080">
        <v>80</v>
      </c>
      <c r="D1080">
        <v>79.836601256999998</v>
      </c>
      <c r="E1080">
        <v>50</v>
      </c>
      <c r="F1080">
        <v>57.121650696000003</v>
      </c>
      <c r="G1080">
        <v>1331.0043945</v>
      </c>
      <c r="H1080">
        <v>1330.9980469</v>
      </c>
      <c r="I1080">
        <v>1332.4306641000001</v>
      </c>
      <c r="J1080">
        <v>1331.7183838000001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916.67675599999995</v>
      </c>
      <c r="B1081" s="1">
        <f>DATE(2012,11,2) + TIME(16,14,31)</f>
        <v>41215.676747685182</v>
      </c>
      <c r="C1081">
        <v>80</v>
      </c>
      <c r="D1081">
        <v>79.822265625</v>
      </c>
      <c r="E1081">
        <v>50</v>
      </c>
      <c r="F1081">
        <v>56.420921325999998</v>
      </c>
      <c r="G1081">
        <v>1330.9924315999999</v>
      </c>
      <c r="H1081">
        <v>1330.9794922000001</v>
      </c>
      <c r="I1081">
        <v>1332.4401855000001</v>
      </c>
      <c r="J1081">
        <v>1331.7224120999999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916.91252799999995</v>
      </c>
      <c r="B1082" s="1">
        <f>DATE(2012,11,2) + TIME(21,54,2)</f>
        <v>41215.912523148145</v>
      </c>
      <c r="C1082">
        <v>80</v>
      </c>
      <c r="D1082">
        <v>79.806556701999995</v>
      </c>
      <c r="E1082">
        <v>50</v>
      </c>
      <c r="F1082">
        <v>55.739933014000002</v>
      </c>
      <c r="G1082">
        <v>1330.9801024999999</v>
      </c>
      <c r="H1082">
        <v>1330.9603271000001</v>
      </c>
      <c r="I1082">
        <v>1332.4515381000001</v>
      </c>
      <c r="J1082">
        <v>1331.7276611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917.15909399999998</v>
      </c>
      <c r="B1083" s="1">
        <f>DATE(2012,11,3) + TIME(3,49,5)</f>
        <v>41216.159085648149</v>
      </c>
      <c r="C1083">
        <v>80</v>
      </c>
      <c r="D1083">
        <v>79.789978027000004</v>
      </c>
      <c r="E1083">
        <v>50</v>
      </c>
      <c r="F1083">
        <v>55.106800079000003</v>
      </c>
      <c r="G1083">
        <v>1330.9672852000001</v>
      </c>
      <c r="H1083">
        <v>1330.9405518000001</v>
      </c>
      <c r="I1083">
        <v>1332.4649658000001</v>
      </c>
      <c r="J1083">
        <v>1331.7342529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917.41763000000003</v>
      </c>
      <c r="B1084" s="1">
        <f>DATE(2012,11,3) + TIME(10,1,23)</f>
        <v>41216.417627314811</v>
      </c>
      <c r="C1084">
        <v>80</v>
      </c>
      <c r="D1084">
        <v>79.772377014</v>
      </c>
      <c r="E1084">
        <v>50</v>
      </c>
      <c r="F1084">
        <v>54.519046783</v>
      </c>
      <c r="G1084">
        <v>1330.9543457</v>
      </c>
      <c r="H1084">
        <v>1330.9206543</v>
      </c>
      <c r="I1084">
        <v>1332.4796143000001</v>
      </c>
      <c r="J1084">
        <v>1331.7416992000001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917.68934200000001</v>
      </c>
      <c r="B1085" s="1">
        <f>DATE(2012,11,3) + TIME(16,32,39)</f>
        <v>41216.689340277779</v>
      </c>
      <c r="C1085">
        <v>80</v>
      </c>
      <c r="D1085">
        <v>79.753654479999994</v>
      </c>
      <c r="E1085">
        <v>50</v>
      </c>
      <c r="F1085">
        <v>53.974815368999998</v>
      </c>
      <c r="G1085">
        <v>1330.9415283000001</v>
      </c>
      <c r="H1085">
        <v>1330.9007568</v>
      </c>
      <c r="I1085">
        <v>1332.4953613</v>
      </c>
      <c r="J1085">
        <v>1331.7498779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917.97572700000001</v>
      </c>
      <c r="B1086" s="1">
        <f>DATE(2012,11,3) + TIME(23,25,2)</f>
        <v>41216.975717592592</v>
      </c>
      <c r="C1086">
        <v>80</v>
      </c>
      <c r="D1086">
        <v>79.733673096000004</v>
      </c>
      <c r="E1086">
        <v>50</v>
      </c>
      <c r="F1086">
        <v>53.472309113000001</v>
      </c>
      <c r="G1086">
        <v>1330.9284668</v>
      </c>
      <c r="H1086">
        <v>1330.8808594</v>
      </c>
      <c r="I1086">
        <v>1332.5123291</v>
      </c>
      <c r="J1086">
        <v>1331.7587891000001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918.27846099999999</v>
      </c>
      <c r="B1087" s="1">
        <f>DATE(2012,11,4) + TIME(6,40,59)</f>
        <v>41217.278460648151</v>
      </c>
      <c r="C1087">
        <v>80</v>
      </c>
      <c r="D1087">
        <v>79.712272643999995</v>
      </c>
      <c r="E1087">
        <v>50</v>
      </c>
      <c r="F1087">
        <v>53.010036468999999</v>
      </c>
      <c r="G1087">
        <v>1330.9152832</v>
      </c>
      <c r="H1087">
        <v>1330.8605957</v>
      </c>
      <c r="I1087">
        <v>1332.5300293</v>
      </c>
      <c r="J1087">
        <v>1331.7681885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918.59949900000004</v>
      </c>
      <c r="B1088" s="1">
        <f>DATE(2012,11,4) + TIME(14,23,16)</f>
        <v>41217.599490740744</v>
      </c>
      <c r="C1088">
        <v>80</v>
      </c>
      <c r="D1088">
        <v>79.689292907999999</v>
      </c>
      <c r="E1088">
        <v>50</v>
      </c>
      <c r="F1088">
        <v>52.586662292</v>
      </c>
      <c r="G1088">
        <v>1330.9019774999999</v>
      </c>
      <c r="H1088">
        <v>1330.8402100000001</v>
      </c>
      <c r="I1088">
        <v>1332.5487060999999</v>
      </c>
      <c r="J1088">
        <v>1331.7783202999999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918.94113800000002</v>
      </c>
      <c r="B1089" s="1">
        <f>DATE(2012,11,4) + TIME(22,35,14)</f>
        <v>41217.941134259258</v>
      </c>
      <c r="C1089">
        <v>80</v>
      </c>
      <c r="D1089">
        <v>79.664497374999996</v>
      </c>
      <c r="E1089">
        <v>50</v>
      </c>
      <c r="F1089">
        <v>52.200954437</v>
      </c>
      <c r="G1089">
        <v>1330.8883057</v>
      </c>
      <c r="H1089">
        <v>1330.8193358999999</v>
      </c>
      <c r="I1089">
        <v>1332.5679932</v>
      </c>
      <c r="J1089">
        <v>1331.7888184000001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919.30609800000002</v>
      </c>
      <c r="B1090" s="1">
        <f>DATE(2012,11,5) + TIME(7,20,46)</f>
        <v>41218.306087962963</v>
      </c>
      <c r="C1090">
        <v>80</v>
      </c>
      <c r="D1090">
        <v>79.637649535999998</v>
      </c>
      <c r="E1090">
        <v>50</v>
      </c>
      <c r="F1090">
        <v>51.851760863999999</v>
      </c>
      <c r="G1090">
        <v>1330.8743896000001</v>
      </c>
      <c r="H1090">
        <v>1330.7980957</v>
      </c>
      <c r="I1090">
        <v>1332.5878906</v>
      </c>
      <c r="J1090">
        <v>1331.7998047000001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919.69763999999998</v>
      </c>
      <c r="B1091" s="1">
        <f>DATE(2012,11,5) + TIME(16,44,36)</f>
        <v>41218.697638888887</v>
      </c>
      <c r="C1091">
        <v>80</v>
      </c>
      <c r="D1091">
        <v>79.608360290999997</v>
      </c>
      <c r="E1091">
        <v>50</v>
      </c>
      <c r="F1091">
        <v>51.537937163999999</v>
      </c>
      <c r="G1091">
        <v>1330.8599853999999</v>
      </c>
      <c r="H1091">
        <v>1330.7763672000001</v>
      </c>
      <c r="I1091">
        <v>1332.6082764</v>
      </c>
      <c r="J1091">
        <v>1331.8111572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920.11972300000002</v>
      </c>
      <c r="B1092" s="1">
        <f>DATE(2012,11,6) + TIME(2,52,24)</f>
        <v>41219.119722222225</v>
      </c>
      <c r="C1092">
        <v>80</v>
      </c>
      <c r="D1092">
        <v>79.576187133999994</v>
      </c>
      <c r="E1092">
        <v>50</v>
      </c>
      <c r="F1092">
        <v>51.258316039999997</v>
      </c>
      <c r="G1092">
        <v>1330.8450928</v>
      </c>
      <c r="H1092">
        <v>1330.7539062000001</v>
      </c>
      <c r="I1092">
        <v>1332.6290283000001</v>
      </c>
      <c r="J1092">
        <v>1331.8227539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920.57720800000004</v>
      </c>
      <c r="B1093" s="1">
        <f>DATE(2012,11,6) + TIME(13,51,10)</f>
        <v>41219.577199074076</v>
      </c>
      <c r="C1093">
        <v>80</v>
      </c>
      <c r="D1093">
        <v>79.540634155000006</v>
      </c>
      <c r="E1093">
        <v>50</v>
      </c>
      <c r="F1093">
        <v>51.011672974</v>
      </c>
      <c r="G1093">
        <v>1330.8297118999999</v>
      </c>
      <c r="H1093">
        <v>1330.7307129000001</v>
      </c>
      <c r="I1093">
        <v>1332.6497803</v>
      </c>
      <c r="J1093">
        <v>1331.8344727000001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921.07620299999996</v>
      </c>
      <c r="B1094" s="1">
        <f>DATE(2012,11,7) + TIME(1,49,43)</f>
        <v>41220.076192129629</v>
      </c>
      <c r="C1094">
        <v>80</v>
      </c>
      <c r="D1094">
        <v>79.501113892000006</v>
      </c>
      <c r="E1094">
        <v>50</v>
      </c>
      <c r="F1094">
        <v>50.796657562</v>
      </c>
      <c r="G1094">
        <v>1330.8134766000001</v>
      </c>
      <c r="H1094">
        <v>1330.706543</v>
      </c>
      <c r="I1094">
        <v>1332.6706543</v>
      </c>
      <c r="J1094">
        <v>1331.8463135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921.624371</v>
      </c>
      <c r="B1095" s="1">
        <f>DATE(2012,11,7) + TIME(14,59,5)</f>
        <v>41220.624363425923</v>
      </c>
      <c r="C1095">
        <v>80</v>
      </c>
      <c r="D1095">
        <v>79.456863403</v>
      </c>
      <c r="E1095">
        <v>50</v>
      </c>
      <c r="F1095">
        <v>50.611808777</v>
      </c>
      <c r="G1095">
        <v>1330.7965088000001</v>
      </c>
      <c r="H1095">
        <v>1330.6812743999999</v>
      </c>
      <c r="I1095">
        <v>1332.6914062000001</v>
      </c>
      <c r="J1095">
        <v>1331.8580322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922.21158400000002</v>
      </c>
      <c r="B1096" s="1">
        <f>DATE(2012,11,8) + TIME(5,4,40)</f>
        <v>41221.211574074077</v>
      </c>
      <c r="C1096">
        <v>80</v>
      </c>
      <c r="D1096">
        <v>79.408454895000006</v>
      </c>
      <c r="E1096">
        <v>50</v>
      </c>
      <c r="F1096">
        <v>50.459411621000001</v>
      </c>
      <c r="G1096">
        <v>1330.7785644999999</v>
      </c>
      <c r="H1096">
        <v>1330.6547852000001</v>
      </c>
      <c r="I1096">
        <v>1332.7120361</v>
      </c>
      <c r="J1096">
        <v>1331.8698730000001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922.82877599999995</v>
      </c>
      <c r="B1097" s="1">
        <f>DATE(2012,11,8) + TIME(19,53,26)</f>
        <v>41221.828773148147</v>
      </c>
      <c r="C1097">
        <v>80</v>
      </c>
      <c r="D1097">
        <v>79.356422424000002</v>
      </c>
      <c r="E1097">
        <v>50</v>
      </c>
      <c r="F1097">
        <v>50.337764739999997</v>
      </c>
      <c r="G1097">
        <v>1330.7600098</v>
      </c>
      <c r="H1097">
        <v>1330.6274414</v>
      </c>
      <c r="I1097">
        <v>1332.7314452999999</v>
      </c>
      <c r="J1097">
        <v>1331.8809814000001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923.47561800000005</v>
      </c>
      <c r="B1098" s="1">
        <f>DATE(2012,11,9) + TIME(11,24,53)</f>
        <v>41222.475613425922</v>
      </c>
      <c r="C1098">
        <v>80</v>
      </c>
      <c r="D1098">
        <v>79.300621032999999</v>
      </c>
      <c r="E1098">
        <v>50</v>
      </c>
      <c r="F1098">
        <v>50.242248535000002</v>
      </c>
      <c r="G1098">
        <v>1330.7408447</v>
      </c>
      <c r="H1098">
        <v>1330.5996094</v>
      </c>
      <c r="I1098">
        <v>1332.7469481999999</v>
      </c>
      <c r="J1098">
        <v>1331.8897704999999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924.14799700000003</v>
      </c>
      <c r="B1099" s="1">
        <f>DATE(2012,11,10) + TIME(3,33,6)</f>
        <v>41223.147986111115</v>
      </c>
      <c r="C1099">
        <v>80</v>
      </c>
      <c r="D1099">
        <v>79.241203307999996</v>
      </c>
      <c r="E1099">
        <v>50</v>
      </c>
      <c r="F1099">
        <v>50.168655395999998</v>
      </c>
      <c r="G1099">
        <v>1330.7215576000001</v>
      </c>
      <c r="H1099">
        <v>1330.5715332</v>
      </c>
      <c r="I1099">
        <v>1332.7612305</v>
      </c>
      <c r="J1099">
        <v>1331.8977050999999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924.83880099999999</v>
      </c>
      <c r="B1100" s="1">
        <f>DATE(2012,11,10) + TIME(20,7,52)</f>
        <v>41223.838796296295</v>
      </c>
      <c r="C1100">
        <v>80</v>
      </c>
      <c r="D1100">
        <v>79.178588867000002</v>
      </c>
      <c r="E1100">
        <v>50</v>
      </c>
      <c r="F1100">
        <v>50.113025665000002</v>
      </c>
      <c r="G1100">
        <v>1330.7019043</v>
      </c>
      <c r="H1100">
        <v>1330.5432129000001</v>
      </c>
      <c r="I1100">
        <v>1332.7739257999999</v>
      </c>
      <c r="J1100">
        <v>1331.9049072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925.555656</v>
      </c>
      <c r="B1101" s="1">
        <f>DATE(2012,11,11) + TIME(13,20,8)</f>
        <v>41224.555648148147</v>
      </c>
      <c r="C1101">
        <v>80</v>
      </c>
      <c r="D1101">
        <v>79.111991881999998</v>
      </c>
      <c r="E1101">
        <v>50</v>
      </c>
      <c r="F1101">
        <v>50.070972443000002</v>
      </c>
      <c r="G1101">
        <v>1330.682251</v>
      </c>
      <c r="H1101">
        <v>1330.5150146000001</v>
      </c>
      <c r="I1101">
        <v>1332.7849120999999</v>
      </c>
      <c r="J1101">
        <v>1331.9111327999999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926.30529000000001</v>
      </c>
      <c r="B1102" s="1">
        <f>DATE(2012,11,12) + TIME(7,19,37)</f>
        <v>41225.305289351854</v>
      </c>
      <c r="C1102">
        <v>80</v>
      </c>
      <c r="D1102">
        <v>79.040641785000005</v>
      </c>
      <c r="E1102">
        <v>50</v>
      </c>
      <c r="F1102">
        <v>50.039310454999999</v>
      </c>
      <c r="G1102">
        <v>1330.6623535000001</v>
      </c>
      <c r="H1102">
        <v>1330.4865723</v>
      </c>
      <c r="I1102">
        <v>1332.7923584</v>
      </c>
      <c r="J1102">
        <v>1331.9150391000001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927.09702000000004</v>
      </c>
      <c r="B1103" s="1">
        <f>DATE(2012,11,13) + TIME(2,19,42)</f>
        <v>41226.097013888888</v>
      </c>
      <c r="C1103">
        <v>80</v>
      </c>
      <c r="D1103">
        <v>78.963493346999996</v>
      </c>
      <c r="E1103">
        <v>50</v>
      </c>
      <c r="F1103">
        <v>50.015560149999999</v>
      </c>
      <c r="G1103">
        <v>1330.6420897999999</v>
      </c>
      <c r="H1103">
        <v>1330.4577637</v>
      </c>
      <c r="I1103">
        <v>1332.7989502</v>
      </c>
      <c r="J1103">
        <v>1331.9185791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927.94018200000005</v>
      </c>
      <c r="B1104" s="1">
        <f>DATE(2012,11,13) + TIME(22,33,51)</f>
        <v>41226.94017361111</v>
      </c>
      <c r="C1104">
        <v>80</v>
      </c>
      <c r="D1104">
        <v>78.879402161000002</v>
      </c>
      <c r="E1104">
        <v>50</v>
      </c>
      <c r="F1104">
        <v>49.997859955000003</v>
      </c>
      <c r="G1104">
        <v>1330.6213379000001</v>
      </c>
      <c r="H1104">
        <v>1330.4284668</v>
      </c>
      <c r="I1104">
        <v>1332.8045654</v>
      </c>
      <c r="J1104">
        <v>1331.9215088000001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928.84648800000002</v>
      </c>
      <c r="B1105" s="1">
        <f>DATE(2012,11,14) + TIME(20,18,56)</f>
        <v>41227.84648148148</v>
      </c>
      <c r="C1105">
        <v>80</v>
      </c>
      <c r="D1105">
        <v>78.786926269999995</v>
      </c>
      <c r="E1105">
        <v>50</v>
      </c>
      <c r="F1105">
        <v>49.984760283999996</v>
      </c>
      <c r="G1105">
        <v>1330.5999756000001</v>
      </c>
      <c r="H1105">
        <v>1330.3983154</v>
      </c>
      <c r="I1105">
        <v>1332.8094481999999</v>
      </c>
      <c r="J1105">
        <v>1331.9240723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929.78980799999999</v>
      </c>
      <c r="B1106" s="1">
        <f>DATE(2012,11,15) + TIME(18,57,19)</f>
        <v>41228.789803240739</v>
      </c>
      <c r="C1106">
        <v>80</v>
      </c>
      <c r="D1106">
        <v>78.687850952000005</v>
      </c>
      <c r="E1106">
        <v>50</v>
      </c>
      <c r="F1106">
        <v>49.975440978999998</v>
      </c>
      <c r="G1106">
        <v>1330.5778809000001</v>
      </c>
      <c r="H1106">
        <v>1330.3671875</v>
      </c>
      <c r="I1106">
        <v>1332.8138428</v>
      </c>
      <c r="J1106">
        <v>1331.9262695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930.77084200000002</v>
      </c>
      <c r="B1107" s="1">
        <f>DATE(2012,11,16) + TIME(18,30,0)</f>
        <v>41229.770833333336</v>
      </c>
      <c r="C1107">
        <v>80</v>
      </c>
      <c r="D1107">
        <v>78.581764221</v>
      </c>
      <c r="E1107">
        <v>50</v>
      </c>
      <c r="F1107">
        <v>49.968833922999998</v>
      </c>
      <c r="G1107">
        <v>1330.5554199000001</v>
      </c>
      <c r="H1107">
        <v>1330.3358154</v>
      </c>
      <c r="I1107">
        <v>1332.8172606999999</v>
      </c>
      <c r="J1107">
        <v>1331.9279785000001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931.79599800000005</v>
      </c>
      <c r="B1108" s="1">
        <f>DATE(2012,11,17) + TIME(19,6,14)</f>
        <v>41230.795995370368</v>
      </c>
      <c r="C1108">
        <v>80</v>
      </c>
      <c r="D1108">
        <v>78.467720032000003</v>
      </c>
      <c r="E1108">
        <v>50</v>
      </c>
      <c r="F1108">
        <v>49.96414566</v>
      </c>
      <c r="G1108">
        <v>1330.5327147999999</v>
      </c>
      <c r="H1108">
        <v>1330.3041992000001</v>
      </c>
      <c r="I1108">
        <v>1332.8201904</v>
      </c>
      <c r="J1108">
        <v>1331.9293213000001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932.87539000000004</v>
      </c>
      <c r="B1109" s="1">
        <f>DATE(2012,11,18) + TIME(21,0,33)</f>
        <v>41231.875381944446</v>
      </c>
      <c r="C1109">
        <v>80</v>
      </c>
      <c r="D1109">
        <v>78.344390868999994</v>
      </c>
      <c r="E1109">
        <v>50</v>
      </c>
      <c r="F1109">
        <v>49.960803986000002</v>
      </c>
      <c r="G1109">
        <v>1330.5097656</v>
      </c>
      <c r="H1109">
        <v>1330.2723389</v>
      </c>
      <c r="I1109">
        <v>1332.8225098</v>
      </c>
      <c r="J1109">
        <v>1331.9302978999999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934.02199199999995</v>
      </c>
      <c r="B1110" s="1">
        <f>DATE(2012,11,20) + TIME(0,31,40)</f>
        <v>41233.021990740737</v>
      </c>
      <c r="C1110">
        <v>80</v>
      </c>
      <c r="D1110">
        <v>78.210083007999998</v>
      </c>
      <c r="E1110">
        <v>50</v>
      </c>
      <c r="F1110">
        <v>49.958404541</v>
      </c>
      <c r="G1110">
        <v>1330.4863281</v>
      </c>
      <c r="H1110">
        <v>1330.2398682</v>
      </c>
      <c r="I1110">
        <v>1332.8242187999999</v>
      </c>
      <c r="J1110">
        <v>1331.9310303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935.24914799999999</v>
      </c>
      <c r="B1111" s="1">
        <f>DATE(2012,11,21) + TIME(5,58,46)</f>
        <v>41234.249143518522</v>
      </c>
      <c r="C1111">
        <v>80</v>
      </c>
      <c r="D1111">
        <v>78.062965392999999</v>
      </c>
      <c r="E1111">
        <v>50</v>
      </c>
      <c r="F1111">
        <v>49.956676483000003</v>
      </c>
      <c r="G1111">
        <v>1330.4624022999999</v>
      </c>
      <c r="H1111">
        <v>1330.2067870999999</v>
      </c>
      <c r="I1111">
        <v>1332.8255615</v>
      </c>
      <c r="J1111">
        <v>1331.9315185999999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936.52764300000001</v>
      </c>
      <c r="B1112" s="1">
        <f>DATE(2012,11,22) + TIME(12,39,48)</f>
        <v>41235.527638888889</v>
      </c>
      <c r="C1112">
        <v>80</v>
      </c>
      <c r="D1112">
        <v>77.905075073000006</v>
      </c>
      <c r="E1112">
        <v>50</v>
      </c>
      <c r="F1112">
        <v>49.955451965000002</v>
      </c>
      <c r="G1112">
        <v>1330.4376221</v>
      </c>
      <c r="H1112">
        <v>1330.1728516000001</v>
      </c>
      <c r="I1112">
        <v>1332.8266602000001</v>
      </c>
      <c r="J1112">
        <v>1331.9317627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937.86794999999995</v>
      </c>
      <c r="B1113" s="1">
        <f>DATE(2012,11,23) + TIME(20,49,50)</f>
        <v>41236.867939814816</v>
      </c>
      <c r="C1113">
        <v>80</v>
      </c>
      <c r="D1113">
        <v>77.735130310000002</v>
      </c>
      <c r="E1113">
        <v>50</v>
      </c>
      <c r="F1113">
        <v>49.954574585000003</v>
      </c>
      <c r="G1113">
        <v>1330.4125977000001</v>
      </c>
      <c r="H1113">
        <v>1330.1386719</v>
      </c>
      <c r="I1113">
        <v>1332.8272704999999</v>
      </c>
      <c r="J1113">
        <v>1331.9318848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939.28923699999996</v>
      </c>
      <c r="B1114" s="1">
        <f>DATE(2012,11,25) + TIME(6,56,30)</f>
        <v>41238.289236111108</v>
      </c>
      <c r="C1114">
        <v>80</v>
      </c>
      <c r="D1114">
        <v>77.550979613999999</v>
      </c>
      <c r="E1114">
        <v>50</v>
      </c>
      <c r="F1114">
        <v>49.953933716000002</v>
      </c>
      <c r="G1114">
        <v>1330.3873291</v>
      </c>
      <c r="H1114">
        <v>1330.104126</v>
      </c>
      <c r="I1114">
        <v>1332.8275146000001</v>
      </c>
      <c r="J1114">
        <v>1331.9317627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940.81439499999999</v>
      </c>
      <c r="B1115" s="1">
        <f>DATE(2012,11,26) + TIME(19,32,43)</f>
        <v>41239.814386574071</v>
      </c>
      <c r="C1115">
        <v>80</v>
      </c>
      <c r="D1115">
        <v>77.349967957000004</v>
      </c>
      <c r="E1115">
        <v>50</v>
      </c>
      <c r="F1115">
        <v>49.953460692999997</v>
      </c>
      <c r="G1115">
        <v>1330.3614502</v>
      </c>
      <c r="H1115">
        <v>1330.0689697</v>
      </c>
      <c r="I1115">
        <v>1332.8276367000001</v>
      </c>
      <c r="J1115">
        <v>1331.9315185999999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942.36552099999994</v>
      </c>
      <c r="B1116" s="1">
        <f>DATE(2012,11,28) + TIME(8,46,21)</f>
        <v>41241.365520833337</v>
      </c>
      <c r="C1116">
        <v>80</v>
      </c>
      <c r="D1116">
        <v>77.138587951999995</v>
      </c>
      <c r="E1116">
        <v>50</v>
      </c>
      <c r="F1116">
        <v>49.953125</v>
      </c>
      <c r="G1116">
        <v>1330.3349608999999</v>
      </c>
      <c r="H1116">
        <v>1330.0329589999999</v>
      </c>
      <c r="I1116">
        <v>1332.8275146000001</v>
      </c>
      <c r="J1116">
        <v>1331.9312743999999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943.94176000000004</v>
      </c>
      <c r="B1117" s="1">
        <f>DATE(2012,11,29) + TIME(22,36,8)</f>
        <v>41242.941759259258</v>
      </c>
      <c r="C1117">
        <v>80</v>
      </c>
      <c r="D1117">
        <v>76.917739867999998</v>
      </c>
      <c r="E1117">
        <v>50</v>
      </c>
      <c r="F1117">
        <v>49.952888489000003</v>
      </c>
      <c r="G1117">
        <v>1330.3087158000001</v>
      </c>
      <c r="H1117">
        <v>1329.9974365</v>
      </c>
      <c r="I1117">
        <v>1332.8271483999999</v>
      </c>
      <c r="J1117">
        <v>1331.9309082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945</v>
      </c>
      <c r="B1118" s="1">
        <f>DATE(2012,12,1) + TIME(0,0,0)</f>
        <v>41244</v>
      </c>
      <c r="C1118">
        <v>80</v>
      </c>
      <c r="D1118">
        <v>76.747032165999997</v>
      </c>
      <c r="E1118">
        <v>50</v>
      </c>
      <c r="F1118">
        <v>49.952774048000002</v>
      </c>
      <c r="G1118">
        <v>1330.2832031</v>
      </c>
      <c r="H1118">
        <v>1329.9630127</v>
      </c>
      <c r="I1118">
        <v>1332.8267822</v>
      </c>
      <c r="J1118">
        <v>1331.9305420000001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946.61504500000001</v>
      </c>
      <c r="B1119" s="1">
        <f>DATE(2012,12,2) + TIME(14,45,39)</f>
        <v>41245.615034722221</v>
      </c>
      <c r="C1119">
        <v>80</v>
      </c>
      <c r="D1119">
        <v>76.518508910999998</v>
      </c>
      <c r="E1119">
        <v>50</v>
      </c>
      <c r="F1119">
        <v>49.952644348</v>
      </c>
      <c r="G1119">
        <v>1330.2644043</v>
      </c>
      <c r="H1119">
        <v>1329.9368896000001</v>
      </c>
      <c r="I1119">
        <v>1332.8264160000001</v>
      </c>
      <c r="J1119">
        <v>1331.9302978999999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948.33428100000003</v>
      </c>
      <c r="B1120" s="1">
        <f>DATE(2012,12,4) + TIME(8,1,21)</f>
        <v>41247.334270833337</v>
      </c>
      <c r="C1120">
        <v>80</v>
      </c>
      <c r="D1120">
        <v>76.273208617999998</v>
      </c>
      <c r="E1120">
        <v>50</v>
      </c>
      <c r="F1120">
        <v>49.952545166</v>
      </c>
      <c r="G1120">
        <v>1330.2398682</v>
      </c>
      <c r="H1120">
        <v>1329.9040527</v>
      </c>
      <c r="I1120">
        <v>1332.8259277</v>
      </c>
      <c r="J1120">
        <v>1331.9299315999999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950.149856</v>
      </c>
      <c r="B1121" s="1">
        <f>DATE(2012,12,6) + TIME(3,35,47)</f>
        <v>41249.14984953704</v>
      </c>
      <c r="C1121">
        <v>80</v>
      </c>
      <c r="D1121">
        <v>76.011466979999994</v>
      </c>
      <c r="E1121">
        <v>50</v>
      </c>
      <c r="F1121">
        <v>49.952472686999997</v>
      </c>
      <c r="G1121">
        <v>1330.2148437999999</v>
      </c>
      <c r="H1121">
        <v>1329.8704834</v>
      </c>
      <c r="I1121">
        <v>1332.8253173999999</v>
      </c>
      <c r="J1121">
        <v>1331.9295654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952.08864900000003</v>
      </c>
      <c r="B1122" s="1">
        <f>DATE(2012,12,8) + TIME(2,7,39)</f>
        <v>41251.088645833333</v>
      </c>
      <c r="C1122">
        <v>80</v>
      </c>
      <c r="D1122">
        <v>75.730941771999994</v>
      </c>
      <c r="E1122">
        <v>50</v>
      </c>
      <c r="F1122">
        <v>49.952415465999998</v>
      </c>
      <c r="G1122">
        <v>1330.1893310999999</v>
      </c>
      <c r="H1122">
        <v>1329.8365478999999</v>
      </c>
      <c r="I1122">
        <v>1332.824707</v>
      </c>
      <c r="J1122">
        <v>1331.9291992000001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954.18294300000002</v>
      </c>
      <c r="B1123" s="1">
        <f>DATE(2012,12,10) + TIME(4,23,26)</f>
        <v>41253.182939814818</v>
      </c>
      <c r="C1123">
        <v>80</v>
      </c>
      <c r="D1123">
        <v>75.428459167</v>
      </c>
      <c r="E1123">
        <v>50</v>
      </c>
      <c r="F1123">
        <v>49.952373504999997</v>
      </c>
      <c r="G1123">
        <v>1330.1632079999999</v>
      </c>
      <c r="H1123">
        <v>1329.8018798999999</v>
      </c>
      <c r="I1123">
        <v>1332.8240966999999</v>
      </c>
      <c r="J1123">
        <v>1331.9289550999999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956.47561399999995</v>
      </c>
      <c r="B1124" s="1">
        <f>DATE(2012,12,12) + TIME(11,24,53)</f>
        <v>41255.475613425922</v>
      </c>
      <c r="C1124">
        <v>80</v>
      </c>
      <c r="D1124">
        <v>75.099761963000006</v>
      </c>
      <c r="E1124">
        <v>50</v>
      </c>
      <c r="F1124">
        <v>49.952335357999999</v>
      </c>
      <c r="G1124">
        <v>1330.1363524999999</v>
      </c>
      <c r="H1124">
        <v>1329.7662353999999</v>
      </c>
      <c r="I1124">
        <v>1332.8233643000001</v>
      </c>
      <c r="J1124">
        <v>1331.9287108999999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958.922192</v>
      </c>
      <c r="B1125" s="1">
        <f>DATE(2012,12,14) + TIME(22,7,57)</f>
        <v>41257.9221875</v>
      </c>
      <c r="C1125">
        <v>80</v>
      </c>
      <c r="D1125">
        <v>74.746421814000001</v>
      </c>
      <c r="E1125">
        <v>50</v>
      </c>
      <c r="F1125">
        <v>49.952308655000003</v>
      </c>
      <c r="G1125">
        <v>1330.1082764</v>
      </c>
      <c r="H1125">
        <v>1329.7293701000001</v>
      </c>
      <c r="I1125">
        <v>1332.8227539</v>
      </c>
      <c r="J1125">
        <v>1331.9284668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961.37459699999999</v>
      </c>
      <c r="B1126" s="1">
        <f>DATE(2012,12,17) + TIME(8,59,25)</f>
        <v>41260.374594907407</v>
      </c>
      <c r="C1126">
        <v>80</v>
      </c>
      <c r="D1126">
        <v>74.380462645999998</v>
      </c>
      <c r="E1126">
        <v>50</v>
      </c>
      <c r="F1126">
        <v>49.952285766999999</v>
      </c>
      <c r="G1126">
        <v>1330.0797118999999</v>
      </c>
      <c r="H1126">
        <v>1329.6917725000001</v>
      </c>
      <c r="I1126">
        <v>1332.8220214999999</v>
      </c>
      <c r="J1126">
        <v>1331.9283447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963.86180400000001</v>
      </c>
      <c r="B1127" s="1">
        <f>DATE(2012,12,19) + TIME(20,40,59)</f>
        <v>41262.861793981479</v>
      </c>
      <c r="C1127">
        <v>80</v>
      </c>
      <c r="D1127">
        <v>74.005630492999998</v>
      </c>
      <c r="E1127">
        <v>50</v>
      </c>
      <c r="F1127">
        <v>49.952262877999999</v>
      </c>
      <c r="G1127">
        <v>1330.0517577999999</v>
      </c>
      <c r="H1127">
        <v>1329.6547852000001</v>
      </c>
      <c r="I1127">
        <v>1332.8214111</v>
      </c>
      <c r="J1127">
        <v>1331.9283447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966.44183099999998</v>
      </c>
      <c r="B1128" s="1">
        <f>DATE(2012,12,22) + TIME(10,36,14)</f>
        <v>41265.441828703704</v>
      </c>
      <c r="C1128">
        <v>80</v>
      </c>
      <c r="D1128">
        <v>73.619995117000002</v>
      </c>
      <c r="E1128">
        <v>50</v>
      </c>
      <c r="F1128">
        <v>49.952243805000002</v>
      </c>
      <c r="G1128">
        <v>1330.0245361</v>
      </c>
      <c r="H1128">
        <v>1329.6186522999999</v>
      </c>
      <c r="I1128">
        <v>1332.8209228999999</v>
      </c>
      <c r="J1128">
        <v>1331.9284668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969.149587</v>
      </c>
      <c r="B1129" s="1">
        <f>DATE(2012,12,25) + TIME(3,35,24)</f>
        <v>41268.149583333332</v>
      </c>
      <c r="C1129">
        <v>80</v>
      </c>
      <c r="D1129">
        <v>73.220718383999994</v>
      </c>
      <c r="E1129">
        <v>50</v>
      </c>
      <c r="F1129">
        <v>49.952224731000001</v>
      </c>
      <c r="G1129">
        <v>1329.9975586</v>
      </c>
      <c r="H1129">
        <v>1329.5831298999999</v>
      </c>
      <c r="I1129">
        <v>1332.8203125</v>
      </c>
      <c r="J1129">
        <v>1331.9285889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972.02705200000003</v>
      </c>
      <c r="B1130" s="1">
        <f>DATE(2012,12,28) + TIME(0,38,57)</f>
        <v>41271.027048611111</v>
      </c>
      <c r="C1130">
        <v>80</v>
      </c>
      <c r="D1130">
        <v>72.803924561000002</v>
      </c>
      <c r="E1130">
        <v>50</v>
      </c>
      <c r="F1130">
        <v>49.952201842999997</v>
      </c>
      <c r="G1130">
        <v>1329.9708252</v>
      </c>
      <c r="H1130">
        <v>1329.5478516000001</v>
      </c>
      <c r="I1130">
        <v>1332.8199463000001</v>
      </c>
      <c r="J1130">
        <v>1331.9289550999999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975.01676699999996</v>
      </c>
      <c r="B1131" s="1">
        <f>DATE(2012,12,31) + TIME(0,24,8)</f>
        <v>41274.016759259262</v>
      </c>
      <c r="C1131">
        <v>80</v>
      </c>
      <c r="D1131">
        <v>72.371673584000007</v>
      </c>
      <c r="E1131">
        <v>50</v>
      </c>
      <c r="F1131">
        <v>49.952178955000001</v>
      </c>
      <c r="G1131">
        <v>1329.9438477000001</v>
      </c>
      <c r="H1131">
        <v>1329.5125731999999</v>
      </c>
      <c r="I1131">
        <v>1332.8194579999999</v>
      </c>
      <c r="J1131">
        <v>1331.9293213000001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976</v>
      </c>
      <c r="B1132" s="1">
        <f>DATE(2013,1,1) + TIME(0,0,0)</f>
        <v>41275</v>
      </c>
      <c r="C1132">
        <v>80</v>
      </c>
      <c r="D1132">
        <v>72.143623352000006</v>
      </c>
      <c r="E1132">
        <v>50</v>
      </c>
      <c r="F1132">
        <v>49.952163696</v>
      </c>
      <c r="G1132">
        <v>1329.9173584</v>
      </c>
      <c r="H1132">
        <v>1329.4787598</v>
      </c>
      <c r="I1132">
        <v>1332.8190918</v>
      </c>
      <c r="J1132">
        <v>1331.9296875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979.11739399999999</v>
      </c>
      <c r="B1133" s="1">
        <f>DATE(2013,1,4) + TIME(2,49,2)</f>
        <v>41278.117384259262</v>
      </c>
      <c r="C1133">
        <v>80</v>
      </c>
      <c r="D1133">
        <v>71.742004394999995</v>
      </c>
      <c r="E1133">
        <v>50</v>
      </c>
      <c r="F1133">
        <v>49.952144623000002</v>
      </c>
      <c r="G1133">
        <v>1329.9055175999999</v>
      </c>
      <c r="H1133">
        <v>1329.4608154</v>
      </c>
      <c r="I1133">
        <v>1332.8189697</v>
      </c>
      <c r="J1133">
        <v>1331.9299315999999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982.51127799999995</v>
      </c>
      <c r="B1134" s="1">
        <f>DATE(2013,1,7) + TIME(12,16,14)</f>
        <v>41281.511273148149</v>
      </c>
      <c r="C1134">
        <v>80</v>
      </c>
      <c r="D1134">
        <v>71.293701171999999</v>
      </c>
      <c r="E1134">
        <v>50</v>
      </c>
      <c r="F1134">
        <v>49.952121734999999</v>
      </c>
      <c r="G1134">
        <v>1329.8807373</v>
      </c>
      <c r="H1134">
        <v>1329.4294434000001</v>
      </c>
      <c r="I1134">
        <v>1332.8187256000001</v>
      </c>
      <c r="J1134">
        <v>1331.9304199000001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986.15724</v>
      </c>
      <c r="B1135" s="1">
        <f>DATE(2013,1,11) + TIME(3,46,25)</f>
        <v>41285.157233796293</v>
      </c>
      <c r="C1135">
        <v>80</v>
      </c>
      <c r="D1135">
        <v>70.807662964000002</v>
      </c>
      <c r="E1135">
        <v>50</v>
      </c>
      <c r="F1135">
        <v>49.952095032000003</v>
      </c>
      <c r="G1135">
        <v>1329.8547363</v>
      </c>
      <c r="H1135">
        <v>1329.3959961</v>
      </c>
      <c r="I1135">
        <v>1332.8183594</v>
      </c>
      <c r="J1135">
        <v>1331.9311522999999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989.90994799999999</v>
      </c>
      <c r="B1136" s="1">
        <f>DATE(2013,1,14) + TIME(21,50,19)</f>
        <v>41288.909942129627</v>
      </c>
      <c r="C1136">
        <v>80</v>
      </c>
      <c r="D1136">
        <v>70.297271729000002</v>
      </c>
      <c r="E1136">
        <v>50</v>
      </c>
      <c r="F1136">
        <v>49.952060699</v>
      </c>
      <c r="G1136">
        <v>1329.8277588000001</v>
      </c>
      <c r="H1136">
        <v>1329.3615723</v>
      </c>
      <c r="I1136">
        <v>1332.8181152</v>
      </c>
      <c r="J1136">
        <v>1331.9320068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993.82112299999994</v>
      </c>
      <c r="B1137" s="1">
        <f>DATE(2013,1,18) + TIME(19,42,25)</f>
        <v>41292.821122685185</v>
      </c>
      <c r="C1137">
        <v>80</v>
      </c>
      <c r="D1137">
        <v>69.770210266000007</v>
      </c>
      <c r="E1137">
        <v>50</v>
      </c>
      <c r="F1137">
        <v>49.952030182000001</v>
      </c>
      <c r="G1137">
        <v>1329.8010254000001</v>
      </c>
      <c r="H1137">
        <v>1329.3269043</v>
      </c>
      <c r="I1137">
        <v>1332.8179932</v>
      </c>
      <c r="J1137">
        <v>1331.9329834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997.94823299999996</v>
      </c>
      <c r="B1138" s="1">
        <f>DATE(2013,1,22) + TIME(22,45,27)</f>
        <v>41296.948229166665</v>
      </c>
      <c r="C1138">
        <v>80</v>
      </c>
      <c r="D1138">
        <v>69.225547790999997</v>
      </c>
      <c r="E1138">
        <v>50</v>
      </c>
      <c r="F1138">
        <v>49.951995850000003</v>
      </c>
      <c r="G1138">
        <v>1329.7745361</v>
      </c>
      <c r="H1138">
        <v>1329.2924805</v>
      </c>
      <c r="I1138">
        <v>1332.8178711</v>
      </c>
      <c r="J1138">
        <v>1331.9339600000001</v>
      </c>
      <c r="K1138">
        <v>0</v>
      </c>
      <c r="L1138">
        <v>550</v>
      </c>
      <c r="M1138">
        <v>550</v>
      </c>
      <c r="N1138">
        <v>0</v>
      </c>
    </row>
    <row r="1139" spans="1:14" x14ac:dyDescent="0.25">
      <c r="A1139">
        <v>1002.2087320000001</v>
      </c>
      <c r="B1139" s="1">
        <f>DATE(2013,1,27) + TIME(5,0,34)</f>
        <v>41301.208726851852</v>
      </c>
      <c r="C1139">
        <v>80</v>
      </c>
      <c r="D1139">
        <v>68.665870666999993</v>
      </c>
      <c r="E1139">
        <v>50</v>
      </c>
      <c r="F1139">
        <v>49.951957702999998</v>
      </c>
      <c r="G1139">
        <v>1329.7481689000001</v>
      </c>
      <c r="H1139">
        <v>1329.2584228999999</v>
      </c>
      <c r="I1139">
        <v>1332.817749</v>
      </c>
      <c r="J1139">
        <v>1331.9350586</v>
      </c>
      <c r="K1139">
        <v>0</v>
      </c>
      <c r="L1139">
        <v>550</v>
      </c>
      <c r="M1139">
        <v>550</v>
      </c>
      <c r="N1139">
        <v>0</v>
      </c>
    </row>
    <row r="1140" spans="1:14" x14ac:dyDescent="0.25">
      <c r="A1140">
        <v>1006.549247</v>
      </c>
      <c r="B1140" s="1">
        <f>DATE(2013,1,31) + TIME(13,10,54)</f>
        <v>41305.54923611111</v>
      </c>
      <c r="C1140">
        <v>80</v>
      </c>
      <c r="D1140">
        <v>68.097969054999993</v>
      </c>
      <c r="E1140">
        <v>50</v>
      </c>
      <c r="F1140">
        <v>49.951923370000003</v>
      </c>
      <c r="G1140">
        <v>1329.722168</v>
      </c>
      <c r="H1140">
        <v>1329.2248535000001</v>
      </c>
      <c r="I1140">
        <v>1332.8176269999999</v>
      </c>
      <c r="J1140">
        <v>1331.9362793</v>
      </c>
      <c r="K1140">
        <v>0</v>
      </c>
      <c r="L1140">
        <v>550</v>
      </c>
      <c r="M1140">
        <v>550</v>
      </c>
      <c r="N1140">
        <v>0</v>
      </c>
    </row>
    <row r="1141" spans="1:14" x14ac:dyDescent="0.25">
      <c r="A1141">
        <v>1007</v>
      </c>
      <c r="B1141" s="1">
        <f>DATE(2013,2,1) + TIME(0,0,0)</f>
        <v>41306</v>
      </c>
      <c r="C1141">
        <v>80</v>
      </c>
      <c r="D1141">
        <v>67.955154418999996</v>
      </c>
      <c r="E1141">
        <v>50</v>
      </c>
      <c r="F1141">
        <v>49.951908111999998</v>
      </c>
      <c r="G1141">
        <v>1329.6970214999999</v>
      </c>
      <c r="H1141">
        <v>1329.1939697</v>
      </c>
      <c r="I1141">
        <v>1332.8176269999999</v>
      </c>
      <c r="J1141">
        <v>1331.9373779</v>
      </c>
      <c r="K1141">
        <v>0</v>
      </c>
      <c r="L1141">
        <v>550</v>
      </c>
      <c r="M1141">
        <v>550</v>
      </c>
      <c r="N1141">
        <v>0</v>
      </c>
    </row>
    <row r="1142" spans="1:14" x14ac:dyDescent="0.25">
      <c r="A1142">
        <v>1011.472636</v>
      </c>
      <c r="B1142" s="1">
        <f>DATE(2013,2,5) + TIME(11,20,35)</f>
        <v>41310.472627314812</v>
      </c>
      <c r="C1142">
        <v>80</v>
      </c>
      <c r="D1142">
        <v>67.435897827000005</v>
      </c>
      <c r="E1142">
        <v>50</v>
      </c>
      <c r="F1142">
        <v>49.951877594000003</v>
      </c>
      <c r="G1142">
        <v>1329.6926269999999</v>
      </c>
      <c r="H1142">
        <v>1329.1851807</v>
      </c>
      <c r="I1142">
        <v>1332.8176269999999</v>
      </c>
      <c r="J1142">
        <v>1331.9376221</v>
      </c>
      <c r="K1142">
        <v>0</v>
      </c>
      <c r="L1142">
        <v>550</v>
      </c>
      <c r="M1142">
        <v>550</v>
      </c>
      <c r="N1142">
        <v>0</v>
      </c>
    </row>
    <row r="1143" spans="1:14" x14ac:dyDescent="0.25">
      <c r="A1143">
        <v>1016.162644</v>
      </c>
      <c r="B1143" s="1">
        <f>DATE(2013,2,10) + TIME(3,54,12)</f>
        <v>41315.162638888891</v>
      </c>
      <c r="C1143">
        <v>80</v>
      </c>
      <c r="D1143">
        <v>66.870315551999994</v>
      </c>
      <c r="E1143">
        <v>50</v>
      </c>
      <c r="F1143">
        <v>49.951843261999997</v>
      </c>
      <c r="G1143">
        <v>1329.6694336</v>
      </c>
      <c r="H1143">
        <v>1329.1560059000001</v>
      </c>
      <c r="I1143">
        <v>1332.8175048999999</v>
      </c>
      <c r="J1143">
        <v>1331.9388428</v>
      </c>
      <c r="K1143">
        <v>0</v>
      </c>
      <c r="L1143">
        <v>550</v>
      </c>
      <c r="M1143">
        <v>550</v>
      </c>
      <c r="N1143">
        <v>0</v>
      </c>
    </row>
    <row r="1144" spans="1:14" x14ac:dyDescent="0.25">
      <c r="A1144">
        <v>1021.093243</v>
      </c>
      <c r="B1144" s="1">
        <f>DATE(2013,2,15) + TIME(2,14,16)</f>
        <v>41320.093240740738</v>
      </c>
      <c r="C1144">
        <v>80</v>
      </c>
      <c r="D1144">
        <v>66.277488708000007</v>
      </c>
      <c r="E1144">
        <v>50</v>
      </c>
      <c r="F1144">
        <v>49.951805114999999</v>
      </c>
      <c r="G1144">
        <v>1329.6459961</v>
      </c>
      <c r="H1144">
        <v>1329.1259766000001</v>
      </c>
      <c r="I1144">
        <v>1332.8175048999999</v>
      </c>
      <c r="J1144">
        <v>1331.9401855000001</v>
      </c>
      <c r="K1144">
        <v>0</v>
      </c>
      <c r="L1144">
        <v>550</v>
      </c>
      <c r="M1144">
        <v>550</v>
      </c>
      <c r="N1144">
        <v>0</v>
      </c>
    </row>
    <row r="1145" spans="1:14" x14ac:dyDescent="0.25">
      <c r="A1145">
        <v>1026.1274229999999</v>
      </c>
      <c r="B1145" s="1">
        <f>DATE(2013,2,20) + TIME(3,3,29)</f>
        <v>41325.127418981479</v>
      </c>
      <c r="C1145">
        <v>80</v>
      </c>
      <c r="D1145">
        <v>65.668022156000006</v>
      </c>
      <c r="E1145">
        <v>50</v>
      </c>
      <c r="F1145">
        <v>49.951766968000001</v>
      </c>
      <c r="G1145">
        <v>1329.6225586</v>
      </c>
      <c r="H1145">
        <v>1329.0959473</v>
      </c>
      <c r="I1145">
        <v>1332.8175048999999</v>
      </c>
      <c r="J1145">
        <v>1331.9415283000001</v>
      </c>
      <c r="K1145">
        <v>0</v>
      </c>
      <c r="L1145">
        <v>550</v>
      </c>
      <c r="M1145">
        <v>550</v>
      </c>
      <c r="N1145">
        <v>0</v>
      </c>
    </row>
    <row r="1146" spans="1:14" x14ac:dyDescent="0.25">
      <c r="A1146">
        <v>1031.323676</v>
      </c>
      <c r="B1146" s="1">
        <f>DATE(2013,2,25) + TIME(7,46,5)</f>
        <v>41330.32366898148</v>
      </c>
      <c r="C1146">
        <v>80</v>
      </c>
      <c r="D1146">
        <v>65.049613953000005</v>
      </c>
      <c r="E1146">
        <v>50</v>
      </c>
      <c r="F1146">
        <v>49.951732634999999</v>
      </c>
      <c r="G1146">
        <v>1329.5998535000001</v>
      </c>
      <c r="H1146">
        <v>1329.0665283000001</v>
      </c>
      <c r="I1146">
        <v>1332.8175048999999</v>
      </c>
      <c r="J1146">
        <v>1331.9429932</v>
      </c>
      <c r="K1146">
        <v>0</v>
      </c>
      <c r="L1146">
        <v>550</v>
      </c>
      <c r="M1146">
        <v>550</v>
      </c>
      <c r="N1146">
        <v>0</v>
      </c>
    </row>
    <row r="1147" spans="1:14" x14ac:dyDescent="0.25">
      <c r="A1147">
        <v>1035</v>
      </c>
      <c r="B1147" s="1">
        <f>DATE(2013,3,1) + TIME(0,0,0)</f>
        <v>41334</v>
      </c>
      <c r="C1147">
        <v>80</v>
      </c>
      <c r="D1147">
        <v>64.497398376000007</v>
      </c>
      <c r="E1147">
        <v>50</v>
      </c>
      <c r="F1147">
        <v>49.951690673999998</v>
      </c>
      <c r="G1147">
        <v>1329.5776367000001</v>
      </c>
      <c r="H1147">
        <v>1329.0382079999999</v>
      </c>
      <c r="I1147">
        <v>1332.8175048999999</v>
      </c>
      <c r="J1147">
        <v>1331.9444579999999</v>
      </c>
      <c r="K1147">
        <v>0</v>
      </c>
      <c r="L1147">
        <v>550</v>
      </c>
      <c r="M1147">
        <v>550</v>
      </c>
      <c r="N1147">
        <v>0</v>
      </c>
    </row>
    <row r="1148" spans="1:14" x14ac:dyDescent="0.25">
      <c r="A1148">
        <v>1040.431378</v>
      </c>
      <c r="B1148" s="1">
        <f>DATE(2013,3,6) + TIME(10,21,11)</f>
        <v>41339.431377314817</v>
      </c>
      <c r="C1148">
        <v>80</v>
      </c>
      <c r="D1148">
        <v>63.948825835999997</v>
      </c>
      <c r="E1148">
        <v>50</v>
      </c>
      <c r="F1148">
        <v>49.951667786000002</v>
      </c>
      <c r="G1148">
        <v>1329.5607910000001</v>
      </c>
      <c r="H1148">
        <v>1329.0145264</v>
      </c>
      <c r="I1148">
        <v>1332.8175048999999</v>
      </c>
      <c r="J1148">
        <v>1331.9454346</v>
      </c>
      <c r="K1148">
        <v>0</v>
      </c>
      <c r="L1148">
        <v>550</v>
      </c>
      <c r="M1148">
        <v>550</v>
      </c>
      <c r="N1148">
        <v>0</v>
      </c>
    </row>
    <row r="1149" spans="1:14" x14ac:dyDescent="0.25">
      <c r="A1149">
        <v>1046.2240139999999</v>
      </c>
      <c r="B1149" s="1">
        <f>DATE(2013,3,12) + TIME(5,22,34)</f>
        <v>41345.224004629628</v>
      </c>
      <c r="C1149">
        <v>80</v>
      </c>
      <c r="D1149">
        <v>63.327995299999998</v>
      </c>
      <c r="E1149">
        <v>50</v>
      </c>
      <c r="F1149">
        <v>49.951637267999999</v>
      </c>
      <c r="G1149">
        <v>1329.5415039</v>
      </c>
      <c r="H1149">
        <v>1328.9907227000001</v>
      </c>
      <c r="I1149">
        <v>1332.8175048999999</v>
      </c>
      <c r="J1149">
        <v>1331.9468993999999</v>
      </c>
      <c r="K1149">
        <v>0</v>
      </c>
      <c r="L1149">
        <v>550</v>
      </c>
      <c r="M1149">
        <v>550</v>
      </c>
      <c r="N1149">
        <v>0</v>
      </c>
    </row>
    <row r="1150" spans="1:14" x14ac:dyDescent="0.25">
      <c r="A1150">
        <v>1052.2387980000001</v>
      </c>
      <c r="B1150" s="1">
        <f>DATE(2013,3,18) + TIME(5,43,52)</f>
        <v>41351.238796296297</v>
      </c>
      <c r="C1150">
        <v>80</v>
      </c>
      <c r="D1150">
        <v>62.670681000000002</v>
      </c>
      <c r="E1150">
        <v>50</v>
      </c>
      <c r="F1150">
        <v>49.951602936</v>
      </c>
      <c r="G1150">
        <v>1329.5216064000001</v>
      </c>
      <c r="H1150">
        <v>1328.9654541</v>
      </c>
      <c r="I1150">
        <v>1332.8175048999999</v>
      </c>
      <c r="J1150">
        <v>1331.9483643000001</v>
      </c>
      <c r="K1150">
        <v>0</v>
      </c>
      <c r="L1150">
        <v>550</v>
      </c>
      <c r="M1150">
        <v>550</v>
      </c>
      <c r="N1150">
        <v>0</v>
      </c>
    </row>
    <row r="1151" spans="1:14" x14ac:dyDescent="0.25">
      <c r="A1151">
        <v>1058.5689709999999</v>
      </c>
      <c r="B1151" s="1">
        <f>DATE(2013,3,24) + TIME(13,39,19)</f>
        <v>41357.568969907406</v>
      </c>
      <c r="C1151">
        <v>80</v>
      </c>
      <c r="D1151">
        <v>61.991786957000002</v>
      </c>
      <c r="E1151">
        <v>50</v>
      </c>
      <c r="F1151">
        <v>49.951572417999998</v>
      </c>
      <c r="G1151">
        <v>1329.5020752</v>
      </c>
      <c r="H1151">
        <v>1328.9403076000001</v>
      </c>
      <c r="I1151">
        <v>1332.8175048999999</v>
      </c>
      <c r="J1151">
        <v>1331.9499512</v>
      </c>
      <c r="K1151">
        <v>0</v>
      </c>
      <c r="L1151">
        <v>550</v>
      </c>
      <c r="M1151">
        <v>550</v>
      </c>
      <c r="N1151">
        <v>0</v>
      </c>
    </row>
    <row r="1152" spans="1:14" x14ac:dyDescent="0.25">
      <c r="A1152">
        <v>1065.1637479999999</v>
      </c>
      <c r="B1152" s="1">
        <f>DATE(2013,3,31) + TIME(3,55,47)</f>
        <v>41364.163738425923</v>
      </c>
      <c r="C1152">
        <v>80</v>
      </c>
      <c r="D1152">
        <v>61.293521880999997</v>
      </c>
      <c r="E1152">
        <v>50</v>
      </c>
      <c r="F1152">
        <v>49.951541900999999</v>
      </c>
      <c r="G1152">
        <v>1329.4829102000001</v>
      </c>
      <c r="H1152">
        <v>1328.9157714999999</v>
      </c>
      <c r="I1152">
        <v>1332.8175048999999</v>
      </c>
      <c r="J1152">
        <v>1331.9515381000001</v>
      </c>
      <c r="K1152">
        <v>0</v>
      </c>
      <c r="L1152">
        <v>550</v>
      </c>
      <c r="M1152">
        <v>550</v>
      </c>
      <c r="N1152">
        <v>0</v>
      </c>
    </row>
    <row r="1153" spans="1:14" x14ac:dyDescent="0.25">
      <c r="A1153">
        <v>1066</v>
      </c>
      <c r="B1153" s="1">
        <f>DATE(2013,4,1) + TIME(0,0,0)</f>
        <v>41365</v>
      </c>
      <c r="C1153">
        <v>80</v>
      </c>
      <c r="D1153">
        <v>61.037494658999996</v>
      </c>
      <c r="E1153">
        <v>50</v>
      </c>
      <c r="F1153">
        <v>49.951515198000003</v>
      </c>
      <c r="G1153">
        <v>1329.463501</v>
      </c>
      <c r="H1153">
        <v>1328.8933105000001</v>
      </c>
      <c r="I1153">
        <v>1332.8175048999999</v>
      </c>
      <c r="J1153">
        <v>1331.953125</v>
      </c>
      <c r="K1153">
        <v>0</v>
      </c>
      <c r="L1153">
        <v>550</v>
      </c>
      <c r="M1153">
        <v>550</v>
      </c>
      <c r="N1153">
        <v>0</v>
      </c>
    </row>
    <row r="1154" spans="1:14" x14ac:dyDescent="0.25">
      <c r="A1154">
        <v>1072.883421</v>
      </c>
      <c r="B1154" s="1">
        <f>DATE(2013,4,7) + TIME(21,12,7)</f>
        <v>41371.883414351854</v>
      </c>
      <c r="C1154">
        <v>80</v>
      </c>
      <c r="D1154">
        <v>60.448085785000004</v>
      </c>
      <c r="E1154">
        <v>50</v>
      </c>
      <c r="F1154">
        <v>49.951507567999997</v>
      </c>
      <c r="G1154">
        <v>1329.4602050999999</v>
      </c>
      <c r="H1154">
        <v>1328.8848877</v>
      </c>
      <c r="I1154">
        <v>1332.8175048999999</v>
      </c>
      <c r="J1154">
        <v>1331.9532471</v>
      </c>
      <c r="K1154">
        <v>0</v>
      </c>
      <c r="L1154">
        <v>550</v>
      </c>
      <c r="M1154">
        <v>550</v>
      </c>
      <c r="N1154">
        <v>0</v>
      </c>
    </row>
    <row r="1155" spans="1:14" x14ac:dyDescent="0.25">
      <c r="A1155">
        <v>1080.2321710000001</v>
      </c>
      <c r="B1155" s="1">
        <f>DATE(2013,4,15) + TIME(5,34,19)</f>
        <v>41379.232164351852</v>
      </c>
      <c r="C1155">
        <v>80</v>
      </c>
      <c r="D1155">
        <v>59.748146057</v>
      </c>
      <c r="E1155">
        <v>50</v>
      </c>
      <c r="F1155">
        <v>49.951492309999999</v>
      </c>
      <c r="G1155">
        <v>1329.4442139</v>
      </c>
      <c r="H1155">
        <v>1328.8656006000001</v>
      </c>
      <c r="I1155">
        <v>1332.8175048999999</v>
      </c>
      <c r="J1155">
        <v>1331.9548339999999</v>
      </c>
      <c r="K1155">
        <v>0</v>
      </c>
      <c r="L1155">
        <v>550</v>
      </c>
      <c r="M1155">
        <v>550</v>
      </c>
      <c r="N1155">
        <v>0</v>
      </c>
    </row>
    <row r="1156" spans="1:14" x14ac:dyDescent="0.25">
      <c r="A1156">
        <v>1087.9495019999999</v>
      </c>
      <c r="B1156" s="1">
        <f>DATE(2013,4,22) + TIME(22,47,16)</f>
        <v>41386.949490740742</v>
      </c>
      <c r="C1156">
        <v>80</v>
      </c>
      <c r="D1156">
        <v>59.005992888999998</v>
      </c>
      <c r="E1156">
        <v>50</v>
      </c>
      <c r="F1156">
        <v>49.951473235999998</v>
      </c>
      <c r="G1156">
        <v>1329.4277344</v>
      </c>
      <c r="H1156">
        <v>1328.8448486</v>
      </c>
      <c r="I1156">
        <v>1332.8175048999999</v>
      </c>
      <c r="J1156">
        <v>1331.956543</v>
      </c>
      <c r="K1156">
        <v>0</v>
      </c>
      <c r="L1156">
        <v>550</v>
      </c>
      <c r="M1156">
        <v>550</v>
      </c>
      <c r="N1156">
        <v>0</v>
      </c>
    </row>
    <row r="1157" spans="1:14" x14ac:dyDescent="0.25">
      <c r="A1157">
        <v>1096</v>
      </c>
      <c r="B1157" s="1">
        <f>DATE(2013,5,1) + TIME(0,0,0)</f>
        <v>41395</v>
      </c>
      <c r="C1157">
        <v>80</v>
      </c>
      <c r="D1157">
        <v>58.246429442999997</v>
      </c>
      <c r="E1157">
        <v>50</v>
      </c>
      <c r="F1157">
        <v>49.951457976999997</v>
      </c>
      <c r="G1157">
        <v>1329.4118652</v>
      </c>
      <c r="H1157">
        <v>1328.8244629000001</v>
      </c>
      <c r="I1157">
        <v>1332.8173827999999</v>
      </c>
      <c r="J1157">
        <v>1331.9581298999999</v>
      </c>
      <c r="K1157">
        <v>0</v>
      </c>
      <c r="L1157">
        <v>550</v>
      </c>
      <c r="M1157">
        <v>550</v>
      </c>
      <c r="N1157">
        <v>0</v>
      </c>
    </row>
    <row r="1158" spans="1:14" x14ac:dyDescent="0.25">
      <c r="A1158">
        <v>1096.0000010000001</v>
      </c>
      <c r="B1158" s="1">
        <f>DATE(2013,5,1) + TIME(0,0,0)</f>
        <v>41395</v>
      </c>
      <c r="C1158">
        <v>80</v>
      </c>
      <c r="D1158">
        <v>58.246467590000002</v>
      </c>
      <c r="E1158">
        <v>50</v>
      </c>
      <c r="F1158">
        <v>49.951435089</v>
      </c>
      <c r="G1158">
        <v>1330.2677002</v>
      </c>
      <c r="H1158">
        <v>1329.6400146000001</v>
      </c>
      <c r="I1158">
        <v>1331.7917480000001</v>
      </c>
      <c r="J1158">
        <v>1331.6760254000001</v>
      </c>
      <c r="K1158">
        <v>550</v>
      </c>
      <c r="L1158">
        <v>0</v>
      </c>
      <c r="M1158">
        <v>0</v>
      </c>
      <c r="N1158">
        <v>550</v>
      </c>
    </row>
    <row r="1159" spans="1:14" x14ac:dyDescent="0.25">
      <c r="A1159">
        <v>1096.000004</v>
      </c>
      <c r="B1159" s="1">
        <f>DATE(2013,5,1) + TIME(0,0,0)</f>
        <v>41395</v>
      </c>
      <c r="C1159">
        <v>80</v>
      </c>
      <c r="D1159">
        <v>58.246540070000002</v>
      </c>
      <c r="E1159">
        <v>50</v>
      </c>
      <c r="F1159">
        <v>49.951404572000001</v>
      </c>
      <c r="G1159">
        <v>1330.5625</v>
      </c>
      <c r="H1159">
        <v>1329.9674072</v>
      </c>
      <c r="I1159">
        <v>1331.5323486</v>
      </c>
      <c r="J1159">
        <v>1331.4182129000001</v>
      </c>
      <c r="K1159">
        <v>550</v>
      </c>
      <c r="L1159">
        <v>0</v>
      </c>
      <c r="M1159">
        <v>0</v>
      </c>
      <c r="N1159">
        <v>550</v>
      </c>
    </row>
    <row r="1160" spans="1:14" x14ac:dyDescent="0.25">
      <c r="A1160">
        <v>1096.0000130000001</v>
      </c>
      <c r="B1160" s="1">
        <f>DATE(2013,5,1) + TIME(0,0,1)</f>
        <v>41395.000011574077</v>
      </c>
      <c r="C1160">
        <v>80</v>
      </c>
      <c r="D1160">
        <v>58.246669769</v>
      </c>
      <c r="E1160">
        <v>50</v>
      </c>
      <c r="F1160">
        <v>49.951366425000003</v>
      </c>
      <c r="G1160">
        <v>1330.9313964999999</v>
      </c>
      <c r="H1160">
        <v>1330.3283690999999</v>
      </c>
      <c r="I1160">
        <v>1331.2327881000001</v>
      </c>
      <c r="J1160">
        <v>1331.1096190999999</v>
      </c>
      <c r="K1160">
        <v>550</v>
      </c>
      <c r="L1160">
        <v>0</v>
      </c>
      <c r="M1160">
        <v>0</v>
      </c>
      <c r="N1160">
        <v>550</v>
      </c>
    </row>
    <row r="1161" spans="1:14" x14ac:dyDescent="0.25">
      <c r="A1161">
        <v>1096.0000399999999</v>
      </c>
      <c r="B1161" s="1">
        <f>DATE(2013,5,1) + TIME(0,0,3)</f>
        <v>41395.000034722223</v>
      </c>
      <c r="C1161">
        <v>80</v>
      </c>
      <c r="D1161">
        <v>58.246978759999998</v>
      </c>
      <c r="E1161">
        <v>50</v>
      </c>
      <c r="F1161">
        <v>49.951324462999999</v>
      </c>
      <c r="G1161">
        <v>1331.3115233999999</v>
      </c>
      <c r="H1161">
        <v>1330.6889647999999</v>
      </c>
      <c r="I1161">
        <v>1330.9301757999999</v>
      </c>
      <c r="J1161">
        <v>1330.7932129000001</v>
      </c>
      <c r="K1161">
        <v>550</v>
      </c>
      <c r="L1161">
        <v>0</v>
      </c>
      <c r="M1161">
        <v>0</v>
      </c>
      <c r="N1161">
        <v>550</v>
      </c>
    </row>
    <row r="1162" spans="1:14" x14ac:dyDescent="0.25">
      <c r="A1162">
        <v>1096.000121</v>
      </c>
      <c r="B1162" s="1">
        <f>DATE(2013,5,1) + TIME(0,0,10)</f>
        <v>41395.000115740739</v>
      </c>
      <c r="C1162">
        <v>80</v>
      </c>
      <c r="D1162">
        <v>58.247829437</v>
      </c>
      <c r="E1162">
        <v>50</v>
      </c>
      <c r="F1162">
        <v>49.951286316000001</v>
      </c>
      <c r="G1162">
        <v>1331.6728516000001</v>
      </c>
      <c r="H1162">
        <v>1331.0314940999999</v>
      </c>
      <c r="I1162">
        <v>1330.6342772999999</v>
      </c>
      <c r="J1162">
        <v>1330.4787598</v>
      </c>
      <c r="K1162">
        <v>550</v>
      </c>
      <c r="L1162">
        <v>0</v>
      </c>
      <c r="M1162">
        <v>0</v>
      </c>
      <c r="N1162">
        <v>550</v>
      </c>
    </row>
    <row r="1163" spans="1:14" x14ac:dyDescent="0.25">
      <c r="A1163">
        <v>1096.000364</v>
      </c>
      <c r="B1163" s="1">
        <f>DATE(2013,5,1) + TIME(0,0,31)</f>
        <v>41395.000358796293</v>
      </c>
      <c r="C1163">
        <v>80</v>
      </c>
      <c r="D1163">
        <v>58.250354766999997</v>
      </c>
      <c r="E1163">
        <v>50</v>
      </c>
      <c r="F1163">
        <v>49.951244354000004</v>
      </c>
      <c r="G1163">
        <v>1331.9741211</v>
      </c>
      <c r="H1163">
        <v>1331.3139647999999</v>
      </c>
      <c r="I1163">
        <v>1330.3774414</v>
      </c>
      <c r="J1163">
        <v>1330.2008057</v>
      </c>
      <c r="K1163">
        <v>550</v>
      </c>
      <c r="L1163">
        <v>0</v>
      </c>
      <c r="M1163">
        <v>0</v>
      </c>
      <c r="N1163">
        <v>550</v>
      </c>
    </row>
    <row r="1164" spans="1:14" x14ac:dyDescent="0.25">
      <c r="A1164">
        <v>1096.0010930000001</v>
      </c>
      <c r="B1164" s="1">
        <f>DATE(2013,5,1) + TIME(0,1,34)</f>
        <v>41395.001087962963</v>
      </c>
      <c r="C1164">
        <v>80</v>
      </c>
      <c r="D1164">
        <v>58.257991791000002</v>
      </c>
      <c r="E1164">
        <v>50</v>
      </c>
      <c r="F1164">
        <v>49.951190947999997</v>
      </c>
      <c r="G1164">
        <v>1332.1679687999999</v>
      </c>
      <c r="H1164">
        <v>1331.4946289</v>
      </c>
      <c r="I1164">
        <v>1330.2005615</v>
      </c>
      <c r="J1164">
        <v>1330.0097656</v>
      </c>
      <c r="K1164">
        <v>550</v>
      </c>
      <c r="L1164">
        <v>0</v>
      </c>
      <c r="M1164">
        <v>0</v>
      </c>
      <c r="N1164">
        <v>550</v>
      </c>
    </row>
    <row r="1165" spans="1:14" x14ac:dyDescent="0.25">
      <c r="A1165">
        <v>1096.0032799999999</v>
      </c>
      <c r="B1165" s="1">
        <f>DATE(2013,5,1) + TIME(0,4,43)</f>
        <v>41395.003275462965</v>
      </c>
      <c r="C1165">
        <v>80</v>
      </c>
      <c r="D1165">
        <v>58.281009674000003</v>
      </c>
      <c r="E1165">
        <v>50</v>
      </c>
      <c r="F1165">
        <v>49.951087952000002</v>
      </c>
      <c r="G1165">
        <v>1332.2625731999999</v>
      </c>
      <c r="H1165">
        <v>1331.5839844</v>
      </c>
      <c r="I1165">
        <v>1330.1063231999999</v>
      </c>
      <c r="J1165">
        <v>1329.9097899999999</v>
      </c>
      <c r="K1165">
        <v>550</v>
      </c>
      <c r="L1165">
        <v>0</v>
      </c>
      <c r="M1165">
        <v>0</v>
      </c>
      <c r="N1165">
        <v>550</v>
      </c>
    </row>
    <row r="1166" spans="1:14" x14ac:dyDescent="0.25">
      <c r="A1166">
        <v>1096.0098410000001</v>
      </c>
      <c r="B1166" s="1">
        <f>DATE(2013,5,1) + TIME(0,14,10)</f>
        <v>41395.009837962964</v>
      </c>
      <c r="C1166">
        <v>80</v>
      </c>
      <c r="D1166">
        <v>58.349960326999998</v>
      </c>
      <c r="E1166">
        <v>50</v>
      </c>
      <c r="F1166">
        <v>49.950805664000001</v>
      </c>
      <c r="G1166">
        <v>1332.2982178</v>
      </c>
      <c r="H1166">
        <v>1331.6187743999999</v>
      </c>
      <c r="I1166">
        <v>1330.0732422000001</v>
      </c>
      <c r="J1166">
        <v>1329.8753661999999</v>
      </c>
      <c r="K1166">
        <v>550</v>
      </c>
      <c r="L1166">
        <v>0</v>
      </c>
      <c r="M1166">
        <v>0</v>
      </c>
      <c r="N1166">
        <v>550</v>
      </c>
    </row>
    <row r="1167" spans="1:14" x14ac:dyDescent="0.25">
      <c r="A1167">
        <v>1096.029524</v>
      </c>
      <c r="B1167" s="1">
        <f>DATE(2013,5,1) + TIME(0,42,30)</f>
        <v>41395.029513888891</v>
      </c>
      <c r="C1167">
        <v>80</v>
      </c>
      <c r="D1167">
        <v>58.555171967</v>
      </c>
      <c r="E1167">
        <v>50</v>
      </c>
      <c r="F1167">
        <v>49.949974060000002</v>
      </c>
      <c r="G1167">
        <v>1332.307251</v>
      </c>
      <c r="H1167">
        <v>1331.6285399999999</v>
      </c>
      <c r="I1167">
        <v>1330.0686035000001</v>
      </c>
      <c r="J1167">
        <v>1329.8703613</v>
      </c>
      <c r="K1167">
        <v>550</v>
      </c>
      <c r="L1167">
        <v>0</v>
      </c>
      <c r="M1167">
        <v>0</v>
      </c>
      <c r="N1167">
        <v>550</v>
      </c>
    </row>
    <row r="1168" spans="1:14" x14ac:dyDescent="0.25">
      <c r="A1168">
        <v>1096.088573</v>
      </c>
      <c r="B1168" s="1">
        <f>DATE(2013,5,1) + TIME(2,7,32)</f>
        <v>41395.088564814818</v>
      </c>
      <c r="C1168">
        <v>80</v>
      </c>
      <c r="D1168">
        <v>59.155929565000001</v>
      </c>
      <c r="E1168">
        <v>50</v>
      </c>
      <c r="F1168">
        <v>49.947494507000002</v>
      </c>
      <c r="G1168">
        <v>1332.309082</v>
      </c>
      <c r="H1168">
        <v>1331.6330565999999</v>
      </c>
      <c r="I1168">
        <v>1330.0679932</v>
      </c>
      <c r="J1168">
        <v>1329.8692627</v>
      </c>
      <c r="K1168">
        <v>550</v>
      </c>
      <c r="L1168">
        <v>0</v>
      </c>
      <c r="M1168">
        <v>0</v>
      </c>
      <c r="N1168">
        <v>550</v>
      </c>
    </row>
    <row r="1169" spans="1:14" x14ac:dyDescent="0.25">
      <c r="A1169">
        <v>1096.16471</v>
      </c>
      <c r="B1169" s="1">
        <f>DATE(2013,5,1) + TIME(3,57,10)</f>
        <v>41395.164699074077</v>
      </c>
      <c r="C1169">
        <v>80</v>
      </c>
      <c r="D1169">
        <v>59.918582915999998</v>
      </c>
      <c r="E1169">
        <v>50</v>
      </c>
      <c r="F1169">
        <v>49.944305419999999</v>
      </c>
      <c r="G1169">
        <v>1332.3356934000001</v>
      </c>
      <c r="H1169">
        <v>1331.6522216999999</v>
      </c>
      <c r="I1169">
        <v>1330.0667725000001</v>
      </c>
      <c r="J1169">
        <v>1329.8665771000001</v>
      </c>
      <c r="K1169">
        <v>550</v>
      </c>
      <c r="L1169">
        <v>0</v>
      </c>
      <c r="M1169">
        <v>0</v>
      </c>
      <c r="N1169">
        <v>550</v>
      </c>
    </row>
    <row r="1170" spans="1:14" x14ac:dyDescent="0.25">
      <c r="A1170">
        <v>1096.242407</v>
      </c>
      <c r="B1170" s="1">
        <f>DATE(2013,5,1) + TIME(5,49,3)</f>
        <v>41395.242395833331</v>
      </c>
      <c r="C1170">
        <v>80</v>
      </c>
      <c r="D1170">
        <v>60.689147949000002</v>
      </c>
      <c r="E1170">
        <v>50</v>
      </c>
      <c r="F1170">
        <v>49.941047668000003</v>
      </c>
      <c r="G1170">
        <v>1332.3756103999999</v>
      </c>
      <c r="H1170">
        <v>1331.6789550999999</v>
      </c>
      <c r="I1170">
        <v>1330.0651855000001</v>
      </c>
      <c r="J1170">
        <v>1329.8635254000001</v>
      </c>
      <c r="K1170">
        <v>550</v>
      </c>
      <c r="L1170">
        <v>0</v>
      </c>
      <c r="M1170">
        <v>0</v>
      </c>
      <c r="N1170">
        <v>550</v>
      </c>
    </row>
    <row r="1171" spans="1:14" x14ac:dyDescent="0.25">
      <c r="A1171">
        <v>1096.3217569999999</v>
      </c>
      <c r="B1171" s="1">
        <f>DATE(2013,5,1) + TIME(7,43,19)</f>
        <v>41395.321747685186</v>
      </c>
      <c r="C1171">
        <v>80</v>
      </c>
      <c r="D1171">
        <v>61.467559813999998</v>
      </c>
      <c r="E1171">
        <v>50</v>
      </c>
      <c r="F1171">
        <v>49.937721252000003</v>
      </c>
      <c r="G1171">
        <v>1332.4173584</v>
      </c>
      <c r="H1171">
        <v>1331.7070312000001</v>
      </c>
      <c r="I1171">
        <v>1330.0637207</v>
      </c>
      <c r="J1171">
        <v>1329.8603516000001</v>
      </c>
      <c r="K1171">
        <v>550</v>
      </c>
      <c r="L1171">
        <v>0</v>
      </c>
      <c r="M1171">
        <v>0</v>
      </c>
      <c r="N1171">
        <v>550</v>
      </c>
    </row>
    <row r="1172" spans="1:14" x14ac:dyDescent="0.25">
      <c r="A1172">
        <v>1096.4028290000001</v>
      </c>
      <c r="B1172" s="1">
        <f>DATE(2013,5,1) + TIME(9,40,4)</f>
        <v>41395.402824074074</v>
      </c>
      <c r="C1172">
        <v>80</v>
      </c>
      <c r="D1172">
        <v>62.252944946</v>
      </c>
      <c r="E1172">
        <v>50</v>
      </c>
      <c r="F1172">
        <v>49.934322356999999</v>
      </c>
      <c r="G1172">
        <v>1332.4610596</v>
      </c>
      <c r="H1172">
        <v>1331.7363281</v>
      </c>
      <c r="I1172">
        <v>1330.0622559000001</v>
      </c>
      <c r="J1172">
        <v>1329.8571777</v>
      </c>
      <c r="K1172">
        <v>550</v>
      </c>
      <c r="L1172">
        <v>0</v>
      </c>
      <c r="M1172">
        <v>0</v>
      </c>
      <c r="N1172">
        <v>550</v>
      </c>
    </row>
    <row r="1173" spans="1:14" x14ac:dyDescent="0.25">
      <c r="A1173">
        <v>1096.485422</v>
      </c>
      <c r="B1173" s="1">
        <f>DATE(2013,5,1) + TIME(11,39,0)</f>
        <v>41395.48541666667</v>
      </c>
      <c r="C1173">
        <v>80</v>
      </c>
      <c r="D1173">
        <v>63.041648864999999</v>
      </c>
      <c r="E1173">
        <v>50</v>
      </c>
      <c r="F1173">
        <v>49.930858612000002</v>
      </c>
      <c r="G1173">
        <v>1332.5065918</v>
      </c>
      <c r="H1173">
        <v>1331.7669678</v>
      </c>
      <c r="I1173">
        <v>1330.0607910000001</v>
      </c>
      <c r="J1173">
        <v>1329.8540039</v>
      </c>
      <c r="K1173">
        <v>550</v>
      </c>
      <c r="L1173">
        <v>0</v>
      </c>
      <c r="M1173">
        <v>0</v>
      </c>
      <c r="N1173">
        <v>550</v>
      </c>
    </row>
    <row r="1174" spans="1:14" x14ac:dyDescent="0.25">
      <c r="A1174">
        <v>1096.569542</v>
      </c>
      <c r="B1174" s="1">
        <f>DATE(2013,5,1) + TIME(13,40,8)</f>
        <v>41395.569537037038</v>
      </c>
      <c r="C1174">
        <v>80</v>
      </c>
      <c r="D1174">
        <v>63.831794739000003</v>
      </c>
      <c r="E1174">
        <v>50</v>
      </c>
      <c r="F1174">
        <v>49.927330017000003</v>
      </c>
      <c r="G1174">
        <v>1332.5537108999999</v>
      </c>
      <c r="H1174">
        <v>1331.7985839999999</v>
      </c>
      <c r="I1174">
        <v>1330.0594481999999</v>
      </c>
      <c r="J1174">
        <v>1329.8509521000001</v>
      </c>
      <c r="K1174">
        <v>550</v>
      </c>
      <c r="L1174">
        <v>0</v>
      </c>
      <c r="M1174">
        <v>0</v>
      </c>
      <c r="N1174">
        <v>550</v>
      </c>
    </row>
    <row r="1175" spans="1:14" x14ac:dyDescent="0.25">
      <c r="A1175">
        <v>1096.655264</v>
      </c>
      <c r="B1175" s="1">
        <f>DATE(2013,5,1) + TIME(15,43,34)</f>
        <v>41395.65525462963</v>
      </c>
      <c r="C1175">
        <v>80</v>
      </c>
      <c r="D1175">
        <v>64.621910095000004</v>
      </c>
      <c r="E1175">
        <v>50</v>
      </c>
      <c r="F1175">
        <v>49.923732758</v>
      </c>
      <c r="G1175">
        <v>1332.6021728999999</v>
      </c>
      <c r="H1175">
        <v>1331.8312988</v>
      </c>
      <c r="I1175">
        <v>1330.0579834</v>
      </c>
      <c r="J1175">
        <v>1329.8477783000001</v>
      </c>
      <c r="K1175">
        <v>550</v>
      </c>
      <c r="L1175">
        <v>0</v>
      </c>
      <c r="M1175">
        <v>0</v>
      </c>
      <c r="N1175">
        <v>550</v>
      </c>
    </row>
    <row r="1176" spans="1:14" x14ac:dyDescent="0.25">
      <c r="A1176">
        <v>1096.742673</v>
      </c>
      <c r="B1176" s="1">
        <f>DATE(2013,5,1) + TIME(17,49,26)</f>
        <v>41395.742662037039</v>
      </c>
      <c r="C1176">
        <v>80</v>
      </c>
      <c r="D1176">
        <v>65.410514832000004</v>
      </c>
      <c r="E1176">
        <v>50</v>
      </c>
      <c r="F1176">
        <v>49.920066833</v>
      </c>
      <c r="G1176">
        <v>1332.6519774999999</v>
      </c>
      <c r="H1176">
        <v>1331.8647461</v>
      </c>
      <c r="I1176">
        <v>1330.0565185999999</v>
      </c>
      <c r="J1176">
        <v>1329.8446045000001</v>
      </c>
      <c r="K1176">
        <v>550</v>
      </c>
      <c r="L1176">
        <v>0</v>
      </c>
      <c r="M1176">
        <v>0</v>
      </c>
      <c r="N1176">
        <v>550</v>
      </c>
    </row>
    <row r="1177" spans="1:14" x14ac:dyDescent="0.25">
      <c r="A1177">
        <v>1096.8318830000001</v>
      </c>
      <c r="B1177" s="1">
        <f>DATE(2013,5,1) + TIME(19,57,54)</f>
        <v>41395.831875000003</v>
      </c>
      <c r="C1177">
        <v>80</v>
      </c>
      <c r="D1177">
        <v>66.196022033999995</v>
      </c>
      <c r="E1177">
        <v>50</v>
      </c>
      <c r="F1177">
        <v>49.916324615000001</v>
      </c>
      <c r="G1177">
        <v>1332.7030029</v>
      </c>
      <c r="H1177">
        <v>1331.8991699000001</v>
      </c>
      <c r="I1177">
        <v>1330.0551757999999</v>
      </c>
      <c r="J1177">
        <v>1329.8414307</v>
      </c>
      <c r="K1177">
        <v>550</v>
      </c>
      <c r="L1177">
        <v>0</v>
      </c>
      <c r="M1177">
        <v>0</v>
      </c>
      <c r="N1177">
        <v>550</v>
      </c>
    </row>
    <row r="1178" spans="1:14" x14ac:dyDescent="0.25">
      <c r="A1178">
        <v>1096.9230239999999</v>
      </c>
      <c r="B1178" s="1">
        <f>DATE(2013,5,1) + TIME(22,9,9)</f>
        <v>41395.923020833332</v>
      </c>
      <c r="C1178">
        <v>80</v>
      </c>
      <c r="D1178">
        <v>66.976692200000002</v>
      </c>
      <c r="E1178">
        <v>50</v>
      </c>
      <c r="F1178">
        <v>49.912502289000003</v>
      </c>
      <c r="G1178">
        <v>1332.7550048999999</v>
      </c>
      <c r="H1178">
        <v>1331.9342041</v>
      </c>
      <c r="I1178">
        <v>1330.0538329999999</v>
      </c>
      <c r="J1178">
        <v>1329.8382568</v>
      </c>
      <c r="K1178">
        <v>550</v>
      </c>
      <c r="L1178">
        <v>0</v>
      </c>
      <c r="M1178">
        <v>0</v>
      </c>
      <c r="N1178">
        <v>550</v>
      </c>
    </row>
    <row r="1179" spans="1:14" x14ac:dyDescent="0.25">
      <c r="A1179">
        <v>1097.0161989999999</v>
      </c>
      <c r="B1179" s="1">
        <f>DATE(2013,5,2) + TIME(0,23,19)</f>
        <v>41396.016192129631</v>
      </c>
      <c r="C1179">
        <v>80</v>
      </c>
      <c r="D1179">
        <v>67.750396729000002</v>
      </c>
      <c r="E1179">
        <v>50</v>
      </c>
      <c r="F1179">
        <v>49.908596039000003</v>
      </c>
      <c r="G1179">
        <v>1332.8078613</v>
      </c>
      <c r="H1179">
        <v>1331.9699707</v>
      </c>
      <c r="I1179">
        <v>1330.0524902</v>
      </c>
      <c r="J1179">
        <v>1329.8350829999999</v>
      </c>
      <c r="K1179">
        <v>550</v>
      </c>
      <c r="L1179">
        <v>0</v>
      </c>
      <c r="M1179">
        <v>0</v>
      </c>
      <c r="N1179">
        <v>550</v>
      </c>
    </row>
    <row r="1180" spans="1:14" x14ac:dyDescent="0.25">
      <c r="A1180">
        <v>1097.111553</v>
      </c>
      <c r="B1180" s="1">
        <f>DATE(2013,5,2) + TIME(2,40,38)</f>
        <v>41396.111550925925</v>
      </c>
      <c r="C1180">
        <v>80</v>
      </c>
      <c r="D1180">
        <v>68.515182495000005</v>
      </c>
      <c r="E1180">
        <v>50</v>
      </c>
      <c r="F1180">
        <v>49.904598235999998</v>
      </c>
      <c r="G1180">
        <v>1332.8616943</v>
      </c>
      <c r="H1180">
        <v>1332.0063477000001</v>
      </c>
      <c r="I1180">
        <v>1330.0510254000001</v>
      </c>
      <c r="J1180">
        <v>1329.8319091999999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1097.209253</v>
      </c>
      <c r="B1181" s="1">
        <f>DATE(2013,5,2) + TIME(5,1,19)</f>
        <v>41396.209247685183</v>
      </c>
      <c r="C1181">
        <v>80</v>
      </c>
      <c r="D1181">
        <v>69.269035338999998</v>
      </c>
      <c r="E1181">
        <v>50</v>
      </c>
      <c r="F1181">
        <v>49.900508881</v>
      </c>
      <c r="G1181">
        <v>1332.9160156</v>
      </c>
      <c r="H1181">
        <v>1332.0432129000001</v>
      </c>
      <c r="I1181">
        <v>1330.0496826000001</v>
      </c>
      <c r="J1181">
        <v>1329.8287353999999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1097.3094900000001</v>
      </c>
      <c r="B1182" s="1">
        <f>DATE(2013,5,2) + TIME(7,25,39)</f>
        <v>41396.309479166666</v>
      </c>
      <c r="C1182">
        <v>80</v>
      </c>
      <c r="D1182">
        <v>70.009910583000007</v>
      </c>
      <c r="E1182">
        <v>50</v>
      </c>
      <c r="F1182">
        <v>49.896312713999997</v>
      </c>
      <c r="G1182">
        <v>1332.9710693</v>
      </c>
      <c r="H1182">
        <v>1332.0805664</v>
      </c>
      <c r="I1182">
        <v>1330.0483397999999</v>
      </c>
      <c r="J1182">
        <v>1329.8255615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1097.412476</v>
      </c>
      <c r="B1183" s="1">
        <f>DATE(2013,5,2) + TIME(9,53,57)</f>
        <v>41396.412465277775</v>
      </c>
      <c r="C1183">
        <v>80</v>
      </c>
      <c r="D1183">
        <v>70.735206603999998</v>
      </c>
      <c r="E1183">
        <v>50</v>
      </c>
      <c r="F1183">
        <v>49.892005920000003</v>
      </c>
      <c r="G1183">
        <v>1333.0264893000001</v>
      </c>
      <c r="H1183">
        <v>1332.1181641000001</v>
      </c>
      <c r="I1183">
        <v>1330.046875</v>
      </c>
      <c r="J1183">
        <v>1329.8222656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1097.518456</v>
      </c>
      <c r="B1184" s="1">
        <f>DATE(2013,5,2) + TIME(12,26,34)</f>
        <v>41396.518449074072</v>
      </c>
      <c r="C1184">
        <v>80</v>
      </c>
      <c r="D1184">
        <v>71.443351746000005</v>
      </c>
      <c r="E1184">
        <v>50</v>
      </c>
      <c r="F1184">
        <v>49.887577057000001</v>
      </c>
      <c r="G1184">
        <v>1333.0821533000001</v>
      </c>
      <c r="H1184">
        <v>1332.1560059000001</v>
      </c>
      <c r="I1184">
        <v>1330.0455322</v>
      </c>
      <c r="J1184">
        <v>1329.8189697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1097.627706</v>
      </c>
      <c r="B1185" s="1">
        <f>DATE(2013,5,2) + TIME(15,3,53)</f>
        <v>41396.627696759257</v>
      </c>
      <c r="C1185">
        <v>80</v>
      </c>
      <c r="D1185">
        <v>72.132308960000003</v>
      </c>
      <c r="E1185">
        <v>50</v>
      </c>
      <c r="F1185">
        <v>49.883014678999999</v>
      </c>
      <c r="G1185">
        <v>1333.1380615</v>
      </c>
      <c r="H1185">
        <v>1332.1940918</v>
      </c>
      <c r="I1185">
        <v>1330.0440673999999</v>
      </c>
      <c r="J1185">
        <v>1329.8156738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1097.7405450000001</v>
      </c>
      <c r="B1186" s="1">
        <f>DATE(2013,5,2) + TIME(17,46,23)</f>
        <v>41396.740543981483</v>
      </c>
      <c r="C1186">
        <v>80</v>
      </c>
      <c r="D1186">
        <v>72.800079346000004</v>
      </c>
      <c r="E1186">
        <v>50</v>
      </c>
      <c r="F1186">
        <v>49.878311156999999</v>
      </c>
      <c r="G1186">
        <v>1333.1940918</v>
      </c>
      <c r="H1186">
        <v>1332.2322998</v>
      </c>
      <c r="I1186">
        <v>1330.0427245999999</v>
      </c>
      <c r="J1186">
        <v>1329.8123779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1097.8573429999999</v>
      </c>
      <c r="B1187" s="1">
        <f>DATE(2013,5,2) + TIME(20,34,34)</f>
        <v>41396.85733796296</v>
      </c>
      <c r="C1187">
        <v>80</v>
      </c>
      <c r="D1187">
        <v>73.444755553999997</v>
      </c>
      <c r="E1187">
        <v>50</v>
      </c>
      <c r="F1187">
        <v>49.873447417999998</v>
      </c>
      <c r="G1187">
        <v>1333.25</v>
      </c>
      <c r="H1187">
        <v>1332.2703856999999</v>
      </c>
      <c r="I1187">
        <v>1330.0412598</v>
      </c>
      <c r="J1187">
        <v>1329.8089600000001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1097.978601</v>
      </c>
      <c r="B1188" s="1">
        <f>DATE(2013,5,2) + TIME(23,29,11)</f>
        <v>41396.97859953704</v>
      </c>
      <c r="C1188">
        <v>80</v>
      </c>
      <c r="D1188">
        <v>74.064849854000002</v>
      </c>
      <c r="E1188">
        <v>50</v>
      </c>
      <c r="F1188">
        <v>49.868404388000002</v>
      </c>
      <c r="G1188">
        <v>1333.3057861</v>
      </c>
      <c r="H1188">
        <v>1332.3083495999999</v>
      </c>
      <c r="I1188">
        <v>1330.0396728999999</v>
      </c>
      <c r="J1188">
        <v>1329.8055420000001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1098.1047370000001</v>
      </c>
      <c r="B1189" s="1">
        <f>DATE(2013,5,3) + TIME(2,30,49)</f>
        <v>41397.104733796295</v>
      </c>
      <c r="C1189">
        <v>80</v>
      </c>
      <c r="D1189">
        <v>74.658241271999998</v>
      </c>
      <c r="E1189">
        <v>50</v>
      </c>
      <c r="F1189">
        <v>49.863174438000001</v>
      </c>
      <c r="G1189">
        <v>1333.3612060999999</v>
      </c>
      <c r="H1189">
        <v>1332.3461914</v>
      </c>
      <c r="I1189">
        <v>1330.0382079999999</v>
      </c>
      <c r="J1189">
        <v>1329.8020019999999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1098.236326</v>
      </c>
      <c r="B1190" s="1">
        <f>DATE(2013,5,3) + TIME(5,40,18)</f>
        <v>41397.236319444448</v>
      </c>
      <c r="C1190">
        <v>80</v>
      </c>
      <c r="D1190">
        <v>75.223136901999993</v>
      </c>
      <c r="E1190">
        <v>50</v>
      </c>
      <c r="F1190">
        <v>49.857723235999998</v>
      </c>
      <c r="G1190">
        <v>1333.4161377</v>
      </c>
      <c r="H1190">
        <v>1332.3836670000001</v>
      </c>
      <c r="I1190">
        <v>1330.036499</v>
      </c>
      <c r="J1190">
        <v>1329.7984618999999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1098.3740459999999</v>
      </c>
      <c r="B1191" s="1">
        <f>DATE(2013,5,3) + TIME(8,58,37)</f>
        <v>41397.374039351853</v>
      </c>
      <c r="C1191">
        <v>80</v>
      </c>
      <c r="D1191">
        <v>75.757621764999996</v>
      </c>
      <c r="E1191">
        <v>50</v>
      </c>
      <c r="F1191">
        <v>49.852035522000001</v>
      </c>
      <c r="G1191">
        <v>1333.4678954999999</v>
      </c>
      <c r="H1191">
        <v>1332.4189452999999</v>
      </c>
      <c r="I1191">
        <v>1330.0347899999999</v>
      </c>
      <c r="J1191">
        <v>1329.7947998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1098.5188949999999</v>
      </c>
      <c r="B1192" s="1">
        <f>DATE(2013,5,3) + TIME(12,27,12)</f>
        <v>41397.518888888888</v>
      </c>
      <c r="C1192">
        <v>80</v>
      </c>
      <c r="D1192">
        <v>76.261322020999998</v>
      </c>
      <c r="E1192">
        <v>50</v>
      </c>
      <c r="F1192">
        <v>49.846069335999999</v>
      </c>
      <c r="G1192">
        <v>1333.5185547000001</v>
      </c>
      <c r="H1192">
        <v>1332.4536132999999</v>
      </c>
      <c r="I1192">
        <v>1330.0329589999999</v>
      </c>
      <c r="J1192">
        <v>1329.7910156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1098.6717329999999</v>
      </c>
      <c r="B1193" s="1">
        <f>DATE(2013,5,3) + TIME(16,7,17)</f>
        <v>41397.671724537038</v>
      </c>
      <c r="C1193">
        <v>80</v>
      </c>
      <c r="D1193">
        <v>76.732299804999997</v>
      </c>
      <c r="E1193">
        <v>50</v>
      </c>
      <c r="F1193">
        <v>49.839794159</v>
      </c>
      <c r="G1193">
        <v>1333.5648193</v>
      </c>
      <c r="H1193">
        <v>1332.4851074000001</v>
      </c>
      <c r="I1193">
        <v>1330.0310059000001</v>
      </c>
      <c r="J1193">
        <v>1329.7871094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1098.832537</v>
      </c>
      <c r="B1194" s="1">
        <f>DATE(2013,5,3) + TIME(19,58,51)</f>
        <v>41397.83253472222</v>
      </c>
      <c r="C1194">
        <v>80</v>
      </c>
      <c r="D1194">
        <v>77.167091369999994</v>
      </c>
      <c r="E1194">
        <v>50</v>
      </c>
      <c r="F1194">
        <v>49.833217621000003</v>
      </c>
      <c r="G1194">
        <v>1333.6099853999999</v>
      </c>
      <c r="H1194">
        <v>1332.5159911999999</v>
      </c>
      <c r="I1194">
        <v>1330.0289307</v>
      </c>
      <c r="J1194">
        <v>1329.7830810999999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1099.002111</v>
      </c>
      <c r="B1195" s="1">
        <f>DATE(2013,5,4) + TIME(0,3,2)</f>
        <v>41398.002106481479</v>
      </c>
      <c r="C1195">
        <v>80</v>
      </c>
      <c r="D1195">
        <v>77.564727782999995</v>
      </c>
      <c r="E1195">
        <v>50</v>
      </c>
      <c r="F1195">
        <v>49.826309203999998</v>
      </c>
      <c r="G1195">
        <v>1333.6502685999999</v>
      </c>
      <c r="H1195">
        <v>1332.543457</v>
      </c>
      <c r="I1195">
        <v>1330.0266113</v>
      </c>
      <c r="J1195">
        <v>1329.7789307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1099.1819499999999</v>
      </c>
      <c r="B1196" s="1">
        <f>DATE(2013,5,4) + TIME(4,22,0)</f>
        <v>41398.181944444441</v>
      </c>
      <c r="C1196">
        <v>80</v>
      </c>
      <c r="D1196">
        <v>77.926101685000006</v>
      </c>
      <c r="E1196">
        <v>50</v>
      </c>
      <c r="F1196">
        <v>49.819015503000003</v>
      </c>
      <c r="G1196">
        <v>1333.6883545000001</v>
      </c>
      <c r="H1196">
        <v>1332.5695800999999</v>
      </c>
      <c r="I1196">
        <v>1330.0241699000001</v>
      </c>
      <c r="J1196">
        <v>1329.7745361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1099.373282</v>
      </c>
      <c r="B1197" s="1">
        <f>DATE(2013,5,4) + TIME(8,57,31)</f>
        <v>41398.37327546296</v>
      </c>
      <c r="C1197">
        <v>80</v>
      </c>
      <c r="D1197">
        <v>78.251312256000006</v>
      </c>
      <c r="E1197">
        <v>50</v>
      </c>
      <c r="F1197">
        <v>49.811294556</v>
      </c>
      <c r="G1197">
        <v>1333.7236327999999</v>
      </c>
      <c r="H1197">
        <v>1332.59375</v>
      </c>
      <c r="I1197">
        <v>1330.0216064000001</v>
      </c>
      <c r="J1197">
        <v>1329.7701416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1099.5777049999999</v>
      </c>
      <c r="B1198" s="1">
        <f>DATE(2013,5,4) + TIME(13,51,53)</f>
        <v>41398.577696759261</v>
      </c>
      <c r="C1198">
        <v>80</v>
      </c>
      <c r="D1198">
        <v>78.540908813000001</v>
      </c>
      <c r="E1198">
        <v>50</v>
      </c>
      <c r="F1198">
        <v>49.803092956999997</v>
      </c>
      <c r="G1198">
        <v>1333.7536620999999</v>
      </c>
      <c r="H1198">
        <v>1332.6145019999999</v>
      </c>
      <c r="I1198">
        <v>1330.0189209</v>
      </c>
      <c r="J1198">
        <v>1329.7655029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1099.792704</v>
      </c>
      <c r="B1199" s="1">
        <f>DATE(2013,5,4) + TIME(19,1,29)</f>
        <v>41398.792696759258</v>
      </c>
      <c r="C1199">
        <v>80</v>
      </c>
      <c r="D1199">
        <v>78.791969299000002</v>
      </c>
      <c r="E1199">
        <v>50</v>
      </c>
      <c r="F1199">
        <v>49.794513702000003</v>
      </c>
      <c r="G1199">
        <v>1333.7824707</v>
      </c>
      <c r="H1199">
        <v>1332.6342772999999</v>
      </c>
      <c r="I1199">
        <v>1330.0159911999999</v>
      </c>
      <c r="J1199">
        <v>1329.7607422000001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1100.012103</v>
      </c>
      <c r="B1200" s="1">
        <f>DATE(2013,5,5) + TIME(0,17,25)</f>
        <v>41399.012094907404</v>
      </c>
      <c r="C1200">
        <v>80</v>
      </c>
      <c r="D1200">
        <v>79.001968383999994</v>
      </c>
      <c r="E1200">
        <v>50</v>
      </c>
      <c r="F1200">
        <v>49.785800934000001</v>
      </c>
      <c r="G1200">
        <v>1333.8093262</v>
      </c>
      <c r="H1200">
        <v>1332.652832</v>
      </c>
      <c r="I1200">
        <v>1330.0130615</v>
      </c>
      <c r="J1200">
        <v>1329.7557373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1100.238079</v>
      </c>
      <c r="B1201" s="1">
        <f>DATE(2013,5,5) + TIME(5,42,49)</f>
        <v>41399.238067129627</v>
      </c>
      <c r="C1201">
        <v>80</v>
      </c>
      <c r="D1201">
        <v>79.177749633999994</v>
      </c>
      <c r="E1201">
        <v>50</v>
      </c>
      <c r="F1201">
        <v>49.776878357000001</v>
      </c>
      <c r="G1201">
        <v>1333.8299560999999</v>
      </c>
      <c r="H1201">
        <v>1332.6674805</v>
      </c>
      <c r="I1201">
        <v>1330.0101318</v>
      </c>
      <c r="J1201">
        <v>1329.7508545000001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1100.472626</v>
      </c>
      <c r="B1202" s="1">
        <f>DATE(2013,5,5) + TIME(11,20,34)</f>
        <v>41399.472615740742</v>
      </c>
      <c r="C1202">
        <v>80</v>
      </c>
      <c r="D1202">
        <v>79.324714661000002</v>
      </c>
      <c r="E1202">
        <v>50</v>
      </c>
      <c r="F1202">
        <v>49.767669677999997</v>
      </c>
      <c r="G1202">
        <v>1333.8470459</v>
      </c>
      <c r="H1202">
        <v>1332.6796875</v>
      </c>
      <c r="I1202">
        <v>1330.0070800999999</v>
      </c>
      <c r="J1202">
        <v>1329.7459716999999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1100.7177429999999</v>
      </c>
      <c r="B1203" s="1">
        <f>DATE(2013,5,5) + TIME(17,13,33)</f>
        <v>41399.717743055553</v>
      </c>
      <c r="C1203">
        <v>80</v>
      </c>
      <c r="D1203">
        <v>79.447265625</v>
      </c>
      <c r="E1203">
        <v>50</v>
      </c>
      <c r="F1203">
        <v>49.758110045999999</v>
      </c>
      <c r="G1203">
        <v>1333.8621826000001</v>
      </c>
      <c r="H1203">
        <v>1332.6907959</v>
      </c>
      <c r="I1203">
        <v>1330.0039062000001</v>
      </c>
      <c r="J1203">
        <v>1329.7409668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1100.968382</v>
      </c>
      <c r="B1204" s="1">
        <f>DATE(2013,5,5) + TIME(23,14,28)</f>
        <v>41399.96837962963</v>
      </c>
      <c r="C1204">
        <v>80</v>
      </c>
      <c r="D1204">
        <v>79.546783446999996</v>
      </c>
      <c r="E1204">
        <v>50</v>
      </c>
      <c r="F1204">
        <v>49.748390198000003</v>
      </c>
      <c r="G1204">
        <v>1333.8757324000001</v>
      </c>
      <c r="H1204">
        <v>1332.7010498</v>
      </c>
      <c r="I1204">
        <v>1330.0007324000001</v>
      </c>
      <c r="J1204">
        <v>1329.7358397999999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1101.2229380000001</v>
      </c>
      <c r="B1205" s="1">
        <f>DATE(2013,5,6) + TIME(5,21,1)</f>
        <v>41400.222928240742</v>
      </c>
      <c r="C1205">
        <v>80</v>
      </c>
      <c r="D1205">
        <v>79.626800536999994</v>
      </c>
      <c r="E1205">
        <v>50</v>
      </c>
      <c r="F1205">
        <v>49.738574982000003</v>
      </c>
      <c r="G1205">
        <v>1333.8874512</v>
      </c>
      <c r="H1205">
        <v>1332.7102050999999</v>
      </c>
      <c r="I1205">
        <v>1329.9975586</v>
      </c>
      <c r="J1205">
        <v>1329.7308350000001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1101.482395</v>
      </c>
      <c r="B1206" s="1">
        <f>DATE(2013,5,6) + TIME(11,34,38)</f>
        <v>41400.48238425926</v>
      </c>
      <c r="C1206">
        <v>80</v>
      </c>
      <c r="D1206">
        <v>79.691131592000005</v>
      </c>
      <c r="E1206">
        <v>50</v>
      </c>
      <c r="F1206">
        <v>49.728633881</v>
      </c>
      <c r="G1206">
        <v>1333.8975829999999</v>
      </c>
      <c r="H1206">
        <v>1332.7182617000001</v>
      </c>
      <c r="I1206">
        <v>1329.9943848</v>
      </c>
      <c r="J1206">
        <v>1329.7257079999999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1101.747656</v>
      </c>
      <c r="B1207" s="1">
        <f>DATE(2013,5,6) + TIME(17,56,37)</f>
        <v>41400.747650462959</v>
      </c>
      <c r="C1207">
        <v>80</v>
      </c>
      <c r="D1207">
        <v>79.742820739999999</v>
      </c>
      <c r="E1207">
        <v>50</v>
      </c>
      <c r="F1207">
        <v>49.718528747999997</v>
      </c>
      <c r="G1207">
        <v>1333.90625</v>
      </c>
      <c r="H1207">
        <v>1332.7254639</v>
      </c>
      <c r="I1207">
        <v>1329.9912108999999</v>
      </c>
      <c r="J1207">
        <v>1329.7207031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1102.019687</v>
      </c>
      <c r="B1208" s="1">
        <f>DATE(2013,5,7) + TIME(0,28,20)</f>
        <v>41401.019675925927</v>
      </c>
      <c r="C1208">
        <v>80</v>
      </c>
      <c r="D1208">
        <v>79.784301757999998</v>
      </c>
      <c r="E1208">
        <v>50</v>
      </c>
      <c r="F1208">
        <v>49.708236694</v>
      </c>
      <c r="G1208">
        <v>1333.9135742000001</v>
      </c>
      <c r="H1208">
        <v>1332.7319336</v>
      </c>
      <c r="I1208">
        <v>1329.9880370999999</v>
      </c>
      <c r="J1208">
        <v>1329.7156981999999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1102.29954</v>
      </c>
      <c r="B1209" s="1">
        <f>DATE(2013,5,7) + TIME(7,11,20)</f>
        <v>41401.299537037034</v>
      </c>
      <c r="C1209">
        <v>80</v>
      </c>
      <c r="D1209">
        <v>79.817535399999997</v>
      </c>
      <c r="E1209">
        <v>50</v>
      </c>
      <c r="F1209">
        <v>49.697715758999998</v>
      </c>
      <c r="G1209">
        <v>1333.9195557</v>
      </c>
      <c r="H1209">
        <v>1332.7376709</v>
      </c>
      <c r="I1209">
        <v>1329.9847411999999</v>
      </c>
      <c r="J1209">
        <v>1329.7105713000001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1102.588522</v>
      </c>
      <c r="B1210" s="1">
        <f>DATE(2013,5,7) + TIME(14,7,28)</f>
        <v>41401.588518518518</v>
      </c>
      <c r="C1210">
        <v>80</v>
      </c>
      <c r="D1210">
        <v>79.844139099000003</v>
      </c>
      <c r="E1210">
        <v>50</v>
      </c>
      <c r="F1210">
        <v>49.686927795000003</v>
      </c>
      <c r="G1210">
        <v>1333.9245605000001</v>
      </c>
      <c r="H1210">
        <v>1332.7426757999999</v>
      </c>
      <c r="I1210">
        <v>1329.9815673999999</v>
      </c>
      <c r="J1210">
        <v>1329.7054443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1102.8895809999999</v>
      </c>
      <c r="B1211" s="1">
        <f>DATE(2013,5,7) + TIME(21,20,59)</f>
        <v>41401.88957175926</v>
      </c>
      <c r="C1211">
        <v>80</v>
      </c>
      <c r="D1211">
        <v>79.865463257000002</v>
      </c>
      <c r="E1211">
        <v>50</v>
      </c>
      <c r="F1211">
        <v>49.675777435000001</v>
      </c>
      <c r="G1211">
        <v>1333.9274902</v>
      </c>
      <c r="H1211">
        <v>1332.746582</v>
      </c>
      <c r="I1211">
        <v>1329.9782714999999</v>
      </c>
      <c r="J1211">
        <v>1329.7001952999999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1103.2033510000001</v>
      </c>
      <c r="B1212" s="1">
        <f>DATE(2013,5,8) + TIME(4,52,49)</f>
        <v>41402.203344907408</v>
      </c>
      <c r="C1212">
        <v>80</v>
      </c>
      <c r="D1212">
        <v>79.882438660000005</v>
      </c>
      <c r="E1212">
        <v>50</v>
      </c>
      <c r="F1212">
        <v>49.664245604999998</v>
      </c>
      <c r="G1212">
        <v>1333.9288329999999</v>
      </c>
      <c r="H1212">
        <v>1332.7495117000001</v>
      </c>
      <c r="I1212">
        <v>1329.9748535000001</v>
      </c>
      <c r="J1212">
        <v>1329.6949463000001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1103.5280780000001</v>
      </c>
      <c r="B1213" s="1">
        <f>DATE(2013,5,8) + TIME(12,40,25)</f>
        <v>41402.528067129628</v>
      </c>
      <c r="C1213">
        <v>80</v>
      </c>
      <c r="D1213">
        <v>79.895812988000003</v>
      </c>
      <c r="E1213">
        <v>50</v>
      </c>
      <c r="F1213">
        <v>49.652404785000002</v>
      </c>
      <c r="G1213">
        <v>1333.9296875</v>
      </c>
      <c r="H1213">
        <v>1332.7521973</v>
      </c>
      <c r="I1213">
        <v>1329.9713135</v>
      </c>
      <c r="J1213">
        <v>1329.6894531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1103.865274</v>
      </c>
      <c r="B1214" s="1">
        <f>DATE(2013,5,8) + TIME(20,45,59)</f>
        <v>41402.865266203706</v>
      </c>
      <c r="C1214">
        <v>80</v>
      </c>
      <c r="D1214">
        <v>79.906326293999996</v>
      </c>
      <c r="E1214">
        <v>50</v>
      </c>
      <c r="F1214">
        <v>49.640205383000001</v>
      </c>
      <c r="G1214">
        <v>1333.9300536999999</v>
      </c>
      <c r="H1214">
        <v>1332.7547606999999</v>
      </c>
      <c r="I1214">
        <v>1329.9677733999999</v>
      </c>
      <c r="J1214">
        <v>1329.6839600000001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1104.216447</v>
      </c>
      <c r="B1215" s="1">
        <f>DATE(2013,5,9) + TIME(5,11,41)</f>
        <v>41403.216446759259</v>
      </c>
      <c r="C1215">
        <v>80</v>
      </c>
      <c r="D1215">
        <v>79.914581299000005</v>
      </c>
      <c r="E1215">
        <v>50</v>
      </c>
      <c r="F1215">
        <v>49.627609253000003</v>
      </c>
      <c r="G1215">
        <v>1333.9301757999999</v>
      </c>
      <c r="H1215">
        <v>1332.7570800999999</v>
      </c>
      <c r="I1215">
        <v>1329.9642334</v>
      </c>
      <c r="J1215">
        <v>1329.6783447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1104.583423</v>
      </c>
      <c r="B1216" s="1">
        <f>DATE(2013,5,9) + TIME(14,0,7)</f>
        <v>41403.583414351851</v>
      </c>
      <c r="C1216">
        <v>80</v>
      </c>
      <c r="D1216">
        <v>79.921051024999997</v>
      </c>
      <c r="E1216">
        <v>50</v>
      </c>
      <c r="F1216">
        <v>49.614559174</v>
      </c>
      <c r="G1216">
        <v>1333.9298096</v>
      </c>
      <c r="H1216">
        <v>1332.7592772999999</v>
      </c>
      <c r="I1216">
        <v>1329.9605713000001</v>
      </c>
      <c r="J1216">
        <v>1329.6726074000001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1104.9714750000001</v>
      </c>
      <c r="B1217" s="1">
        <f>DATE(2013,5,9) + TIME(23,18,55)</f>
        <v>41403.97146990741</v>
      </c>
      <c r="C1217">
        <v>80</v>
      </c>
      <c r="D1217">
        <v>79.926139832000004</v>
      </c>
      <c r="E1217">
        <v>50</v>
      </c>
      <c r="F1217">
        <v>49.600894928000002</v>
      </c>
      <c r="G1217">
        <v>1333.9291992000001</v>
      </c>
      <c r="H1217">
        <v>1332.7613524999999</v>
      </c>
      <c r="I1217">
        <v>1329.9567870999999</v>
      </c>
      <c r="J1217">
        <v>1329.6667480000001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1105.384918</v>
      </c>
      <c r="B1218" s="1">
        <f>DATE(2013,5,10) + TIME(9,14,16)</f>
        <v>41404.38490740741</v>
      </c>
      <c r="C1218">
        <v>80</v>
      </c>
      <c r="D1218">
        <v>79.930130004999995</v>
      </c>
      <c r="E1218">
        <v>50</v>
      </c>
      <c r="F1218">
        <v>49.586490630999997</v>
      </c>
      <c r="G1218">
        <v>1333.9283447</v>
      </c>
      <c r="H1218">
        <v>1332.7634277</v>
      </c>
      <c r="I1218">
        <v>1329.9528809000001</v>
      </c>
      <c r="J1218">
        <v>1329.6606445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1105.8283650000001</v>
      </c>
      <c r="B1219" s="1">
        <f>DATE(2013,5,10) + TIME(19,52,50)</f>
        <v>41404.828356481485</v>
      </c>
      <c r="C1219">
        <v>80</v>
      </c>
      <c r="D1219">
        <v>79.933258057000003</v>
      </c>
      <c r="E1219">
        <v>50</v>
      </c>
      <c r="F1219">
        <v>49.571216583000002</v>
      </c>
      <c r="G1219">
        <v>1333.9272461</v>
      </c>
      <c r="H1219">
        <v>1332.7653809000001</v>
      </c>
      <c r="I1219">
        <v>1329.9487305</v>
      </c>
      <c r="J1219">
        <v>1329.6542969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1106.301404</v>
      </c>
      <c r="B1220" s="1">
        <f>DATE(2013,5,11) + TIME(7,14,1)</f>
        <v>41405.301400462966</v>
      </c>
      <c r="C1220">
        <v>80</v>
      </c>
      <c r="D1220">
        <v>79.935668945000003</v>
      </c>
      <c r="E1220">
        <v>50</v>
      </c>
      <c r="F1220">
        <v>49.555110931000002</v>
      </c>
      <c r="G1220">
        <v>1333.9257812000001</v>
      </c>
      <c r="H1220">
        <v>1332.7673339999999</v>
      </c>
      <c r="I1220">
        <v>1329.9444579999999</v>
      </c>
      <c r="J1220">
        <v>1329.6475829999999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1106.802588</v>
      </c>
      <c r="B1221" s="1">
        <f>DATE(2013,5,11) + TIME(19,15,43)</f>
        <v>41405.802581018521</v>
      </c>
      <c r="C1221">
        <v>80</v>
      </c>
      <c r="D1221">
        <v>79.9375</v>
      </c>
      <c r="E1221">
        <v>50</v>
      </c>
      <c r="F1221">
        <v>49.538238524999997</v>
      </c>
      <c r="G1221">
        <v>1333.9241943</v>
      </c>
      <c r="H1221">
        <v>1332.7692870999999</v>
      </c>
      <c r="I1221">
        <v>1329.9399414</v>
      </c>
      <c r="J1221">
        <v>1329.640625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1107.333453</v>
      </c>
      <c r="B1222" s="1">
        <f>DATE(2013,5,12) + TIME(8,0,10)</f>
        <v>41406.333449074074</v>
      </c>
      <c r="C1222">
        <v>80</v>
      </c>
      <c r="D1222">
        <v>79.938880920000003</v>
      </c>
      <c r="E1222">
        <v>50</v>
      </c>
      <c r="F1222">
        <v>49.520568848000003</v>
      </c>
      <c r="G1222">
        <v>1333.9223632999999</v>
      </c>
      <c r="H1222">
        <v>1332.7712402</v>
      </c>
      <c r="I1222">
        <v>1329.9353027</v>
      </c>
      <c r="J1222">
        <v>1329.6333007999999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1107.870013</v>
      </c>
      <c r="B1223" s="1">
        <f>DATE(2013,5,12) + TIME(20,52,49)</f>
        <v>41406.870011574072</v>
      </c>
      <c r="C1223">
        <v>80</v>
      </c>
      <c r="D1223">
        <v>79.939872742000006</v>
      </c>
      <c r="E1223">
        <v>50</v>
      </c>
      <c r="F1223">
        <v>49.502838134999998</v>
      </c>
      <c r="G1223">
        <v>1333.9202881000001</v>
      </c>
      <c r="H1223">
        <v>1332.7731934000001</v>
      </c>
      <c r="I1223">
        <v>1329.9304199000001</v>
      </c>
      <c r="J1223">
        <v>1329.6258545000001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1108.409441</v>
      </c>
      <c r="B1224" s="1">
        <f>DATE(2013,5,13) + TIME(9,49,35)</f>
        <v>41407.409432870372</v>
      </c>
      <c r="C1224">
        <v>80</v>
      </c>
      <c r="D1224">
        <v>79.940582274999997</v>
      </c>
      <c r="E1224">
        <v>50</v>
      </c>
      <c r="F1224">
        <v>49.485134125000002</v>
      </c>
      <c r="G1224">
        <v>1333.9182129000001</v>
      </c>
      <c r="H1224">
        <v>1332.7750243999999</v>
      </c>
      <c r="I1224">
        <v>1329.9256591999999</v>
      </c>
      <c r="J1224">
        <v>1329.6184082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1108.95445</v>
      </c>
      <c r="B1225" s="1">
        <f>DATE(2013,5,13) + TIME(22,54,24)</f>
        <v>41407.954444444447</v>
      </c>
      <c r="C1225">
        <v>80</v>
      </c>
      <c r="D1225">
        <v>79.941085814999994</v>
      </c>
      <c r="E1225">
        <v>50</v>
      </c>
      <c r="F1225">
        <v>49.467376709</v>
      </c>
      <c r="G1225">
        <v>1333.9161377</v>
      </c>
      <c r="H1225">
        <v>1332.7767334</v>
      </c>
      <c r="I1225">
        <v>1329.9208983999999</v>
      </c>
      <c r="J1225">
        <v>1329.6109618999999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1109.507654</v>
      </c>
      <c r="B1226" s="1">
        <f>DATE(2013,5,14) + TIME(12,11,1)</f>
        <v>41408.507650462961</v>
      </c>
      <c r="C1226">
        <v>80</v>
      </c>
      <c r="D1226">
        <v>79.941444396999998</v>
      </c>
      <c r="E1226">
        <v>50</v>
      </c>
      <c r="F1226">
        <v>49.449485779</v>
      </c>
      <c r="G1226">
        <v>1333.9140625</v>
      </c>
      <c r="H1226">
        <v>1332.7784423999999</v>
      </c>
      <c r="I1226">
        <v>1329.9161377</v>
      </c>
      <c r="J1226">
        <v>1329.6035156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1110.071637</v>
      </c>
      <c r="B1227" s="1">
        <f>DATE(2013,5,15) + TIME(1,43,9)</f>
        <v>41409.071631944447</v>
      </c>
      <c r="C1227">
        <v>80</v>
      </c>
      <c r="D1227">
        <v>79.941696167000003</v>
      </c>
      <c r="E1227">
        <v>50</v>
      </c>
      <c r="F1227">
        <v>49.431396483999997</v>
      </c>
      <c r="G1227">
        <v>1333.9121094</v>
      </c>
      <c r="H1227">
        <v>1332.7801514</v>
      </c>
      <c r="I1227">
        <v>1329.9113769999999</v>
      </c>
      <c r="J1227">
        <v>1329.5961914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1110.6490679999999</v>
      </c>
      <c r="B1228" s="1">
        <f>DATE(2013,5,15) + TIME(15,34,39)</f>
        <v>41409.649062500001</v>
      </c>
      <c r="C1228">
        <v>80</v>
      </c>
      <c r="D1228">
        <v>79.941864014000004</v>
      </c>
      <c r="E1228">
        <v>50</v>
      </c>
      <c r="F1228">
        <v>49.413028717000003</v>
      </c>
      <c r="G1228">
        <v>1333.9100341999999</v>
      </c>
      <c r="H1228">
        <v>1332.7818603999999</v>
      </c>
      <c r="I1228">
        <v>1329.9066161999999</v>
      </c>
      <c r="J1228">
        <v>1329.5887451000001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1111.24279</v>
      </c>
      <c r="B1229" s="1">
        <f>DATE(2013,5,16) + TIME(5,49,37)</f>
        <v>41410.242789351854</v>
      </c>
      <c r="C1229">
        <v>80</v>
      </c>
      <c r="D1229">
        <v>79.941978454999997</v>
      </c>
      <c r="E1229">
        <v>50</v>
      </c>
      <c r="F1229">
        <v>49.394309997999997</v>
      </c>
      <c r="G1229">
        <v>1333.9079589999999</v>
      </c>
      <c r="H1229">
        <v>1332.7835693</v>
      </c>
      <c r="I1229">
        <v>1329.9018555</v>
      </c>
      <c r="J1229">
        <v>1329.5811768000001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1111.8562119999999</v>
      </c>
      <c r="B1230" s="1">
        <f>DATE(2013,5,16) + TIME(20,32,56)</f>
        <v>41410.856203703705</v>
      </c>
      <c r="C1230">
        <v>80</v>
      </c>
      <c r="D1230">
        <v>79.94203186</v>
      </c>
      <c r="E1230">
        <v>50</v>
      </c>
      <c r="F1230">
        <v>49.375152587999999</v>
      </c>
      <c r="G1230">
        <v>1333.9058838000001</v>
      </c>
      <c r="H1230">
        <v>1332.7852783000001</v>
      </c>
      <c r="I1230">
        <v>1329.8969727000001</v>
      </c>
      <c r="J1230">
        <v>1329.5736084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1112.49306</v>
      </c>
      <c r="B1231" s="1">
        <f>DATE(2013,5,17) + TIME(11,50,0)</f>
        <v>41411.493055555555</v>
      </c>
      <c r="C1231">
        <v>80</v>
      </c>
      <c r="D1231">
        <v>79.942054748999993</v>
      </c>
      <c r="E1231">
        <v>50</v>
      </c>
      <c r="F1231">
        <v>49.355461120999998</v>
      </c>
      <c r="G1231">
        <v>1333.9039307</v>
      </c>
      <c r="H1231">
        <v>1332.7869873</v>
      </c>
      <c r="I1231">
        <v>1329.8920897999999</v>
      </c>
      <c r="J1231">
        <v>1329.565918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1113.157076</v>
      </c>
      <c r="B1232" s="1">
        <f>DATE(2013,5,18) + TIME(3,46,11)</f>
        <v>41412.157071759262</v>
      </c>
      <c r="C1232">
        <v>80</v>
      </c>
      <c r="D1232">
        <v>79.942039489999999</v>
      </c>
      <c r="E1232">
        <v>50</v>
      </c>
      <c r="F1232">
        <v>49.335140228</v>
      </c>
      <c r="G1232">
        <v>1333.9018555</v>
      </c>
      <c r="H1232">
        <v>1332.7885742000001</v>
      </c>
      <c r="I1232">
        <v>1329.8869629000001</v>
      </c>
      <c r="J1232">
        <v>1329.5579834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1113.853466</v>
      </c>
      <c r="B1233" s="1">
        <f>DATE(2013,5,18) + TIME(20,28,59)</f>
        <v>41412.853460648148</v>
      </c>
      <c r="C1233">
        <v>80</v>
      </c>
      <c r="D1233">
        <v>79.942008971999996</v>
      </c>
      <c r="E1233">
        <v>50</v>
      </c>
      <c r="F1233">
        <v>49.314067841000004</v>
      </c>
      <c r="G1233">
        <v>1333.8997803</v>
      </c>
      <c r="H1233">
        <v>1332.7902832</v>
      </c>
      <c r="I1233">
        <v>1329.8818358999999</v>
      </c>
      <c r="J1233">
        <v>1329.5498047000001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1114.5970930000001</v>
      </c>
      <c r="B1234" s="1">
        <f>DATE(2013,5,19) + TIME(14,19,48)</f>
        <v>41413.597083333334</v>
      </c>
      <c r="C1234">
        <v>80</v>
      </c>
      <c r="D1234">
        <v>79.941947936999995</v>
      </c>
      <c r="E1234">
        <v>50</v>
      </c>
      <c r="F1234">
        <v>49.291870117000002</v>
      </c>
      <c r="G1234">
        <v>1333.8975829999999</v>
      </c>
      <c r="H1234">
        <v>1332.7919922000001</v>
      </c>
      <c r="I1234">
        <v>1329.8764647999999</v>
      </c>
      <c r="J1234">
        <v>1329.5415039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1115.3816879999999</v>
      </c>
      <c r="B1235" s="1">
        <f>DATE(2013,5,20) + TIME(9,9,37)</f>
        <v>41414.381678240738</v>
      </c>
      <c r="C1235">
        <v>80</v>
      </c>
      <c r="D1235">
        <v>79.941871642999999</v>
      </c>
      <c r="E1235">
        <v>50</v>
      </c>
      <c r="F1235">
        <v>49.268726348999998</v>
      </c>
      <c r="G1235">
        <v>1333.8955077999999</v>
      </c>
      <c r="H1235">
        <v>1332.7937012</v>
      </c>
      <c r="I1235">
        <v>1329.8708495999999</v>
      </c>
      <c r="J1235">
        <v>1329.5327147999999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1116.220454</v>
      </c>
      <c r="B1236" s="1">
        <f>DATE(2013,5,21) + TIME(5,17,27)</f>
        <v>41415.220451388886</v>
      </c>
      <c r="C1236">
        <v>80</v>
      </c>
      <c r="D1236">
        <v>79.941780089999995</v>
      </c>
      <c r="E1236">
        <v>50</v>
      </c>
      <c r="F1236">
        <v>49.244327544999997</v>
      </c>
      <c r="G1236">
        <v>1333.8933105000001</v>
      </c>
      <c r="H1236">
        <v>1332.7954102000001</v>
      </c>
      <c r="I1236">
        <v>1329.8651123</v>
      </c>
      <c r="J1236">
        <v>1329.5235596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1117.092337</v>
      </c>
      <c r="B1237" s="1">
        <f>DATE(2013,5,22) + TIME(2,12,57)</f>
        <v>41416.092326388891</v>
      </c>
      <c r="C1237">
        <v>80</v>
      </c>
      <c r="D1237">
        <v>79.941673279</v>
      </c>
      <c r="E1237">
        <v>50</v>
      </c>
      <c r="F1237">
        <v>49.219203948999997</v>
      </c>
      <c r="G1237">
        <v>1333.8912353999999</v>
      </c>
      <c r="H1237">
        <v>1332.7973632999999</v>
      </c>
      <c r="I1237">
        <v>1329.8590088000001</v>
      </c>
      <c r="J1237">
        <v>1329.5141602000001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1117.9898430000001</v>
      </c>
      <c r="B1238" s="1">
        <f>DATE(2013,5,22) + TIME(23,45,22)</f>
        <v>41416.989837962959</v>
      </c>
      <c r="C1238">
        <v>80</v>
      </c>
      <c r="D1238">
        <v>79.941558838000006</v>
      </c>
      <c r="E1238">
        <v>50</v>
      </c>
      <c r="F1238">
        <v>49.193546294999997</v>
      </c>
      <c r="G1238">
        <v>1333.8890381000001</v>
      </c>
      <c r="H1238">
        <v>1332.7991943</v>
      </c>
      <c r="I1238">
        <v>1329.8529053</v>
      </c>
      <c r="J1238">
        <v>1329.5043945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1118.8958580000001</v>
      </c>
      <c r="B1239" s="1">
        <f>DATE(2013,5,23) + TIME(21,30,2)</f>
        <v>41417.895856481482</v>
      </c>
      <c r="C1239">
        <v>80</v>
      </c>
      <c r="D1239">
        <v>79.941429138000004</v>
      </c>
      <c r="E1239">
        <v>50</v>
      </c>
      <c r="F1239">
        <v>49.167774199999997</v>
      </c>
      <c r="G1239">
        <v>1333.8870850000001</v>
      </c>
      <c r="H1239">
        <v>1332.8011475000001</v>
      </c>
      <c r="I1239">
        <v>1329.8466797000001</v>
      </c>
      <c r="J1239">
        <v>1329.4946289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1119.821042</v>
      </c>
      <c r="B1240" s="1">
        <f>DATE(2013,5,24) + TIME(19,42,18)</f>
        <v>41418.82104166667</v>
      </c>
      <c r="C1240">
        <v>80</v>
      </c>
      <c r="D1240">
        <v>79.941299438000001</v>
      </c>
      <c r="E1240">
        <v>50</v>
      </c>
      <c r="F1240">
        <v>49.141651154000002</v>
      </c>
      <c r="G1240">
        <v>1333.8847656</v>
      </c>
      <c r="H1240">
        <v>1332.8028564000001</v>
      </c>
      <c r="I1240">
        <v>1329.8404541</v>
      </c>
      <c r="J1240">
        <v>1329.4847411999999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1120.7760510000001</v>
      </c>
      <c r="B1241" s="1">
        <f>DATE(2013,5,25) + TIME(18,37,30)</f>
        <v>41419.776041666664</v>
      </c>
      <c r="C1241">
        <v>80</v>
      </c>
      <c r="D1241">
        <v>79.941154479999994</v>
      </c>
      <c r="E1241">
        <v>50</v>
      </c>
      <c r="F1241">
        <v>49.114940642999997</v>
      </c>
      <c r="G1241">
        <v>1333.8820800999999</v>
      </c>
      <c r="H1241">
        <v>1332.8043213000001</v>
      </c>
      <c r="I1241">
        <v>1329.8342285000001</v>
      </c>
      <c r="J1241">
        <v>1329.4748535000001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1121.7718910000001</v>
      </c>
      <c r="B1242" s="1">
        <f>DATE(2013,5,26) + TIME(18,31,31)</f>
        <v>41420.771886574075</v>
      </c>
      <c r="C1242">
        <v>80</v>
      </c>
      <c r="D1242">
        <v>79.941001892000003</v>
      </c>
      <c r="E1242">
        <v>50</v>
      </c>
      <c r="F1242">
        <v>49.087409973</v>
      </c>
      <c r="G1242">
        <v>1333.8793945</v>
      </c>
      <c r="H1242">
        <v>1332.8056641000001</v>
      </c>
      <c r="I1242">
        <v>1329.8278809000001</v>
      </c>
      <c r="J1242">
        <v>1329.4648437999999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1122.795306</v>
      </c>
      <c r="B1243" s="1">
        <f>DATE(2013,5,27) + TIME(19,5,14)</f>
        <v>41421.795300925929</v>
      </c>
      <c r="C1243">
        <v>80</v>
      </c>
      <c r="D1243">
        <v>79.940856933999996</v>
      </c>
      <c r="E1243">
        <v>50</v>
      </c>
      <c r="F1243">
        <v>49.059364318999997</v>
      </c>
      <c r="G1243">
        <v>1333.8768310999999</v>
      </c>
      <c r="H1243">
        <v>1332.8071289</v>
      </c>
      <c r="I1243">
        <v>1329.8214111</v>
      </c>
      <c r="J1243">
        <v>1329.4544678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1123.8415890000001</v>
      </c>
      <c r="B1244" s="1">
        <f>DATE(2013,5,28) + TIME(20,11,53)</f>
        <v>41422.841585648152</v>
      </c>
      <c r="C1244">
        <v>80</v>
      </c>
      <c r="D1244">
        <v>79.940704346000004</v>
      </c>
      <c r="E1244">
        <v>50</v>
      </c>
      <c r="F1244">
        <v>49.030921935999999</v>
      </c>
      <c r="G1244">
        <v>1333.8742675999999</v>
      </c>
      <c r="H1244">
        <v>1332.8084716999999</v>
      </c>
      <c r="I1244">
        <v>1329.8148193</v>
      </c>
      <c r="J1244">
        <v>1329.4440918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1124.9066760000001</v>
      </c>
      <c r="B1245" s="1">
        <f>DATE(2013,5,29) + TIME(21,45,36)</f>
        <v>41423.906666666669</v>
      </c>
      <c r="C1245">
        <v>80</v>
      </c>
      <c r="D1245">
        <v>79.940559386999993</v>
      </c>
      <c r="E1245">
        <v>50</v>
      </c>
      <c r="F1245">
        <v>49.002189635999997</v>
      </c>
      <c r="G1245">
        <v>1333.8719481999999</v>
      </c>
      <c r="H1245">
        <v>1332.8099365</v>
      </c>
      <c r="I1245">
        <v>1329.8083495999999</v>
      </c>
      <c r="J1245">
        <v>1329.4335937999999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1125.9999350000001</v>
      </c>
      <c r="B1246" s="1">
        <f>DATE(2013,5,30) + TIME(23,59,54)</f>
        <v>41424.999930555554</v>
      </c>
      <c r="C1246">
        <v>80</v>
      </c>
      <c r="D1246">
        <v>79.940414429</v>
      </c>
      <c r="E1246">
        <v>50</v>
      </c>
      <c r="F1246">
        <v>48.972995758000003</v>
      </c>
      <c r="G1246">
        <v>1333.869751</v>
      </c>
      <c r="H1246">
        <v>1332.8114014</v>
      </c>
      <c r="I1246">
        <v>1329.8017577999999</v>
      </c>
      <c r="J1246">
        <v>1329.4230957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1127</v>
      </c>
      <c r="B1247" s="1">
        <f>DATE(2013,6,1) + TIME(0,0,0)</f>
        <v>41426</v>
      </c>
      <c r="C1247">
        <v>80</v>
      </c>
      <c r="D1247">
        <v>79.940277100000003</v>
      </c>
      <c r="E1247">
        <v>50</v>
      </c>
      <c r="F1247">
        <v>48.945957184000001</v>
      </c>
      <c r="G1247">
        <v>1333.8676757999999</v>
      </c>
      <c r="H1247">
        <v>1332.8127440999999</v>
      </c>
      <c r="I1247">
        <v>1329.7951660000001</v>
      </c>
      <c r="J1247">
        <v>1329.4125977000001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1128.1068809999999</v>
      </c>
      <c r="B1248" s="1">
        <f>DATE(2013,6,2) + TIME(2,33,54)</f>
        <v>41427.106874999998</v>
      </c>
      <c r="C1248">
        <v>80</v>
      </c>
      <c r="D1248">
        <v>79.940147400000001</v>
      </c>
      <c r="E1248">
        <v>50</v>
      </c>
      <c r="F1248">
        <v>48.916904449</v>
      </c>
      <c r="G1248">
        <v>1333.8659668</v>
      </c>
      <c r="H1248">
        <v>1332.8140868999999</v>
      </c>
      <c r="I1248">
        <v>1329.7890625</v>
      </c>
      <c r="J1248">
        <v>1329.4027100000001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1129.277149</v>
      </c>
      <c r="B1249" s="1">
        <f>DATE(2013,6,3) + TIME(6,39,5)</f>
        <v>41428.277141203704</v>
      </c>
      <c r="C1249">
        <v>80</v>
      </c>
      <c r="D1249">
        <v>79.940017699999999</v>
      </c>
      <c r="E1249">
        <v>50</v>
      </c>
      <c r="F1249">
        <v>48.886764526</v>
      </c>
      <c r="G1249">
        <v>1333.8641356999999</v>
      </c>
      <c r="H1249">
        <v>1332.8155518000001</v>
      </c>
      <c r="I1249">
        <v>1329.7825928</v>
      </c>
      <c r="J1249">
        <v>1329.3922118999999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1130.499892</v>
      </c>
      <c r="B1250" s="1">
        <f>DATE(2013,6,4) + TIME(11,59,50)</f>
        <v>41429.499884259261</v>
      </c>
      <c r="C1250">
        <v>80</v>
      </c>
      <c r="D1250">
        <v>79.939895629999995</v>
      </c>
      <c r="E1250">
        <v>50</v>
      </c>
      <c r="F1250">
        <v>48.855792999000002</v>
      </c>
      <c r="G1250">
        <v>1333.8623047000001</v>
      </c>
      <c r="H1250">
        <v>1332.8170166</v>
      </c>
      <c r="I1250">
        <v>1329.776001</v>
      </c>
      <c r="J1250">
        <v>1329.3814697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1131.7294850000001</v>
      </c>
      <c r="B1251" s="1">
        <f>DATE(2013,6,5) + TIME(17,30,27)</f>
        <v>41430.729479166665</v>
      </c>
      <c r="C1251">
        <v>80</v>
      </c>
      <c r="D1251">
        <v>79.939765929999993</v>
      </c>
      <c r="E1251">
        <v>50</v>
      </c>
      <c r="F1251">
        <v>48.824932097999998</v>
      </c>
      <c r="G1251">
        <v>1333.8604736</v>
      </c>
      <c r="H1251">
        <v>1332.8184814000001</v>
      </c>
      <c r="I1251">
        <v>1329.7692870999999</v>
      </c>
      <c r="J1251">
        <v>1329.3704834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1132.975455</v>
      </c>
      <c r="B1252" s="1">
        <f>DATE(2013,6,6) + TIME(23,24,39)</f>
        <v>41431.975451388891</v>
      </c>
      <c r="C1252">
        <v>80</v>
      </c>
      <c r="D1252">
        <v>79.939651488999999</v>
      </c>
      <c r="E1252">
        <v>50</v>
      </c>
      <c r="F1252">
        <v>48.794109343999999</v>
      </c>
      <c r="G1252">
        <v>1333.8588867000001</v>
      </c>
      <c r="H1252">
        <v>1332.8200684000001</v>
      </c>
      <c r="I1252">
        <v>1329.7625731999999</v>
      </c>
      <c r="J1252">
        <v>1329.3594971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1134.2536339999999</v>
      </c>
      <c r="B1253" s="1">
        <f>DATE(2013,6,8) + TIME(6,5,14)</f>
        <v>41433.253634259258</v>
      </c>
      <c r="C1253">
        <v>80</v>
      </c>
      <c r="D1253">
        <v>79.939537048000005</v>
      </c>
      <c r="E1253">
        <v>50</v>
      </c>
      <c r="F1253">
        <v>48.763160706000001</v>
      </c>
      <c r="G1253">
        <v>1333.8574219</v>
      </c>
      <c r="H1253">
        <v>1332.8215332</v>
      </c>
      <c r="I1253">
        <v>1329.7559814000001</v>
      </c>
      <c r="J1253">
        <v>1329.3485106999999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1135.562537</v>
      </c>
      <c r="B1254" s="1">
        <f>DATE(2013,6,9) + TIME(13,30,3)</f>
        <v>41434.562534722223</v>
      </c>
      <c r="C1254">
        <v>80</v>
      </c>
      <c r="D1254">
        <v>79.939430236999996</v>
      </c>
      <c r="E1254">
        <v>50</v>
      </c>
      <c r="F1254">
        <v>48.732265472000002</v>
      </c>
      <c r="G1254">
        <v>1333.855957</v>
      </c>
      <c r="H1254">
        <v>1332.8229980000001</v>
      </c>
      <c r="I1254">
        <v>1329.7493896000001</v>
      </c>
      <c r="J1254">
        <v>1329.3375243999999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1136.894378</v>
      </c>
      <c r="B1255" s="1">
        <f>DATE(2013,6,10) + TIME(21,27,54)</f>
        <v>41435.894375000003</v>
      </c>
      <c r="C1255">
        <v>80</v>
      </c>
      <c r="D1255">
        <v>79.939331054999997</v>
      </c>
      <c r="E1255">
        <v>50</v>
      </c>
      <c r="F1255">
        <v>48.701766968000001</v>
      </c>
      <c r="G1255">
        <v>1333.8544922000001</v>
      </c>
      <c r="H1255">
        <v>1332.8243408000001</v>
      </c>
      <c r="I1255">
        <v>1329.7427978999999</v>
      </c>
      <c r="J1255">
        <v>1329.3264160000001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1138.2667799999999</v>
      </c>
      <c r="B1256" s="1">
        <f>DATE(2013,6,12) + TIME(6,24,9)</f>
        <v>41437.266770833332</v>
      </c>
      <c r="C1256">
        <v>80</v>
      </c>
      <c r="D1256">
        <v>79.939231872999997</v>
      </c>
      <c r="E1256">
        <v>50</v>
      </c>
      <c r="F1256">
        <v>48.671646117999998</v>
      </c>
      <c r="G1256">
        <v>1333.8531493999999</v>
      </c>
      <c r="H1256">
        <v>1332.8258057</v>
      </c>
      <c r="I1256">
        <v>1329.7362060999999</v>
      </c>
      <c r="J1256">
        <v>1329.3153076000001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1139.684649</v>
      </c>
      <c r="B1257" s="1">
        <f>DATE(2013,6,13) + TIME(16,25,53)</f>
        <v>41438.684641203705</v>
      </c>
      <c r="C1257">
        <v>80</v>
      </c>
      <c r="D1257">
        <v>79.939140320000007</v>
      </c>
      <c r="E1257">
        <v>50</v>
      </c>
      <c r="F1257">
        <v>48.642200469999999</v>
      </c>
      <c r="G1257">
        <v>1333.8519286999999</v>
      </c>
      <c r="H1257">
        <v>1332.8272704999999</v>
      </c>
      <c r="I1257">
        <v>1329.7296143000001</v>
      </c>
      <c r="J1257">
        <v>1329.3041992000001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1141.1112330000001</v>
      </c>
      <c r="B1258" s="1">
        <f>DATE(2013,6,15) + TIME(2,40,10)</f>
        <v>41440.111226851855</v>
      </c>
      <c r="C1258">
        <v>80</v>
      </c>
      <c r="D1258">
        <v>79.939056395999998</v>
      </c>
      <c r="E1258">
        <v>50</v>
      </c>
      <c r="F1258">
        <v>48.614456177000001</v>
      </c>
      <c r="G1258">
        <v>1333.8507079999999</v>
      </c>
      <c r="H1258">
        <v>1332.8286132999999</v>
      </c>
      <c r="I1258">
        <v>1329.7230225000001</v>
      </c>
      <c r="J1258">
        <v>1329.2928466999999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1142.5639249999999</v>
      </c>
      <c r="B1259" s="1">
        <f>DATE(2013,6,16) + TIME(13,32,3)</f>
        <v>41441.563923611109</v>
      </c>
      <c r="C1259">
        <v>80</v>
      </c>
      <c r="D1259">
        <v>79.938972473000007</v>
      </c>
      <c r="E1259">
        <v>50</v>
      </c>
      <c r="F1259">
        <v>48.588768004999999</v>
      </c>
      <c r="G1259">
        <v>1333.8494873</v>
      </c>
      <c r="H1259">
        <v>1332.8300781</v>
      </c>
      <c r="I1259">
        <v>1329.7165527</v>
      </c>
      <c r="J1259">
        <v>1329.2817382999999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1144.0611980000001</v>
      </c>
      <c r="B1260" s="1">
        <f>DATE(2013,6,18) + TIME(1,28,7)</f>
        <v>41443.061192129629</v>
      </c>
      <c r="C1260">
        <v>80</v>
      </c>
      <c r="D1260">
        <v>79.938896178999997</v>
      </c>
      <c r="E1260">
        <v>50</v>
      </c>
      <c r="F1260">
        <v>48.565704345999997</v>
      </c>
      <c r="G1260">
        <v>1333.8483887</v>
      </c>
      <c r="H1260">
        <v>1332.8314209</v>
      </c>
      <c r="I1260">
        <v>1329.7102050999999</v>
      </c>
      <c r="J1260">
        <v>1329.2706298999999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1145.5933419999999</v>
      </c>
      <c r="B1261" s="1">
        <f>DATE(2013,6,19) + TIME(14,14,24)</f>
        <v>41444.593333333331</v>
      </c>
      <c r="C1261">
        <v>80</v>
      </c>
      <c r="D1261">
        <v>79.938819885000001</v>
      </c>
      <c r="E1261">
        <v>50</v>
      </c>
      <c r="F1261">
        <v>48.546401977999999</v>
      </c>
      <c r="G1261">
        <v>1333.8472899999999</v>
      </c>
      <c r="H1261">
        <v>1332.8326416</v>
      </c>
      <c r="I1261">
        <v>1329.7039795000001</v>
      </c>
      <c r="J1261">
        <v>1329.2595214999999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1147.1546109999999</v>
      </c>
      <c r="B1262" s="1">
        <f>DATE(2013,6,21) + TIME(3,42,38)</f>
        <v>41446.154606481483</v>
      </c>
      <c r="C1262">
        <v>80</v>
      </c>
      <c r="D1262">
        <v>79.938751221000004</v>
      </c>
      <c r="E1262">
        <v>50</v>
      </c>
      <c r="F1262">
        <v>48.532176970999998</v>
      </c>
      <c r="G1262">
        <v>1333.8461914</v>
      </c>
      <c r="H1262">
        <v>1332.8339844</v>
      </c>
      <c r="I1262">
        <v>1329.6977539</v>
      </c>
      <c r="J1262">
        <v>1329.2482910000001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1148.764377</v>
      </c>
      <c r="B1263" s="1">
        <f>DATE(2013,6,22) + TIME(18,20,42)</f>
        <v>41447.764374999999</v>
      </c>
      <c r="C1263">
        <v>80</v>
      </c>
      <c r="D1263">
        <v>79.938690186000002</v>
      </c>
      <c r="E1263">
        <v>50</v>
      </c>
      <c r="F1263">
        <v>48.524482726999999</v>
      </c>
      <c r="G1263">
        <v>1333.8450928</v>
      </c>
      <c r="H1263">
        <v>1332.8353271000001</v>
      </c>
      <c r="I1263">
        <v>1329.6917725000001</v>
      </c>
      <c r="J1263">
        <v>1329.2373047000001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1150.396694</v>
      </c>
      <c r="B1264" s="1">
        <f>DATE(2013,6,24) + TIME(9,31,14)</f>
        <v>41449.396689814814</v>
      </c>
      <c r="C1264">
        <v>80</v>
      </c>
      <c r="D1264">
        <v>79.938636779999996</v>
      </c>
      <c r="E1264">
        <v>50</v>
      </c>
      <c r="F1264">
        <v>48.525382995999998</v>
      </c>
      <c r="G1264">
        <v>1333.8441161999999</v>
      </c>
      <c r="H1264">
        <v>1332.8365478999999</v>
      </c>
      <c r="I1264">
        <v>1329.6857910000001</v>
      </c>
      <c r="J1264">
        <v>1329.2263184000001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1152.0514350000001</v>
      </c>
      <c r="B1265" s="1">
        <f>DATE(2013,6,26) + TIME(1,14,3)</f>
        <v>41451.051423611112</v>
      </c>
      <c r="C1265">
        <v>80</v>
      </c>
      <c r="D1265">
        <v>79.938583374000004</v>
      </c>
      <c r="E1265">
        <v>50</v>
      </c>
      <c r="F1265">
        <v>48.537033080999997</v>
      </c>
      <c r="G1265">
        <v>1333.8431396000001</v>
      </c>
      <c r="H1265">
        <v>1332.8377685999999</v>
      </c>
      <c r="I1265">
        <v>1329.6800536999999</v>
      </c>
      <c r="J1265">
        <v>1329.2154541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1153.7500580000001</v>
      </c>
      <c r="B1266" s="1">
        <f>DATE(2013,6,27) + TIME(18,0,5)</f>
        <v>41452.750057870369</v>
      </c>
      <c r="C1266">
        <v>80</v>
      </c>
      <c r="D1266">
        <v>79.938529967999997</v>
      </c>
      <c r="E1266">
        <v>50</v>
      </c>
      <c r="F1266">
        <v>48.562122344999999</v>
      </c>
      <c r="G1266">
        <v>1333.8421631000001</v>
      </c>
      <c r="H1266">
        <v>1332.8389893000001</v>
      </c>
      <c r="I1266">
        <v>1329.6745605000001</v>
      </c>
      <c r="J1266">
        <v>1329.2048339999999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1155.5055090000001</v>
      </c>
      <c r="B1267" s="1">
        <f>DATE(2013,6,29) + TIME(12,7,55)</f>
        <v>41454.505497685182</v>
      </c>
      <c r="C1267">
        <v>80</v>
      </c>
      <c r="D1267">
        <v>79.938491821</v>
      </c>
      <c r="E1267">
        <v>50</v>
      </c>
      <c r="F1267">
        <v>48.604167938000003</v>
      </c>
      <c r="G1267">
        <v>1333.8413086</v>
      </c>
      <c r="H1267">
        <v>1332.8400879000001</v>
      </c>
      <c r="I1267">
        <v>1329.6691894999999</v>
      </c>
      <c r="J1267">
        <v>1329.1944579999999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1157</v>
      </c>
      <c r="B1268" s="1">
        <f>DATE(2013,7,1) + TIME(0,0,0)</f>
        <v>41456</v>
      </c>
      <c r="C1268">
        <v>80</v>
      </c>
      <c r="D1268">
        <v>79.938438415999997</v>
      </c>
      <c r="E1268">
        <v>50</v>
      </c>
      <c r="F1268">
        <v>48.659706116000002</v>
      </c>
      <c r="G1268">
        <v>1333.8404541</v>
      </c>
      <c r="H1268">
        <v>1332.8413086</v>
      </c>
      <c r="I1268">
        <v>1329.6643065999999</v>
      </c>
      <c r="J1268">
        <v>1329.1843262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1158.7799580000001</v>
      </c>
      <c r="B1269" s="1">
        <f>DATE(2013,7,2) + TIME(18,43,8)</f>
        <v>41457.779953703706</v>
      </c>
      <c r="C1269">
        <v>80</v>
      </c>
      <c r="D1269">
        <v>79.938415527000004</v>
      </c>
      <c r="E1269">
        <v>50</v>
      </c>
      <c r="F1269">
        <v>48.740776062000002</v>
      </c>
      <c r="G1269">
        <v>1333.8397216999999</v>
      </c>
      <c r="H1269">
        <v>1332.8421631000001</v>
      </c>
      <c r="I1269">
        <v>1329.6599120999999</v>
      </c>
      <c r="J1269">
        <v>1329.1755370999999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1160.642936</v>
      </c>
      <c r="B1270" s="1">
        <f>DATE(2013,7,4) + TIME(15,25,49)</f>
        <v>41459.642928240741</v>
      </c>
      <c r="C1270">
        <v>80</v>
      </c>
      <c r="D1270">
        <v>79.938385010000005</v>
      </c>
      <c r="E1270">
        <v>50</v>
      </c>
      <c r="F1270">
        <v>48.851314545000001</v>
      </c>
      <c r="G1270">
        <v>1333.8388672000001</v>
      </c>
      <c r="H1270">
        <v>1332.8432617000001</v>
      </c>
      <c r="I1270">
        <v>1329.6555175999999</v>
      </c>
      <c r="J1270">
        <v>1329.1662598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1162.5269209999999</v>
      </c>
      <c r="B1271" s="1">
        <f>DATE(2013,7,6) + TIME(12,38,45)</f>
        <v>41461.526909722219</v>
      </c>
      <c r="C1271">
        <v>80</v>
      </c>
      <c r="D1271">
        <v>79.938362122000001</v>
      </c>
      <c r="E1271">
        <v>50</v>
      </c>
      <c r="F1271">
        <v>48.994693755999997</v>
      </c>
      <c r="G1271">
        <v>1333.8380127</v>
      </c>
      <c r="H1271">
        <v>1332.8443603999999</v>
      </c>
      <c r="I1271">
        <v>1329.6513672000001</v>
      </c>
      <c r="J1271">
        <v>1329.1572266000001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1164.455743</v>
      </c>
      <c r="B1272" s="1">
        <f>DATE(2013,7,8) + TIME(10,56,16)</f>
        <v>41463.455740740741</v>
      </c>
      <c r="C1272">
        <v>80</v>
      </c>
      <c r="D1272">
        <v>79.938339232999994</v>
      </c>
      <c r="E1272">
        <v>50</v>
      </c>
      <c r="F1272">
        <v>49.176055908000002</v>
      </c>
      <c r="G1272">
        <v>1333.8371582</v>
      </c>
      <c r="H1272">
        <v>1332.8453368999999</v>
      </c>
      <c r="I1272">
        <v>1329.6475829999999</v>
      </c>
      <c r="J1272">
        <v>1329.1486815999999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1166.4455989999999</v>
      </c>
      <c r="B1273" s="1">
        <f>DATE(2013,7,10) + TIME(10,41,39)</f>
        <v>41465.445590277777</v>
      </c>
      <c r="C1273">
        <v>80</v>
      </c>
      <c r="D1273">
        <v>79.938316345000004</v>
      </c>
      <c r="E1273">
        <v>50</v>
      </c>
      <c r="F1273">
        <v>49.401332855</v>
      </c>
      <c r="G1273">
        <v>1333.8363036999999</v>
      </c>
      <c r="H1273">
        <v>1332.8464355000001</v>
      </c>
      <c r="I1273">
        <v>1329.6441649999999</v>
      </c>
      <c r="J1273">
        <v>1329.1407471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1168.4618089999999</v>
      </c>
      <c r="B1274" s="1">
        <f>DATE(2013,7,12) + TIME(11,5,0)</f>
        <v>41467.461805555555</v>
      </c>
      <c r="C1274">
        <v>80</v>
      </c>
      <c r="D1274">
        <v>79.938301085999996</v>
      </c>
      <c r="E1274">
        <v>50</v>
      </c>
      <c r="F1274">
        <v>49.673114777000002</v>
      </c>
      <c r="G1274">
        <v>1333.8355713000001</v>
      </c>
      <c r="H1274">
        <v>1332.8474120999999</v>
      </c>
      <c r="I1274">
        <v>1329.6412353999999</v>
      </c>
      <c r="J1274">
        <v>1329.1334228999999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1170.5317210000001</v>
      </c>
      <c r="B1275" s="1">
        <f>DATE(2013,7,14) + TIME(12,45,40)</f>
        <v>41469.531712962962</v>
      </c>
      <c r="C1275">
        <v>80</v>
      </c>
      <c r="D1275">
        <v>79.938293457</v>
      </c>
      <c r="E1275">
        <v>50</v>
      </c>
      <c r="F1275">
        <v>49.996303558000001</v>
      </c>
      <c r="G1275">
        <v>1333.8348389</v>
      </c>
      <c r="H1275">
        <v>1332.8483887</v>
      </c>
      <c r="I1275">
        <v>1329.6386719</v>
      </c>
      <c r="J1275">
        <v>1329.1269531</v>
      </c>
      <c r="K1275">
        <v>550</v>
      </c>
      <c r="L1275">
        <v>0</v>
      </c>
      <c r="M1275">
        <v>0</v>
      </c>
      <c r="N1275">
        <v>550</v>
      </c>
    </row>
    <row r="1276" spans="1:14" x14ac:dyDescent="0.25">
      <c r="A1276">
        <v>1172.652454</v>
      </c>
      <c r="B1276" s="1">
        <f>DATE(2013,7,16) + TIME(15,39,32)</f>
        <v>41471.652453703704</v>
      </c>
      <c r="C1276">
        <v>80</v>
      </c>
      <c r="D1276">
        <v>79.938285828000005</v>
      </c>
      <c r="E1276">
        <v>50</v>
      </c>
      <c r="F1276">
        <v>50.373519897000001</v>
      </c>
      <c r="G1276">
        <v>1333.8339844</v>
      </c>
      <c r="H1276">
        <v>1332.8492432</v>
      </c>
      <c r="I1276">
        <v>1329.6365966999999</v>
      </c>
      <c r="J1276">
        <v>1329.1210937999999</v>
      </c>
      <c r="K1276">
        <v>550</v>
      </c>
      <c r="L1276">
        <v>0</v>
      </c>
      <c r="M1276">
        <v>0</v>
      </c>
      <c r="N1276">
        <v>550</v>
      </c>
    </row>
    <row r="1277" spans="1:14" x14ac:dyDescent="0.25">
      <c r="A1277">
        <v>1174.8138269999999</v>
      </c>
      <c r="B1277" s="1">
        <f>DATE(2013,7,18) + TIME(19,31,54)</f>
        <v>41473.813819444447</v>
      </c>
      <c r="C1277">
        <v>80</v>
      </c>
      <c r="D1277">
        <v>79.938285828000005</v>
      </c>
      <c r="E1277">
        <v>50</v>
      </c>
      <c r="F1277">
        <v>50.805156707999998</v>
      </c>
      <c r="G1277">
        <v>1333.8332519999999</v>
      </c>
      <c r="H1277">
        <v>1332.8502197</v>
      </c>
      <c r="I1277">
        <v>1329.6350098</v>
      </c>
      <c r="J1277">
        <v>1329.1162108999999</v>
      </c>
      <c r="K1277">
        <v>550</v>
      </c>
      <c r="L1277">
        <v>0</v>
      </c>
      <c r="M1277">
        <v>0</v>
      </c>
      <c r="N1277">
        <v>550</v>
      </c>
    </row>
    <row r="1278" spans="1:14" x14ac:dyDescent="0.25">
      <c r="A1278">
        <v>1177.0347360000001</v>
      </c>
      <c r="B1278" s="1">
        <f>DATE(2013,7,21) + TIME(0,50,1)</f>
        <v>41476.034733796296</v>
      </c>
      <c r="C1278">
        <v>80</v>
      </c>
      <c r="D1278">
        <v>79.938293457</v>
      </c>
      <c r="E1278">
        <v>50</v>
      </c>
      <c r="F1278">
        <v>51.292224883999999</v>
      </c>
      <c r="G1278">
        <v>1333.8325195</v>
      </c>
      <c r="H1278">
        <v>1332.8510742000001</v>
      </c>
      <c r="I1278">
        <v>1329.6337891000001</v>
      </c>
      <c r="J1278">
        <v>1329.1120605000001</v>
      </c>
      <c r="K1278">
        <v>550</v>
      </c>
      <c r="L1278">
        <v>0</v>
      </c>
      <c r="M1278">
        <v>0</v>
      </c>
      <c r="N1278">
        <v>550</v>
      </c>
    </row>
    <row r="1279" spans="1:14" x14ac:dyDescent="0.25">
      <c r="A1279">
        <v>1179.3045770000001</v>
      </c>
      <c r="B1279" s="1">
        <f>DATE(2013,7,23) + TIME(7,18,35)</f>
        <v>41478.304571759261</v>
      </c>
      <c r="C1279">
        <v>80</v>
      </c>
      <c r="D1279">
        <v>79.938293457</v>
      </c>
      <c r="E1279">
        <v>50</v>
      </c>
      <c r="F1279">
        <v>51.831283569</v>
      </c>
      <c r="G1279">
        <v>1333.8317870999999</v>
      </c>
      <c r="H1279">
        <v>1332.8519286999999</v>
      </c>
      <c r="I1279">
        <v>1329.6330565999999</v>
      </c>
      <c r="J1279">
        <v>1329.1088867000001</v>
      </c>
      <c r="K1279">
        <v>550</v>
      </c>
      <c r="L1279">
        <v>0</v>
      </c>
      <c r="M1279">
        <v>0</v>
      </c>
      <c r="N1279">
        <v>550</v>
      </c>
    </row>
    <row r="1280" spans="1:14" x14ac:dyDescent="0.25">
      <c r="A1280">
        <v>1181.634875</v>
      </c>
      <c r="B1280" s="1">
        <f>DATE(2013,7,25) + TIME(15,14,13)</f>
        <v>41480.634872685187</v>
      </c>
      <c r="C1280">
        <v>80</v>
      </c>
      <c r="D1280">
        <v>79.938308715999995</v>
      </c>
      <c r="E1280">
        <v>50</v>
      </c>
      <c r="F1280">
        <v>52.417716980000002</v>
      </c>
      <c r="G1280">
        <v>1333.8311768000001</v>
      </c>
      <c r="H1280">
        <v>1332.8527832</v>
      </c>
      <c r="I1280">
        <v>1329.6326904</v>
      </c>
      <c r="J1280">
        <v>1329.1065673999999</v>
      </c>
      <c r="K1280">
        <v>550</v>
      </c>
      <c r="L1280">
        <v>0</v>
      </c>
      <c r="M1280">
        <v>0</v>
      </c>
      <c r="N1280">
        <v>550</v>
      </c>
    </row>
    <row r="1281" spans="1:14" x14ac:dyDescent="0.25">
      <c r="A1281">
        <v>1184.0254130000001</v>
      </c>
      <c r="B1281" s="1">
        <f>DATE(2013,7,28) + TIME(0,36,35)</f>
        <v>41483.025405092594</v>
      </c>
      <c r="C1281">
        <v>80</v>
      </c>
      <c r="D1281">
        <v>79.938323975000003</v>
      </c>
      <c r="E1281">
        <v>50</v>
      </c>
      <c r="F1281">
        <v>53.042835236000002</v>
      </c>
      <c r="G1281">
        <v>1333.8304443</v>
      </c>
      <c r="H1281">
        <v>1332.8536377</v>
      </c>
      <c r="I1281">
        <v>1329.6328125</v>
      </c>
      <c r="J1281">
        <v>1329.1049805</v>
      </c>
      <c r="K1281">
        <v>550</v>
      </c>
      <c r="L1281">
        <v>0</v>
      </c>
      <c r="M1281">
        <v>0</v>
      </c>
      <c r="N1281">
        <v>550</v>
      </c>
    </row>
    <row r="1282" spans="1:14" x14ac:dyDescent="0.25">
      <c r="A1282">
        <v>1186.4742659999999</v>
      </c>
      <c r="B1282" s="1">
        <f>DATE(2013,7,30) + TIME(11,22,56)</f>
        <v>41485.474259259259</v>
      </c>
      <c r="C1282">
        <v>80</v>
      </c>
      <c r="D1282">
        <v>79.938339232999994</v>
      </c>
      <c r="E1282">
        <v>50</v>
      </c>
      <c r="F1282">
        <v>53.696216583000002</v>
      </c>
      <c r="G1282">
        <v>1333.8298339999999</v>
      </c>
      <c r="H1282">
        <v>1332.8544922000001</v>
      </c>
      <c r="I1282">
        <v>1329.6331786999999</v>
      </c>
      <c r="J1282">
        <v>1329.104126</v>
      </c>
      <c r="K1282">
        <v>550</v>
      </c>
      <c r="L1282">
        <v>0</v>
      </c>
      <c r="M1282">
        <v>0</v>
      </c>
      <c r="N1282">
        <v>550</v>
      </c>
    </row>
    <row r="1283" spans="1:14" x14ac:dyDescent="0.25">
      <c r="A1283">
        <v>1188</v>
      </c>
      <c r="B1283" s="1">
        <f>DATE(2013,8,1) + TIME(0,0,0)</f>
        <v>41487</v>
      </c>
      <c r="C1283">
        <v>80</v>
      </c>
      <c r="D1283">
        <v>79.938331603999998</v>
      </c>
      <c r="E1283">
        <v>50</v>
      </c>
      <c r="F1283">
        <v>54.199531555</v>
      </c>
      <c r="G1283">
        <v>1333.8292236</v>
      </c>
      <c r="H1283">
        <v>1332.8553466999999</v>
      </c>
      <c r="I1283">
        <v>1329.6346435999999</v>
      </c>
      <c r="J1283">
        <v>1329.1040039</v>
      </c>
      <c r="K1283">
        <v>550</v>
      </c>
      <c r="L1283">
        <v>0</v>
      </c>
      <c r="M1283">
        <v>0</v>
      </c>
      <c r="N1283">
        <v>550</v>
      </c>
    </row>
    <row r="1284" spans="1:14" x14ac:dyDescent="0.25">
      <c r="A1284">
        <v>1190.5052370000001</v>
      </c>
      <c r="B1284" s="1">
        <f>DATE(2013,8,3) + TIME(12,7,32)</f>
        <v>41489.505231481482</v>
      </c>
      <c r="C1284">
        <v>80</v>
      </c>
      <c r="D1284">
        <v>79.938377380000006</v>
      </c>
      <c r="E1284">
        <v>50</v>
      </c>
      <c r="F1284">
        <v>54.827381133999999</v>
      </c>
      <c r="G1284">
        <v>1333.8288574000001</v>
      </c>
      <c r="H1284">
        <v>1332.8558350000001</v>
      </c>
      <c r="I1284">
        <v>1329.6345214999999</v>
      </c>
      <c r="J1284">
        <v>1329.1043701000001</v>
      </c>
      <c r="K1284">
        <v>550</v>
      </c>
      <c r="L1284">
        <v>0</v>
      </c>
      <c r="M1284">
        <v>0</v>
      </c>
      <c r="N1284">
        <v>550</v>
      </c>
    </row>
    <row r="1285" spans="1:14" x14ac:dyDescent="0.25">
      <c r="A1285">
        <v>1193.157551</v>
      </c>
      <c r="B1285" s="1">
        <f>DATE(2013,8,6) + TIME(3,46,52)</f>
        <v>41492.157546296294</v>
      </c>
      <c r="C1285">
        <v>80</v>
      </c>
      <c r="D1285">
        <v>79.938415527000004</v>
      </c>
      <c r="E1285">
        <v>50</v>
      </c>
      <c r="F1285">
        <v>55.489887238000001</v>
      </c>
      <c r="G1285">
        <v>1333.8282471</v>
      </c>
      <c r="H1285">
        <v>1332.8566894999999</v>
      </c>
      <c r="I1285">
        <v>1329.6357422000001</v>
      </c>
      <c r="J1285">
        <v>1329.1048584</v>
      </c>
      <c r="K1285">
        <v>550</v>
      </c>
      <c r="L1285">
        <v>0</v>
      </c>
      <c r="M1285">
        <v>0</v>
      </c>
      <c r="N1285">
        <v>550</v>
      </c>
    </row>
    <row r="1286" spans="1:14" x14ac:dyDescent="0.25">
      <c r="A1286">
        <v>1195.871171</v>
      </c>
      <c r="B1286" s="1">
        <f>DATE(2013,8,8) + TIME(20,54,29)</f>
        <v>41494.871168981481</v>
      </c>
      <c r="C1286">
        <v>80</v>
      </c>
      <c r="D1286">
        <v>79.938446045000006</v>
      </c>
      <c r="E1286">
        <v>50</v>
      </c>
      <c r="F1286">
        <v>56.164913177000003</v>
      </c>
      <c r="G1286">
        <v>1333.8276367000001</v>
      </c>
      <c r="H1286">
        <v>1332.8575439000001</v>
      </c>
      <c r="I1286">
        <v>1329.6373291</v>
      </c>
      <c r="J1286">
        <v>1329.105957</v>
      </c>
      <c r="K1286">
        <v>550</v>
      </c>
      <c r="L1286">
        <v>0</v>
      </c>
      <c r="M1286">
        <v>0</v>
      </c>
      <c r="N1286">
        <v>550</v>
      </c>
    </row>
    <row r="1287" spans="1:14" x14ac:dyDescent="0.25">
      <c r="A1287">
        <v>1198.647252</v>
      </c>
      <c r="B1287" s="1">
        <f>DATE(2013,8,11) + TIME(15,32,2)</f>
        <v>41497.647245370368</v>
      </c>
      <c r="C1287">
        <v>80</v>
      </c>
      <c r="D1287">
        <v>79.938491821</v>
      </c>
      <c r="E1287">
        <v>50</v>
      </c>
      <c r="F1287">
        <v>56.837413787999999</v>
      </c>
      <c r="G1287">
        <v>1333.8270264</v>
      </c>
      <c r="H1287">
        <v>1332.8582764</v>
      </c>
      <c r="I1287">
        <v>1329.6390381000001</v>
      </c>
      <c r="J1287">
        <v>1329.1074219</v>
      </c>
      <c r="K1287">
        <v>550</v>
      </c>
      <c r="L1287">
        <v>0</v>
      </c>
      <c r="M1287">
        <v>0</v>
      </c>
      <c r="N1287">
        <v>550</v>
      </c>
    </row>
    <row r="1288" spans="1:14" x14ac:dyDescent="0.25">
      <c r="A1288">
        <v>1201.5355509999999</v>
      </c>
      <c r="B1288" s="1">
        <f>DATE(2013,8,14) + TIME(12,51,11)</f>
        <v>41500.535543981481</v>
      </c>
      <c r="C1288">
        <v>80</v>
      </c>
      <c r="D1288">
        <v>79.938529967999997</v>
      </c>
      <c r="E1288">
        <v>50</v>
      </c>
      <c r="F1288">
        <v>57.502124786000003</v>
      </c>
      <c r="G1288">
        <v>1333.8265381000001</v>
      </c>
      <c r="H1288">
        <v>1332.8591309000001</v>
      </c>
      <c r="I1288">
        <v>1329.6409911999999</v>
      </c>
      <c r="J1288">
        <v>1329.1092529</v>
      </c>
      <c r="K1288">
        <v>550</v>
      </c>
      <c r="L1288">
        <v>0</v>
      </c>
      <c r="M1288">
        <v>0</v>
      </c>
      <c r="N1288">
        <v>550</v>
      </c>
    </row>
    <row r="1289" spans="1:14" x14ac:dyDescent="0.25">
      <c r="A1289">
        <v>1204.539444</v>
      </c>
      <c r="B1289" s="1">
        <f>DATE(2013,8,17) + TIME(12,56,47)</f>
        <v>41503.53943287037</v>
      </c>
      <c r="C1289">
        <v>80</v>
      </c>
      <c r="D1289">
        <v>79.938583374000004</v>
      </c>
      <c r="E1289">
        <v>50</v>
      </c>
      <c r="F1289">
        <v>58.153320311999998</v>
      </c>
      <c r="G1289">
        <v>1333.8259277</v>
      </c>
      <c r="H1289">
        <v>1332.8599853999999</v>
      </c>
      <c r="I1289">
        <v>1329.6430664</v>
      </c>
      <c r="J1289">
        <v>1329.1113281</v>
      </c>
      <c r="K1289">
        <v>550</v>
      </c>
      <c r="L1289">
        <v>0</v>
      </c>
      <c r="M1289">
        <v>0</v>
      </c>
      <c r="N1289">
        <v>550</v>
      </c>
    </row>
    <row r="1290" spans="1:14" x14ac:dyDescent="0.25">
      <c r="A1290">
        <v>1207.5927750000001</v>
      </c>
      <c r="B1290" s="1">
        <f>DATE(2013,8,20) + TIME(14,13,35)</f>
        <v>41506.592766203707</v>
      </c>
      <c r="C1290">
        <v>80</v>
      </c>
      <c r="D1290">
        <v>79.938636779999996</v>
      </c>
      <c r="E1290">
        <v>50</v>
      </c>
      <c r="F1290">
        <v>58.779533385999997</v>
      </c>
      <c r="G1290">
        <v>1333.8254394999999</v>
      </c>
      <c r="H1290">
        <v>1332.8608397999999</v>
      </c>
      <c r="I1290">
        <v>1329.6453856999999</v>
      </c>
      <c r="J1290">
        <v>1329.1136475000001</v>
      </c>
      <c r="K1290">
        <v>550</v>
      </c>
      <c r="L1290">
        <v>0</v>
      </c>
      <c r="M1290">
        <v>0</v>
      </c>
      <c r="N1290">
        <v>550</v>
      </c>
    </row>
    <row r="1291" spans="1:14" x14ac:dyDescent="0.25">
      <c r="A1291">
        <v>1210.748102</v>
      </c>
      <c r="B1291" s="1">
        <f>DATE(2013,8,23) + TIME(17,57,15)</f>
        <v>41509.748090277775</v>
      </c>
      <c r="C1291">
        <v>80</v>
      </c>
      <c r="D1291">
        <v>79.938697814999998</v>
      </c>
      <c r="E1291">
        <v>50</v>
      </c>
      <c r="F1291">
        <v>59.378166198999999</v>
      </c>
      <c r="G1291">
        <v>1333.8249512</v>
      </c>
      <c r="H1291">
        <v>1332.8615723</v>
      </c>
      <c r="I1291">
        <v>1329.6477050999999</v>
      </c>
      <c r="J1291">
        <v>1329.1159668</v>
      </c>
      <c r="K1291">
        <v>550</v>
      </c>
      <c r="L1291">
        <v>0</v>
      </c>
      <c r="M1291">
        <v>0</v>
      </c>
      <c r="N1291">
        <v>550</v>
      </c>
    </row>
    <row r="1292" spans="1:14" x14ac:dyDescent="0.25">
      <c r="A1292">
        <v>1213.97964</v>
      </c>
      <c r="B1292" s="1">
        <f>DATE(2013,8,26) + TIME(23,30,40)</f>
        <v>41512.979629629626</v>
      </c>
      <c r="C1292">
        <v>80</v>
      </c>
      <c r="D1292">
        <v>79.938758849999999</v>
      </c>
      <c r="E1292">
        <v>50</v>
      </c>
      <c r="F1292">
        <v>59.944862366000002</v>
      </c>
      <c r="G1292">
        <v>1333.8245850000001</v>
      </c>
      <c r="H1292">
        <v>1332.8624268000001</v>
      </c>
      <c r="I1292">
        <v>1329.6502685999999</v>
      </c>
      <c r="J1292">
        <v>1329.1184082</v>
      </c>
      <c r="K1292">
        <v>550</v>
      </c>
      <c r="L1292">
        <v>0</v>
      </c>
      <c r="M1292">
        <v>0</v>
      </c>
      <c r="N1292">
        <v>550</v>
      </c>
    </row>
    <row r="1293" spans="1:14" x14ac:dyDescent="0.25">
      <c r="A1293">
        <v>1217.3501960000001</v>
      </c>
      <c r="B1293" s="1">
        <f>DATE(2013,8,30) + TIME(8,24,16)</f>
        <v>41516.350185185183</v>
      </c>
      <c r="C1293">
        <v>80</v>
      </c>
      <c r="D1293">
        <v>79.938827515</v>
      </c>
      <c r="E1293">
        <v>50</v>
      </c>
      <c r="F1293">
        <v>60.481815337999997</v>
      </c>
      <c r="G1293">
        <v>1333.8240966999999</v>
      </c>
      <c r="H1293">
        <v>1332.8632812000001</v>
      </c>
      <c r="I1293">
        <v>1329.6527100000001</v>
      </c>
      <c r="J1293">
        <v>1329.1209716999999</v>
      </c>
      <c r="K1293">
        <v>550</v>
      </c>
      <c r="L1293">
        <v>0</v>
      </c>
      <c r="M1293">
        <v>0</v>
      </c>
      <c r="N1293">
        <v>550</v>
      </c>
    </row>
    <row r="1294" spans="1:14" x14ac:dyDescent="0.25">
      <c r="A1294">
        <v>1219</v>
      </c>
      <c r="B1294" s="1">
        <f>DATE(2013,9,1) + TIME(0,0,0)</f>
        <v>41518</v>
      </c>
      <c r="C1294">
        <v>80</v>
      </c>
      <c r="D1294">
        <v>79.938835143999995</v>
      </c>
      <c r="E1294">
        <v>50</v>
      </c>
      <c r="F1294">
        <v>60.831676483000003</v>
      </c>
      <c r="G1294">
        <v>1333.8237305</v>
      </c>
      <c r="H1294">
        <v>1332.8641356999999</v>
      </c>
      <c r="I1294">
        <v>1329.6558838000001</v>
      </c>
      <c r="J1294">
        <v>1329.1235352000001</v>
      </c>
      <c r="K1294">
        <v>550</v>
      </c>
      <c r="L1294">
        <v>0</v>
      </c>
      <c r="M1294">
        <v>0</v>
      </c>
      <c r="N1294">
        <v>550</v>
      </c>
    </row>
    <row r="1295" spans="1:14" x14ac:dyDescent="0.25">
      <c r="A1295">
        <v>1222.4634209999999</v>
      </c>
      <c r="B1295" s="1">
        <f>DATE(2013,9,4) + TIME(11,7,19)</f>
        <v>41521.463414351849</v>
      </c>
      <c r="C1295">
        <v>80</v>
      </c>
      <c r="D1295">
        <v>79.938926696999999</v>
      </c>
      <c r="E1295">
        <v>50</v>
      </c>
      <c r="F1295">
        <v>61.259983063</v>
      </c>
      <c r="G1295">
        <v>1333.8236084</v>
      </c>
      <c r="H1295">
        <v>1332.8645019999999</v>
      </c>
      <c r="I1295">
        <v>1329.6567382999999</v>
      </c>
      <c r="J1295">
        <v>1329.1254882999999</v>
      </c>
      <c r="K1295">
        <v>550</v>
      </c>
      <c r="L1295">
        <v>0</v>
      </c>
      <c r="M1295">
        <v>0</v>
      </c>
      <c r="N1295">
        <v>550</v>
      </c>
    </row>
    <row r="1296" spans="1:14" x14ac:dyDescent="0.25">
      <c r="A1296">
        <v>1226.0858459999999</v>
      </c>
      <c r="B1296" s="1">
        <f>DATE(2013,9,8) + TIME(2,3,37)</f>
        <v>41525.085844907408</v>
      </c>
      <c r="C1296">
        <v>80</v>
      </c>
      <c r="D1296">
        <v>79.939018250000004</v>
      </c>
      <c r="E1296">
        <v>50</v>
      </c>
      <c r="F1296">
        <v>61.695888519</v>
      </c>
      <c r="G1296">
        <v>1333.8231201000001</v>
      </c>
      <c r="H1296">
        <v>1332.8652344</v>
      </c>
      <c r="I1296">
        <v>1329.6591797000001</v>
      </c>
      <c r="J1296">
        <v>1329.1274414</v>
      </c>
      <c r="K1296">
        <v>550</v>
      </c>
      <c r="L1296">
        <v>0</v>
      </c>
      <c r="M1296">
        <v>0</v>
      </c>
      <c r="N1296">
        <v>550</v>
      </c>
    </row>
    <row r="1297" spans="1:14" x14ac:dyDescent="0.25">
      <c r="A1297">
        <v>1229.8656080000001</v>
      </c>
      <c r="B1297" s="1">
        <f>DATE(2013,9,11) + TIME(20,46,28)</f>
        <v>41528.865601851852</v>
      </c>
      <c r="C1297">
        <v>80</v>
      </c>
      <c r="D1297">
        <v>79.939102172999995</v>
      </c>
      <c r="E1297">
        <v>50</v>
      </c>
      <c r="F1297">
        <v>62.122634888</v>
      </c>
      <c r="G1297">
        <v>1333.8227539</v>
      </c>
      <c r="H1297">
        <v>1332.8660889</v>
      </c>
      <c r="I1297">
        <v>1329.6618652</v>
      </c>
      <c r="J1297">
        <v>1329.1296387</v>
      </c>
      <c r="K1297">
        <v>550</v>
      </c>
      <c r="L1297">
        <v>0</v>
      </c>
      <c r="M1297">
        <v>0</v>
      </c>
      <c r="N1297">
        <v>550</v>
      </c>
    </row>
    <row r="1298" spans="1:14" x14ac:dyDescent="0.25">
      <c r="A1298">
        <v>1233.7869800000001</v>
      </c>
      <c r="B1298" s="1">
        <f>DATE(2013,9,15) + TIME(18,53,15)</f>
        <v>41532.786979166667</v>
      </c>
      <c r="C1298">
        <v>80</v>
      </c>
      <c r="D1298">
        <v>79.939193725999999</v>
      </c>
      <c r="E1298">
        <v>50</v>
      </c>
      <c r="F1298">
        <v>62.532363891999999</v>
      </c>
      <c r="G1298">
        <v>1333.8223877</v>
      </c>
      <c r="H1298">
        <v>1332.8668213000001</v>
      </c>
      <c r="I1298">
        <v>1329.6644286999999</v>
      </c>
      <c r="J1298">
        <v>1329.1319579999999</v>
      </c>
      <c r="K1298">
        <v>550</v>
      </c>
      <c r="L1298">
        <v>0</v>
      </c>
      <c r="M1298">
        <v>0</v>
      </c>
      <c r="N1298">
        <v>550</v>
      </c>
    </row>
    <row r="1299" spans="1:14" x14ac:dyDescent="0.25">
      <c r="A1299">
        <v>1237.812019</v>
      </c>
      <c r="B1299" s="1">
        <f>DATE(2013,9,19) + TIME(19,29,18)</f>
        <v>41536.812013888892</v>
      </c>
      <c r="C1299">
        <v>80</v>
      </c>
      <c r="D1299">
        <v>79.939292907999999</v>
      </c>
      <c r="E1299">
        <v>50</v>
      </c>
      <c r="F1299">
        <v>62.920383452999999</v>
      </c>
      <c r="G1299">
        <v>1333.8221435999999</v>
      </c>
      <c r="H1299">
        <v>1332.8676757999999</v>
      </c>
      <c r="I1299">
        <v>1329.6671143000001</v>
      </c>
      <c r="J1299">
        <v>1329.1342772999999</v>
      </c>
      <c r="K1299">
        <v>550</v>
      </c>
      <c r="L1299">
        <v>0</v>
      </c>
      <c r="M1299">
        <v>0</v>
      </c>
      <c r="N1299">
        <v>550</v>
      </c>
    </row>
    <row r="1300" spans="1:14" x14ac:dyDescent="0.25">
      <c r="A1300">
        <v>1242.011827</v>
      </c>
      <c r="B1300" s="1">
        <f>DATE(2013,9,24) + TIME(0,17,1)</f>
        <v>41541.011817129627</v>
      </c>
      <c r="C1300">
        <v>80</v>
      </c>
      <c r="D1300">
        <v>79.939392089999998</v>
      </c>
      <c r="E1300">
        <v>50</v>
      </c>
      <c r="F1300">
        <v>63.286922455000003</v>
      </c>
      <c r="G1300">
        <v>1333.8217772999999</v>
      </c>
      <c r="H1300">
        <v>1332.8685303</v>
      </c>
      <c r="I1300">
        <v>1329.6697998</v>
      </c>
      <c r="J1300">
        <v>1329.1364745999999</v>
      </c>
      <c r="K1300">
        <v>550</v>
      </c>
      <c r="L1300">
        <v>0</v>
      </c>
      <c r="M1300">
        <v>0</v>
      </c>
      <c r="N1300">
        <v>550</v>
      </c>
    </row>
    <row r="1301" spans="1:14" x14ac:dyDescent="0.25">
      <c r="A1301">
        <v>1246.3347220000001</v>
      </c>
      <c r="B1301" s="1">
        <f>DATE(2013,9,28) + TIME(8,1,59)</f>
        <v>41545.334710648145</v>
      </c>
      <c r="C1301">
        <v>80</v>
      </c>
      <c r="D1301">
        <v>79.939498900999993</v>
      </c>
      <c r="E1301">
        <v>50</v>
      </c>
      <c r="F1301">
        <v>63.632694244</v>
      </c>
      <c r="G1301">
        <v>1333.8215332</v>
      </c>
      <c r="H1301">
        <v>1332.8693848</v>
      </c>
      <c r="I1301">
        <v>1329.6723632999999</v>
      </c>
      <c r="J1301">
        <v>1329.1386719</v>
      </c>
      <c r="K1301">
        <v>550</v>
      </c>
      <c r="L1301">
        <v>0</v>
      </c>
      <c r="M1301">
        <v>0</v>
      </c>
      <c r="N1301">
        <v>550</v>
      </c>
    </row>
    <row r="1302" spans="1:14" x14ac:dyDescent="0.25">
      <c r="A1302">
        <v>1249</v>
      </c>
      <c r="B1302" s="1">
        <f>DATE(2013,10,1) + TIME(0,0,0)</f>
        <v>41548</v>
      </c>
      <c r="C1302">
        <v>80</v>
      </c>
      <c r="D1302">
        <v>79.939552307</v>
      </c>
      <c r="E1302">
        <v>50</v>
      </c>
      <c r="F1302">
        <v>63.897857666</v>
      </c>
      <c r="G1302">
        <v>1333.8212891000001</v>
      </c>
      <c r="H1302">
        <v>1332.8702393000001</v>
      </c>
      <c r="I1302">
        <v>1329.6751709</v>
      </c>
      <c r="J1302">
        <v>1329.1407471</v>
      </c>
      <c r="K1302">
        <v>550</v>
      </c>
      <c r="L1302">
        <v>0</v>
      </c>
      <c r="M1302">
        <v>0</v>
      </c>
      <c r="N1302">
        <v>550</v>
      </c>
    </row>
    <row r="1303" spans="1:14" x14ac:dyDescent="0.25">
      <c r="A1303">
        <v>1253.477286</v>
      </c>
      <c r="B1303" s="1">
        <f>DATE(2013,10,5) + TIME(11,27,17)</f>
        <v>41552.477280092593</v>
      </c>
      <c r="C1303">
        <v>80</v>
      </c>
      <c r="D1303">
        <v>79.939682007000002</v>
      </c>
      <c r="E1303">
        <v>50</v>
      </c>
      <c r="F1303">
        <v>64.166061400999993</v>
      </c>
      <c r="G1303">
        <v>1333.8211670000001</v>
      </c>
      <c r="H1303">
        <v>1332.8707274999999</v>
      </c>
      <c r="I1303">
        <v>1329.6766356999999</v>
      </c>
      <c r="J1303">
        <v>1329.1425781</v>
      </c>
      <c r="K1303">
        <v>550</v>
      </c>
      <c r="L1303">
        <v>0</v>
      </c>
      <c r="M1303">
        <v>0</v>
      </c>
      <c r="N1303">
        <v>550</v>
      </c>
    </row>
    <row r="1304" spans="1:14" x14ac:dyDescent="0.25">
      <c r="A1304">
        <v>1258.2668659999999</v>
      </c>
      <c r="B1304" s="1">
        <f>DATE(2013,10,10) + TIME(6,24,17)</f>
        <v>41557.266863425924</v>
      </c>
      <c r="C1304">
        <v>80</v>
      </c>
      <c r="D1304">
        <v>79.939811707000004</v>
      </c>
      <c r="E1304">
        <v>50</v>
      </c>
      <c r="F1304">
        <v>64.447631835999999</v>
      </c>
      <c r="G1304">
        <v>1333.8209228999999</v>
      </c>
      <c r="H1304">
        <v>1332.8714600000001</v>
      </c>
      <c r="I1304">
        <v>1329.6788329999999</v>
      </c>
      <c r="J1304">
        <v>1329.1437988</v>
      </c>
      <c r="K1304">
        <v>550</v>
      </c>
      <c r="L1304">
        <v>0</v>
      </c>
      <c r="M1304">
        <v>0</v>
      </c>
      <c r="N1304">
        <v>550</v>
      </c>
    </row>
    <row r="1305" spans="1:14" x14ac:dyDescent="0.25">
      <c r="A1305">
        <v>1263.2561929999999</v>
      </c>
      <c r="B1305" s="1">
        <f>DATE(2013,10,15) + TIME(6,8,55)</f>
        <v>41562.256192129629</v>
      </c>
      <c r="C1305">
        <v>80</v>
      </c>
      <c r="D1305">
        <v>79.939941406000003</v>
      </c>
      <c r="E1305">
        <v>50</v>
      </c>
      <c r="F1305">
        <v>64.727844238000003</v>
      </c>
      <c r="G1305">
        <v>1333.8206786999999</v>
      </c>
      <c r="H1305">
        <v>1332.8723144999999</v>
      </c>
      <c r="I1305">
        <v>1329.6811522999999</v>
      </c>
      <c r="J1305">
        <v>1329.1453856999999</v>
      </c>
      <c r="K1305">
        <v>550</v>
      </c>
      <c r="L1305">
        <v>0</v>
      </c>
      <c r="M1305">
        <v>0</v>
      </c>
      <c r="N1305">
        <v>550</v>
      </c>
    </row>
    <row r="1306" spans="1:14" x14ac:dyDescent="0.25">
      <c r="A1306">
        <v>1268.4238069999999</v>
      </c>
      <c r="B1306" s="1">
        <f>DATE(2013,10,20) + TIME(10,10,16)</f>
        <v>41567.423796296294</v>
      </c>
      <c r="C1306">
        <v>80</v>
      </c>
      <c r="D1306">
        <v>79.940078735</v>
      </c>
      <c r="E1306">
        <v>50</v>
      </c>
      <c r="F1306">
        <v>64.998779296999999</v>
      </c>
      <c r="G1306">
        <v>1333.8204346</v>
      </c>
      <c r="H1306">
        <v>1332.8731689000001</v>
      </c>
      <c r="I1306">
        <v>1329.6835937999999</v>
      </c>
      <c r="J1306">
        <v>1329.1469727000001</v>
      </c>
      <c r="K1306">
        <v>550</v>
      </c>
      <c r="L1306">
        <v>0</v>
      </c>
      <c r="M1306">
        <v>0</v>
      </c>
      <c r="N1306">
        <v>550</v>
      </c>
    </row>
    <row r="1307" spans="1:14" x14ac:dyDescent="0.25">
      <c r="A1307">
        <v>1273.778957</v>
      </c>
      <c r="B1307" s="1">
        <f>DATE(2013,10,25) + TIME(18,41,41)</f>
        <v>41572.778946759259</v>
      </c>
      <c r="C1307">
        <v>80</v>
      </c>
      <c r="D1307">
        <v>79.940223693999997</v>
      </c>
      <c r="E1307">
        <v>50</v>
      </c>
      <c r="F1307">
        <v>65.257865906000006</v>
      </c>
      <c r="G1307">
        <v>1333.8203125</v>
      </c>
      <c r="H1307">
        <v>1332.8740233999999</v>
      </c>
      <c r="I1307">
        <v>1329.6859131000001</v>
      </c>
      <c r="J1307">
        <v>1329.1484375</v>
      </c>
      <c r="K1307">
        <v>550</v>
      </c>
      <c r="L1307">
        <v>0</v>
      </c>
      <c r="M1307">
        <v>0</v>
      </c>
      <c r="N1307">
        <v>550</v>
      </c>
    </row>
    <row r="1308" spans="1:14" x14ac:dyDescent="0.25">
      <c r="A1308">
        <v>1279.4293560000001</v>
      </c>
      <c r="B1308" s="1">
        <f>DATE(2013,10,31) + TIME(10,18,16)</f>
        <v>41578.429351851853</v>
      </c>
      <c r="C1308">
        <v>80</v>
      </c>
      <c r="D1308">
        <v>79.940376282000003</v>
      </c>
      <c r="E1308">
        <v>50</v>
      </c>
      <c r="F1308">
        <v>65.505867003999995</v>
      </c>
      <c r="G1308">
        <v>1333.8201904</v>
      </c>
      <c r="H1308">
        <v>1332.8748779</v>
      </c>
      <c r="I1308">
        <v>1329.6881103999999</v>
      </c>
      <c r="J1308">
        <v>1329.1499022999999</v>
      </c>
      <c r="K1308">
        <v>550</v>
      </c>
      <c r="L1308">
        <v>0</v>
      </c>
      <c r="M1308">
        <v>0</v>
      </c>
      <c r="N1308">
        <v>550</v>
      </c>
    </row>
    <row r="1309" spans="1:14" x14ac:dyDescent="0.25">
      <c r="A1309">
        <v>1280</v>
      </c>
      <c r="B1309" s="1">
        <f>DATE(2013,11,1) + TIME(0,0,0)</f>
        <v>41579</v>
      </c>
      <c r="C1309">
        <v>80</v>
      </c>
      <c r="D1309">
        <v>79.940368652000004</v>
      </c>
      <c r="E1309">
        <v>50</v>
      </c>
      <c r="F1309">
        <v>65.573234557999996</v>
      </c>
      <c r="G1309">
        <v>1333.8200684000001</v>
      </c>
      <c r="H1309">
        <v>1332.8758545000001</v>
      </c>
      <c r="I1309">
        <v>1329.690918</v>
      </c>
      <c r="J1309">
        <v>1329.1514893000001</v>
      </c>
      <c r="K1309">
        <v>550</v>
      </c>
      <c r="L1309">
        <v>0</v>
      </c>
      <c r="M1309">
        <v>0</v>
      </c>
      <c r="N1309">
        <v>550</v>
      </c>
    </row>
    <row r="1310" spans="1:14" x14ac:dyDescent="0.25">
      <c r="A1310">
        <v>1280.0000010000001</v>
      </c>
      <c r="B1310" s="1">
        <f>DATE(2013,11,1) + TIME(0,0,0)</f>
        <v>41579</v>
      </c>
      <c r="C1310">
        <v>80</v>
      </c>
      <c r="D1310">
        <v>79.940338135000005</v>
      </c>
      <c r="E1310">
        <v>50</v>
      </c>
      <c r="F1310">
        <v>65.573257446</v>
      </c>
      <c r="G1310">
        <v>1332.6577147999999</v>
      </c>
      <c r="H1310">
        <v>1332.9165039</v>
      </c>
      <c r="I1310">
        <v>1330.5360106999999</v>
      </c>
      <c r="J1310">
        <v>1329.9246826000001</v>
      </c>
      <c r="K1310">
        <v>0</v>
      </c>
      <c r="L1310">
        <v>550</v>
      </c>
      <c r="M1310">
        <v>550</v>
      </c>
      <c r="N1310">
        <v>0</v>
      </c>
    </row>
    <row r="1311" spans="1:14" x14ac:dyDescent="0.25">
      <c r="A1311">
        <v>1280.000004</v>
      </c>
      <c r="B1311" s="1">
        <f>DATE(2013,11,1) + TIME(0,0,0)</f>
        <v>41579</v>
      </c>
      <c r="C1311">
        <v>80</v>
      </c>
      <c r="D1311">
        <v>79.940299988000007</v>
      </c>
      <c r="E1311">
        <v>50</v>
      </c>
      <c r="F1311">
        <v>65.573280334000003</v>
      </c>
      <c r="G1311">
        <v>1332.3699951000001</v>
      </c>
      <c r="H1311">
        <v>1332.6817627</v>
      </c>
      <c r="I1311">
        <v>1330.8211670000001</v>
      </c>
      <c r="J1311">
        <v>1330.2427978999999</v>
      </c>
      <c r="K1311">
        <v>0</v>
      </c>
      <c r="L1311">
        <v>550</v>
      </c>
      <c r="M1311">
        <v>550</v>
      </c>
      <c r="N1311">
        <v>0</v>
      </c>
    </row>
    <row r="1312" spans="1:14" x14ac:dyDescent="0.25">
      <c r="A1312">
        <v>1280.0000130000001</v>
      </c>
      <c r="B1312" s="1">
        <f>DATE(2013,11,1) + TIME(0,0,1)</f>
        <v>41579.000011574077</v>
      </c>
      <c r="C1312">
        <v>80</v>
      </c>
      <c r="D1312">
        <v>79.940261840999995</v>
      </c>
      <c r="E1312">
        <v>50</v>
      </c>
      <c r="F1312">
        <v>65.573257446</v>
      </c>
      <c r="G1312">
        <v>1332.083374</v>
      </c>
      <c r="H1312">
        <v>1332.3907471</v>
      </c>
      <c r="I1312">
        <v>1331.1723632999999</v>
      </c>
      <c r="J1312">
        <v>1330.5860596</v>
      </c>
      <c r="K1312">
        <v>0</v>
      </c>
      <c r="L1312">
        <v>550</v>
      </c>
      <c r="M1312">
        <v>550</v>
      </c>
      <c r="N1312">
        <v>0</v>
      </c>
    </row>
    <row r="1313" spans="1:14" x14ac:dyDescent="0.25">
      <c r="A1313">
        <v>1280.0000399999999</v>
      </c>
      <c r="B1313" s="1">
        <f>DATE(2013,11,1) + TIME(0,0,3)</f>
        <v>41579.000034722223</v>
      </c>
      <c r="C1313">
        <v>80</v>
      </c>
      <c r="D1313">
        <v>79.940216063999998</v>
      </c>
      <c r="E1313">
        <v>50</v>
      </c>
      <c r="F1313">
        <v>65.573097228999998</v>
      </c>
      <c r="G1313">
        <v>1331.8173827999999</v>
      </c>
      <c r="H1313">
        <v>1332.0821533000001</v>
      </c>
      <c r="I1313">
        <v>1331.5308838000001</v>
      </c>
      <c r="J1313">
        <v>1330.9283447</v>
      </c>
      <c r="K1313">
        <v>0</v>
      </c>
      <c r="L1313">
        <v>550</v>
      </c>
      <c r="M1313">
        <v>550</v>
      </c>
      <c r="N1313">
        <v>0</v>
      </c>
    </row>
    <row r="1314" spans="1:14" x14ac:dyDescent="0.25">
      <c r="A1314">
        <v>1280.000121</v>
      </c>
      <c r="B1314" s="1">
        <f>DATE(2013,11,1) + TIME(0,0,10)</f>
        <v>41579.000115740739</v>
      </c>
      <c r="C1314">
        <v>80</v>
      </c>
      <c r="D1314">
        <v>79.940177917</v>
      </c>
      <c r="E1314">
        <v>50</v>
      </c>
      <c r="F1314">
        <v>65.572502135999997</v>
      </c>
      <c r="G1314">
        <v>1331.5732422000001</v>
      </c>
      <c r="H1314">
        <v>1331.7774658000001</v>
      </c>
      <c r="I1314">
        <v>1331.8702393000001</v>
      </c>
      <c r="J1314">
        <v>1331.2476807</v>
      </c>
      <c r="K1314">
        <v>0</v>
      </c>
      <c r="L1314">
        <v>550</v>
      </c>
      <c r="M1314">
        <v>550</v>
      </c>
      <c r="N1314">
        <v>0</v>
      </c>
    </row>
    <row r="1315" spans="1:14" x14ac:dyDescent="0.25">
      <c r="A1315">
        <v>1280.000364</v>
      </c>
      <c r="B1315" s="1">
        <f>DATE(2013,11,1) + TIME(0,0,31)</f>
        <v>41579.000358796293</v>
      </c>
      <c r="C1315">
        <v>80</v>
      </c>
      <c r="D1315">
        <v>79.940139771000005</v>
      </c>
      <c r="E1315">
        <v>50</v>
      </c>
      <c r="F1315">
        <v>65.570564270000006</v>
      </c>
      <c r="G1315">
        <v>1331.3770752</v>
      </c>
      <c r="H1315">
        <v>1331.5174560999999</v>
      </c>
      <c r="I1315">
        <v>1332.1514893000001</v>
      </c>
      <c r="J1315">
        <v>1331.5057373</v>
      </c>
      <c r="K1315">
        <v>0</v>
      </c>
      <c r="L1315">
        <v>550</v>
      </c>
      <c r="M1315">
        <v>550</v>
      </c>
      <c r="N1315">
        <v>0</v>
      </c>
    </row>
    <row r="1316" spans="1:14" x14ac:dyDescent="0.25">
      <c r="A1316">
        <v>1280.0010930000001</v>
      </c>
      <c r="B1316" s="1">
        <f>DATE(2013,11,1) + TIME(0,1,34)</f>
        <v>41579.001087962963</v>
      </c>
      <c r="C1316">
        <v>80</v>
      </c>
      <c r="D1316">
        <v>79.940078735</v>
      </c>
      <c r="E1316">
        <v>50</v>
      </c>
      <c r="F1316">
        <v>65.564498900999993</v>
      </c>
      <c r="G1316">
        <v>1331.2474365</v>
      </c>
      <c r="H1316">
        <v>1331.3543701000001</v>
      </c>
      <c r="I1316">
        <v>1332.3353271000001</v>
      </c>
      <c r="J1316">
        <v>1331.6724853999999</v>
      </c>
      <c r="K1316">
        <v>0</v>
      </c>
      <c r="L1316">
        <v>550</v>
      </c>
      <c r="M1316">
        <v>550</v>
      </c>
      <c r="N1316">
        <v>0</v>
      </c>
    </row>
    <row r="1317" spans="1:14" x14ac:dyDescent="0.25">
      <c r="A1317">
        <v>1280.0032799999999</v>
      </c>
      <c r="B1317" s="1">
        <f>DATE(2013,11,1) + TIME(0,4,43)</f>
        <v>41579.003275462965</v>
      </c>
      <c r="C1317">
        <v>80</v>
      </c>
      <c r="D1317">
        <v>79.939941406000003</v>
      </c>
      <c r="E1317">
        <v>50</v>
      </c>
      <c r="F1317">
        <v>65.546066284000005</v>
      </c>
      <c r="G1317">
        <v>1331.1787108999999</v>
      </c>
      <c r="H1317">
        <v>1331.2741699000001</v>
      </c>
      <c r="I1317">
        <v>1332.4274902</v>
      </c>
      <c r="J1317">
        <v>1331.7569579999999</v>
      </c>
      <c r="K1317">
        <v>0</v>
      </c>
      <c r="L1317">
        <v>550</v>
      </c>
      <c r="M1317">
        <v>550</v>
      </c>
      <c r="N1317">
        <v>0</v>
      </c>
    </row>
    <row r="1318" spans="1:14" x14ac:dyDescent="0.25">
      <c r="A1318">
        <v>1280.0098410000001</v>
      </c>
      <c r="B1318" s="1">
        <f>DATE(2013,11,1) + TIME(0,14,10)</f>
        <v>41579.009837962964</v>
      </c>
      <c r="C1318">
        <v>80</v>
      </c>
      <c r="D1318">
        <v>79.939559936999999</v>
      </c>
      <c r="E1318">
        <v>50</v>
      </c>
      <c r="F1318">
        <v>65.490791321000003</v>
      </c>
      <c r="G1318">
        <v>1331.1505127</v>
      </c>
      <c r="H1318">
        <v>1331.2429199000001</v>
      </c>
      <c r="I1318">
        <v>1332.4581298999999</v>
      </c>
      <c r="J1318">
        <v>1331.7851562000001</v>
      </c>
      <c r="K1318">
        <v>0</v>
      </c>
      <c r="L1318">
        <v>550</v>
      </c>
      <c r="M1318">
        <v>550</v>
      </c>
      <c r="N1318">
        <v>0</v>
      </c>
    </row>
    <row r="1319" spans="1:14" x14ac:dyDescent="0.25">
      <c r="A1319">
        <v>1280.029524</v>
      </c>
      <c r="B1319" s="1">
        <f>DATE(2013,11,1) + TIME(0,42,30)</f>
        <v>41579.029513888891</v>
      </c>
      <c r="C1319">
        <v>80</v>
      </c>
      <c r="D1319">
        <v>79.938423157000003</v>
      </c>
      <c r="E1319">
        <v>50</v>
      </c>
      <c r="F1319">
        <v>65.326988220000004</v>
      </c>
      <c r="G1319">
        <v>1331.1429443</v>
      </c>
      <c r="H1319">
        <v>1331.2341309000001</v>
      </c>
      <c r="I1319">
        <v>1332.4615478999999</v>
      </c>
      <c r="J1319">
        <v>1331.7879639</v>
      </c>
      <c r="K1319">
        <v>0</v>
      </c>
      <c r="L1319">
        <v>550</v>
      </c>
      <c r="M1319">
        <v>550</v>
      </c>
      <c r="N1319">
        <v>0</v>
      </c>
    </row>
    <row r="1320" spans="1:14" x14ac:dyDescent="0.25">
      <c r="A1320">
        <v>1280.088573</v>
      </c>
      <c r="B1320" s="1">
        <f>DATE(2013,11,1) + TIME(2,7,32)</f>
        <v>41579.088564814818</v>
      </c>
      <c r="C1320">
        <v>80</v>
      </c>
      <c r="D1320">
        <v>79.935020446999999</v>
      </c>
      <c r="E1320">
        <v>50</v>
      </c>
      <c r="F1320">
        <v>64.853843689000001</v>
      </c>
      <c r="G1320">
        <v>1331.1408690999999</v>
      </c>
      <c r="H1320">
        <v>1331.2293701000001</v>
      </c>
      <c r="I1320">
        <v>1332.4594727000001</v>
      </c>
      <c r="J1320">
        <v>1331.7852783000001</v>
      </c>
      <c r="K1320">
        <v>0</v>
      </c>
      <c r="L1320">
        <v>550</v>
      </c>
      <c r="M1320">
        <v>550</v>
      </c>
      <c r="N1320">
        <v>0</v>
      </c>
    </row>
    <row r="1321" spans="1:14" x14ac:dyDescent="0.25">
      <c r="A1321">
        <v>1280.193663</v>
      </c>
      <c r="B1321" s="1">
        <f>DATE(2013,11,1) + TIME(4,38,52)</f>
        <v>41579.193657407406</v>
      </c>
      <c r="C1321">
        <v>80</v>
      </c>
      <c r="D1321">
        <v>79.928970336999996</v>
      </c>
      <c r="E1321">
        <v>50</v>
      </c>
      <c r="F1321">
        <v>64.065483092999997</v>
      </c>
      <c r="G1321">
        <v>1331.1379394999999</v>
      </c>
      <c r="H1321">
        <v>1331.2193603999999</v>
      </c>
      <c r="I1321">
        <v>1332.4561768000001</v>
      </c>
      <c r="J1321">
        <v>1331.7811279</v>
      </c>
      <c r="K1321">
        <v>0</v>
      </c>
      <c r="L1321">
        <v>550</v>
      </c>
      <c r="M1321">
        <v>550</v>
      </c>
      <c r="N1321">
        <v>0</v>
      </c>
    </row>
    <row r="1322" spans="1:14" x14ac:dyDescent="0.25">
      <c r="A1322">
        <v>1280.3047240000001</v>
      </c>
      <c r="B1322" s="1">
        <f>DATE(2013,11,1) + TIME(7,18,48)</f>
        <v>41579.304722222223</v>
      </c>
      <c r="C1322">
        <v>80</v>
      </c>
      <c r="D1322">
        <v>79.922576903999996</v>
      </c>
      <c r="E1322">
        <v>50</v>
      </c>
      <c r="F1322">
        <v>63.287166595000002</v>
      </c>
      <c r="G1322">
        <v>1331.1334228999999</v>
      </c>
      <c r="H1322">
        <v>1331.2034911999999</v>
      </c>
      <c r="I1322">
        <v>1332.4538574000001</v>
      </c>
      <c r="J1322">
        <v>1331.7780762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1280.4222589999999</v>
      </c>
      <c r="B1323" s="1">
        <f>DATE(2013,11,1) + TIME(10,8,3)</f>
        <v>41579.422256944446</v>
      </c>
      <c r="C1323">
        <v>80</v>
      </c>
      <c r="D1323">
        <v>79.915817261000001</v>
      </c>
      <c r="E1323">
        <v>50</v>
      </c>
      <c r="F1323">
        <v>62.519317627</v>
      </c>
      <c r="G1323">
        <v>1331.1287841999999</v>
      </c>
      <c r="H1323">
        <v>1331.1871338000001</v>
      </c>
      <c r="I1323">
        <v>1332.4523925999999</v>
      </c>
      <c r="J1323">
        <v>1331.7756348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1280.5469000000001</v>
      </c>
      <c r="B1324" s="1">
        <f>DATE(2013,11,1) + TIME(13,7,32)</f>
        <v>41579.546898148146</v>
      </c>
      <c r="C1324">
        <v>80</v>
      </c>
      <c r="D1324">
        <v>79.908645629999995</v>
      </c>
      <c r="E1324">
        <v>50</v>
      </c>
      <c r="F1324">
        <v>61.761680603000002</v>
      </c>
      <c r="G1324">
        <v>1331.1240233999999</v>
      </c>
      <c r="H1324">
        <v>1331.1706543</v>
      </c>
      <c r="I1324">
        <v>1332.4517822</v>
      </c>
      <c r="J1324">
        <v>1331.7735596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1280.6793090000001</v>
      </c>
      <c r="B1325" s="1">
        <f>DATE(2013,11,1) + TIME(16,18,12)</f>
        <v>41579.679305555554</v>
      </c>
      <c r="C1325">
        <v>80</v>
      </c>
      <c r="D1325">
        <v>79.901031493999994</v>
      </c>
      <c r="E1325">
        <v>50</v>
      </c>
      <c r="F1325">
        <v>61.014671325999998</v>
      </c>
      <c r="G1325">
        <v>1331.1192627</v>
      </c>
      <c r="H1325">
        <v>1331.1538086</v>
      </c>
      <c r="I1325">
        <v>1332.4520264</v>
      </c>
      <c r="J1325">
        <v>1331.7722168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1280.8203530000001</v>
      </c>
      <c r="B1326" s="1">
        <f>DATE(2013,11,1) + TIME(19,41,18)</f>
        <v>41579.820347222223</v>
      </c>
      <c r="C1326">
        <v>80</v>
      </c>
      <c r="D1326">
        <v>79.892921447999996</v>
      </c>
      <c r="E1326">
        <v>50</v>
      </c>
      <c r="F1326">
        <v>60.278350830000001</v>
      </c>
      <c r="G1326">
        <v>1331.1143798999999</v>
      </c>
      <c r="H1326">
        <v>1331.1365966999999</v>
      </c>
      <c r="I1326">
        <v>1332.4532471</v>
      </c>
      <c r="J1326">
        <v>1331.7712402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1280.970984</v>
      </c>
      <c r="B1327" s="1">
        <f>DATE(2013,11,1) + TIME(23,18,13)</f>
        <v>41579.970983796295</v>
      </c>
      <c r="C1327">
        <v>80</v>
      </c>
      <c r="D1327">
        <v>79.884246825999995</v>
      </c>
      <c r="E1327">
        <v>50</v>
      </c>
      <c r="F1327">
        <v>59.552791595000002</v>
      </c>
      <c r="G1327">
        <v>1331.109375</v>
      </c>
      <c r="H1327">
        <v>1331.1190185999999</v>
      </c>
      <c r="I1327">
        <v>1332.4554443</v>
      </c>
      <c r="J1327">
        <v>1331.7711182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1281.132302</v>
      </c>
      <c r="B1328" s="1">
        <f>DATE(2013,11,2) + TIME(3,10,30)</f>
        <v>41580.132291666669</v>
      </c>
      <c r="C1328">
        <v>80</v>
      </c>
      <c r="D1328">
        <v>79.874954224000007</v>
      </c>
      <c r="E1328">
        <v>50</v>
      </c>
      <c r="F1328">
        <v>58.838657378999997</v>
      </c>
      <c r="G1328">
        <v>1331.1029053</v>
      </c>
      <c r="H1328">
        <v>1331.1014404</v>
      </c>
      <c r="I1328">
        <v>1332.4587402</v>
      </c>
      <c r="J1328">
        <v>1331.7714844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1281.3056280000001</v>
      </c>
      <c r="B1329" s="1">
        <f>DATE(2013,11,2) + TIME(7,20,6)</f>
        <v>41580.305625000001</v>
      </c>
      <c r="C1329">
        <v>80</v>
      </c>
      <c r="D1329">
        <v>79.864921570000007</v>
      </c>
      <c r="E1329">
        <v>50</v>
      </c>
      <c r="F1329">
        <v>58.136684418000002</v>
      </c>
      <c r="G1329">
        <v>1331.0924072</v>
      </c>
      <c r="H1329">
        <v>1331.0852050999999</v>
      </c>
      <c r="I1329">
        <v>1332.4632568</v>
      </c>
      <c r="J1329">
        <v>1331.7725829999999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1281.492608</v>
      </c>
      <c r="B1330" s="1">
        <f>DATE(2013,11,2) + TIME(11,49,21)</f>
        <v>41580.492604166669</v>
      </c>
      <c r="C1330">
        <v>80</v>
      </c>
      <c r="D1330">
        <v>79.854057311999995</v>
      </c>
      <c r="E1330">
        <v>50</v>
      </c>
      <c r="F1330">
        <v>57.447330475000001</v>
      </c>
      <c r="G1330">
        <v>1331.081543</v>
      </c>
      <c r="H1330">
        <v>1331.0684814000001</v>
      </c>
      <c r="I1330">
        <v>1332.4689940999999</v>
      </c>
      <c r="J1330">
        <v>1331.7745361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1281.6950569999999</v>
      </c>
      <c r="B1331" s="1">
        <f>DATE(2013,11,2) + TIME(16,40,52)</f>
        <v>41580.6950462963</v>
      </c>
      <c r="C1331">
        <v>80</v>
      </c>
      <c r="D1331">
        <v>79.842239379999995</v>
      </c>
      <c r="E1331">
        <v>50</v>
      </c>
      <c r="F1331">
        <v>56.771770476999997</v>
      </c>
      <c r="G1331">
        <v>1331.0704346</v>
      </c>
      <c r="H1331">
        <v>1331.0511475000001</v>
      </c>
      <c r="I1331">
        <v>1332.4760742000001</v>
      </c>
      <c r="J1331">
        <v>1331.7772216999999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1281.915137</v>
      </c>
      <c r="B1332" s="1">
        <f>DATE(2013,11,2) + TIME(21,57,47)</f>
        <v>41580.915127314816</v>
      </c>
      <c r="C1332">
        <v>80</v>
      </c>
      <c r="D1332">
        <v>79.829284668</v>
      </c>
      <c r="E1332">
        <v>50</v>
      </c>
      <c r="F1332">
        <v>56.111415862999998</v>
      </c>
      <c r="G1332">
        <v>1331.0589600000001</v>
      </c>
      <c r="H1332">
        <v>1331.0333252</v>
      </c>
      <c r="I1332">
        <v>1332.4846190999999</v>
      </c>
      <c r="J1332">
        <v>1331.7807617000001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1282.1554550000001</v>
      </c>
      <c r="B1333" s="1">
        <f>DATE(2013,11,3) + TIME(3,43,51)</f>
        <v>41581.155451388891</v>
      </c>
      <c r="C1333">
        <v>80</v>
      </c>
      <c r="D1333">
        <v>79.814979553000001</v>
      </c>
      <c r="E1333">
        <v>50</v>
      </c>
      <c r="F1333">
        <v>55.467990874999998</v>
      </c>
      <c r="G1333">
        <v>1331.0469971</v>
      </c>
      <c r="H1333">
        <v>1331.0148925999999</v>
      </c>
      <c r="I1333">
        <v>1332.4946289</v>
      </c>
      <c r="J1333">
        <v>1331.7852783000001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1282.4191740000001</v>
      </c>
      <c r="B1334" s="1">
        <f>DATE(2013,11,3) + TIME(10,3,36)</f>
        <v>41581.419166666667</v>
      </c>
      <c r="C1334">
        <v>80</v>
      </c>
      <c r="D1334">
        <v>79.799102782999995</v>
      </c>
      <c r="E1334">
        <v>50</v>
      </c>
      <c r="F1334">
        <v>54.843544006000002</v>
      </c>
      <c r="G1334">
        <v>1331.0345459</v>
      </c>
      <c r="H1334">
        <v>1330.9957274999999</v>
      </c>
      <c r="I1334">
        <v>1332.5062256000001</v>
      </c>
      <c r="J1334">
        <v>1331.7906493999999</v>
      </c>
      <c r="K1334">
        <v>0</v>
      </c>
      <c r="L1334">
        <v>550</v>
      </c>
      <c r="M1334">
        <v>550</v>
      </c>
      <c r="N1334">
        <v>0</v>
      </c>
    </row>
    <row r="1335" spans="1:14" x14ac:dyDescent="0.25">
      <c r="A1335">
        <v>1282.7002729999999</v>
      </c>
      <c r="B1335" s="1">
        <f>DATE(2013,11,3) + TIME(16,48,23)</f>
        <v>41581.700266203705</v>
      </c>
      <c r="C1335">
        <v>80</v>
      </c>
      <c r="D1335">
        <v>79.781982421999999</v>
      </c>
      <c r="E1335">
        <v>50</v>
      </c>
      <c r="F1335">
        <v>54.25843811</v>
      </c>
      <c r="G1335">
        <v>1331.0216064000001</v>
      </c>
      <c r="H1335">
        <v>1330.9757079999999</v>
      </c>
      <c r="I1335">
        <v>1332.5197754000001</v>
      </c>
      <c r="J1335">
        <v>1331.7973632999999</v>
      </c>
      <c r="K1335">
        <v>0</v>
      </c>
      <c r="L1335">
        <v>550</v>
      </c>
      <c r="M1335">
        <v>550</v>
      </c>
      <c r="N1335">
        <v>0</v>
      </c>
    </row>
    <row r="1336" spans="1:14" x14ac:dyDescent="0.25">
      <c r="A1336">
        <v>1282.997104</v>
      </c>
      <c r="B1336" s="1">
        <f>DATE(2013,11,3) + TIME(23,55,49)</f>
        <v>41581.997094907405</v>
      </c>
      <c r="C1336">
        <v>80</v>
      </c>
      <c r="D1336">
        <v>79.763671875</v>
      </c>
      <c r="E1336">
        <v>50</v>
      </c>
      <c r="F1336">
        <v>53.718349457000002</v>
      </c>
      <c r="G1336">
        <v>1331.0084228999999</v>
      </c>
      <c r="H1336">
        <v>1330.9554443</v>
      </c>
      <c r="I1336">
        <v>1332.5345459</v>
      </c>
      <c r="J1336">
        <v>1331.8048096</v>
      </c>
      <c r="K1336">
        <v>0</v>
      </c>
      <c r="L1336">
        <v>550</v>
      </c>
      <c r="M1336">
        <v>550</v>
      </c>
      <c r="N1336">
        <v>0</v>
      </c>
    </row>
    <row r="1337" spans="1:14" x14ac:dyDescent="0.25">
      <c r="A1337">
        <v>1283.311571</v>
      </c>
      <c r="B1337" s="1">
        <f>DATE(2013,11,4) + TIME(7,28,39)</f>
        <v>41582.311562499999</v>
      </c>
      <c r="C1337">
        <v>80</v>
      </c>
      <c r="D1337">
        <v>79.744026184000006</v>
      </c>
      <c r="E1337">
        <v>50</v>
      </c>
      <c r="F1337">
        <v>53.221527100000003</v>
      </c>
      <c r="G1337">
        <v>1330.9951172000001</v>
      </c>
      <c r="H1337">
        <v>1330.9350586</v>
      </c>
      <c r="I1337">
        <v>1332.550293</v>
      </c>
      <c r="J1337">
        <v>1331.8129882999999</v>
      </c>
      <c r="K1337">
        <v>0</v>
      </c>
      <c r="L1337">
        <v>550</v>
      </c>
      <c r="M1337">
        <v>550</v>
      </c>
      <c r="N1337">
        <v>0</v>
      </c>
    </row>
    <row r="1338" spans="1:14" x14ac:dyDescent="0.25">
      <c r="A1338">
        <v>1283.645896</v>
      </c>
      <c r="B1338" s="1">
        <f>DATE(2013,11,4) + TIME(15,30,5)</f>
        <v>41582.645891203705</v>
      </c>
      <c r="C1338">
        <v>80</v>
      </c>
      <c r="D1338">
        <v>79.722862243999998</v>
      </c>
      <c r="E1338">
        <v>50</v>
      </c>
      <c r="F1338">
        <v>52.766460418999998</v>
      </c>
      <c r="G1338">
        <v>1330.9815673999999</v>
      </c>
      <c r="H1338">
        <v>1330.9144286999999</v>
      </c>
      <c r="I1338">
        <v>1332.5668945</v>
      </c>
      <c r="J1338">
        <v>1331.8216553</v>
      </c>
      <c r="K1338">
        <v>0</v>
      </c>
      <c r="L1338">
        <v>550</v>
      </c>
      <c r="M1338">
        <v>550</v>
      </c>
      <c r="N1338">
        <v>0</v>
      </c>
    </row>
    <row r="1339" spans="1:14" x14ac:dyDescent="0.25">
      <c r="A1339">
        <v>1284.00272</v>
      </c>
      <c r="B1339" s="1">
        <f>DATE(2013,11,5) + TIME(0,3,55)</f>
        <v>41583.00271990741</v>
      </c>
      <c r="C1339">
        <v>80</v>
      </c>
      <c r="D1339">
        <v>79.699981688999998</v>
      </c>
      <c r="E1339">
        <v>50</v>
      </c>
      <c r="F1339">
        <v>52.351787567000002</v>
      </c>
      <c r="G1339">
        <v>1330.9677733999999</v>
      </c>
      <c r="H1339">
        <v>1330.8934326000001</v>
      </c>
      <c r="I1339">
        <v>1332.5843506000001</v>
      </c>
      <c r="J1339">
        <v>1331.8309326000001</v>
      </c>
      <c r="K1339">
        <v>0</v>
      </c>
      <c r="L1339">
        <v>550</v>
      </c>
      <c r="M1339">
        <v>550</v>
      </c>
      <c r="N1339">
        <v>0</v>
      </c>
    </row>
    <row r="1340" spans="1:14" x14ac:dyDescent="0.25">
      <c r="A1340">
        <v>1284.3852119999999</v>
      </c>
      <c r="B1340" s="1">
        <f>DATE(2013,11,5) + TIME(9,14,42)</f>
        <v>41583.385208333333</v>
      </c>
      <c r="C1340">
        <v>80</v>
      </c>
      <c r="D1340">
        <v>79.675041199000006</v>
      </c>
      <c r="E1340">
        <v>50</v>
      </c>
      <c r="F1340">
        <v>51.976253509999999</v>
      </c>
      <c r="G1340">
        <v>1330.9537353999999</v>
      </c>
      <c r="H1340">
        <v>1330.8720702999999</v>
      </c>
      <c r="I1340">
        <v>1332.6024170000001</v>
      </c>
      <c r="J1340">
        <v>1331.8405762</v>
      </c>
      <c r="K1340">
        <v>0</v>
      </c>
      <c r="L1340">
        <v>550</v>
      </c>
      <c r="M1340">
        <v>550</v>
      </c>
      <c r="N1340">
        <v>0</v>
      </c>
    </row>
    <row r="1341" spans="1:14" x14ac:dyDescent="0.25">
      <c r="A1341">
        <v>1284.7972199999999</v>
      </c>
      <c r="B1341" s="1">
        <f>DATE(2013,11,5) + TIME(19,7,59)</f>
        <v>41583.797210648147</v>
      </c>
      <c r="C1341">
        <v>80</v>
      </c>
      <c r="D1341">
        <v>79.647674561000002</v>
      </c>
      <c r="E1341">
        <v>50</v>
      </c>
      <c r="F1341">
        <v>51.638652802000003</v>
      </c>
      <c r="G1341">
        <v>1330.9392089999999</v>
      </c>
      <c r="H1341">
        <v>1330.8500977000001</v>
      </c>
      <c r="I1341">
        <v>1332.6209716999999</v>
      </c>
      <c r="J1341">
        <v>1331.8505858999999</v>
      </c>
      <c r="K1341">
        <v>0</v>
      </c>
      <c r="L1341">
        <v>550</v>
      </c>
      <c r="M1341">
        <v>550</v>
      </c>
      <c r="N1341">
        <v>0</v>
      </c>
    </row>
    <row r="1342" spans="1:14" x14ac:dyDescent="0.25">
      <c r="A1342">
        <v>1285.243489</v>
      </c>
      <c r="B1342" s="1">
        <f>DATE(2013,11,6) + TIME(5,50,37)</f>
        <v>41584.243483796294</v>
      </c>
      <c r="C1342">
        <v>80</v>
      </c>
      <c r="D1342">
        <v>79.617485045999999</v>
      </c>
      <c r="E1342">
        <v>50</v>
      </c>
      <c r="F1342">
        <v>51.337795258</v>
      </c>
      <c r="G1342">
        <v>1330.9240723</v>
      </c>
      <c r="H1342">
        <v>1330.8273925999999</v>
      </c>
      <c r="I1342">
        <v>1332.6398925999999</v>
      </c>
      <c r="J1342">
        <v>1331.8608397999999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1285.7299640000001</v>
      </c>
      <c r="B1343" s="1">
        <f>DATE(2013,11,6) + TIME(17,31,8)</f>
        <v>41584.729953703703</v>
      </c>
      <c r="C1343">
        <v>80</v>
      </c>
      <c r="D1343">
        <v>79.583969116000006</v>
      </c>
      <c r="E1343">
        <v>50</v>
      </c>
      <c r="F1343">
        <v>51.072429657000001</v>
      </c>
      <c r="G1343">
        <v>1330.9084473</v>
      </c>
      <c r="H1343">
        <v>1330.8039550999999</v>
      </c>
      <c r="I1343">
        <v>1332.6589355000001</v>
      </c>
      <c r="J1343">
        <v>1331.8713379000001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1286.2641630000001</v>
      </c>
      <c r="B1344" s="1">
        <f>DATE(2013,11,7) + TIME(6,20,23)</f>
        <v>41585.264155092591</v>
      </c>
      <c r="C1344">
        <v>80</v>
      </c>
      <c r="D1344">
        <v>79.546470642000003</v>
      </c>
      <c r="E1344">
        <v>50</v>
      </c>
      <c r="F1344">
        <v>50.841232300000001</v>
      </c>
      <c r="G1344">
        <v>1330.8919678</v>
      </c>
      <c r="H1344">
        <v>1330.7794189000001</v>
      </c>
      <c r="I1344">
        <v>1332.6782227000001</v>
      </c>
      <c r="J1344">
        <v>1331.8819579999999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1286.85591</v>
      </c>
      <c r="B1345" s="1">
        <f>DATE(2013,11,7) + TIME(20,32,30)</f>
        <v>41585.855902777781</v>
      </c>
      <c r="C1345">
        <v>80</v>
      </c>
      <c r="D1345">
        <v>79.504165649000001</v>
      </c>
      <c r="E1345">
        <v>50</v>
      </c>
      <c r="F1345">
        <v>50.642719268999997</v>
      </c>
      <c r="G1345">
        <v>1330.8746338000001</v>
      </c>
      <c r="H1345">
        <v>1330.7536620999999</v>
      </c>
      <c r="I1345">
        <v>1332.6975098</v>
      </c>
      <c r="J1345">
        <v>1331.8927002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1287.4890829999999</v>
      </c>
      <c r="B1346" s="1">
        <f>DATE(2013,11,8) + TIME(11,44,16)</f>
        <v>41586.489074074074</v>
      </c>
      <c r="C1346">
        <v>80</v>
      </c>
      <c r="D1346">
        <v>79.457923889</v>
      </c>
      <c r="E1346">
        <v>50</v>
      </c>
      <c r="F1346">
        <v>50.480804442999997</v>
      </c>
      <c r="G1346">
        <v>1330.8562012</v>
      </c>
      <c r="H1346">
        <v>1330.7265625</v>
      </c>
      <c r="I1346">
        <v>1332.7166748</v>
      </c>
      <c r="J1346">
        <v>1331.9033202999999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1288.1540649999999</v>
      </c>
      <c r="B1347" s="1">
        <f>DATE(2013,11,9) + TIME(3,41,51)</f>
        <v>41587.154062499998</v>
      </c>
      <c r="C1347">
        <v>80</v>
      </c>
      <c r="D1347">
        <v>79.408210753999995</v>
      </c>
      <c r="E1347">
        <v>50</v>
      </c>
      <c r="F1347">
        <v>50.352909087999997</v>
      </c>
      <c r="G1347">
        <v>1330.8371582</v>
      </c>
      <c r="H1347">
        <v>1330.6987305</v>
      </c>
      <c r="I1347">
        <v>1332.7340088000001</v>
      </c>
      <c r="J1347">
        <v>1331.9128418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1288.85113</v>
      </c>
      <c r="B1348" s="1">
        <f>DATE(2013,11,9) + TIME(20,25,37)</f>
        <v>41587.851122685184</v>
      </c>
      <c r="C1348">
        <v>80</v>
      </c>
      <c r="D1348">
        <v>79.35484314</v>
      </c>
      <c r="E1348">
        <v>50</v>
      </c>
      <c r="F1348">
        <v>50.253440857000001</v>
      </c>
      <c r="G1348">
        <v>1330.8176269999999</v>
      </c>
      <c r="H1348">
        <v>1330.6704102000001</v>
      </c>
      <c r="I1348">
        <v>1332.7481689000001</v>
      </c>
      <c r="J1348">
        <v>1331.9205322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1289.578573</v>
      </c>
      <c r="B1349" s="1">
        <f>DATE(2013,11,10) + TIME(13,53,8)</f>
        <v>41588.578564814816</v>
      </c>
      <c r="C1349">
        <v>80</v>
      </c>
      <c r="D1349">
        <v>79.297737122000001</v>
      </c>
      <c r="E1349">
        <v>50</v>
      </c>
      <c r="F1349">
        <v>50.177318573000001</v>
      </c>
      <c r="G1349">
        <v>1330.7978516000001</v>
      </c>
      <c r="H1349">
        <v>1330.6418457</v>
      </c>
      <c r="I1349">
        <v>1332.7609863</v>
      </c>
      <c r="J1349">
        <v>1331.9274902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1290.3359579999999</v>
      </c>
      <c r="B1350" s="1">
        <f>DATE(2013,11,11) + TIME(8,3,46)</f>
        <v>41589.335949074077</v>
      </c>
      <c r="C1350">
        <v>80</v>
      </c>
      <c r="D1350">
        <v>79.236724854000002</v>
      </c>
      <c r="E1350">
        <v>50</v>
      </c>
      <c r="F1350">
        <v>50.119834900000001</v>
      </c>
      <c r="G1350">
        <v>1330.777832</v>
      </c>
      <c r="H1350">
        <v>1330.6129149999999</v>
      </c>
      <c r="I1350">
        <v>1332.7723389</v>
      </c>
      <c r="J1350">
        <v>1331.9335937999999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1291.132384</v>
      </c>
      <c r="B1351" s="1">
        <f>DATE(2013,11,12) + TIME(3,10,37)</f>
        <v>41590.132372685184</v>
      </c>
      <c r="C1351">
        <v>80</v>
      </c>
      <c r="D1351">
        <v>79.170898437999995</v>
      </c>
      <c r="E1351">
        <v>50</v>
      </c>
      <c r="F1351">
        <v>50.076583862</v>
      </c>
      <c r="G1351">
        <v>1330.7574463000001</v>
      </c>
      <c r="H1351">
        <v>1330.5838623</v>
      </c>
      <c r="I1351">
        <v>1332.7818603999999</v>
      </c>
      <c r="J1351">
        <v>1331.9387207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1291.9781109999999</v>
      </c>
      <c r="B1352" s="1">
        <f>DATE(2013,11,12) + TIME(23,28,28)</f>
        <v>41590.978101851855</v>
      </c>
      <c r="C1352">
        <v>80</v>
      </c>
      <c r="D1352">
        <v>79.099220275999997</v>
      </c>
      <c r="E1352">
        <v>50</v>
      </c>
      <c r="F1352">
        <v>50.044242859000001</v>
      </c>
      <c r="G1352">
        <v>1330.7365723</v>
      </c>
      <c r="H1352">
        <v>1330.5541992000001</v>
      </c>
      <c r="I1352">
        <v>1332.7884521000001</v>
      </c>
      <c r="J1352">
        <v>1331.9418945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1292.865151</v>
      </c>
      <c r="B1353" s="1">
        <f>DATE(2013,11,13) + TIME(20,45,49)</f>
        <v>41591.86515046296</v>
      </c>
      <c r="C1353">
        <v>80</v>
      </c>
      <c r="D1353">
        <v>79.021896362000007</v>
      </c>
      <c r="E1353">
        <v>50</v>
      </c>
      <c r="F1353">
        <v>50.020622252999999</v>
      </c>
      <c r="G1353">
        <v>1330.7152100000001</v>
      </c>
      <c r="H1353">
        <v>1330.5239257999999</v>
      </c>
      <c r="I1353">
        <v>1332.7943115</v>
      </c>
      <c r="J1353">
        <v>1331.9447021000001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1293.7820300000001</v>
      </c>
      <c r="B1354" s="1">
        <f>DATE(2013,11,14) + TIME(18,46,7)</f>
        <v>41592.782025462962</v>
      </c>
      <c r="C1354">
        <v>80</v>
      </c>
      <c r="D1354">
        <v>78.939453125</v>
      </c>
      <c r="E1354">
        <v>50</v>
      </c>
      <c r="F1354">
        <v>50.003719330000003</v>
      </c>
      <c r="G1354">
        <v>1330.6934814000001</v>
      </c>
      <c r="H1354">
        <v>1330.4932861</v>
      </c>
      <c r="I1354">
        <v>1332.7993164</v>
      </c>
      <c r="J1354">
        <v>1331.9470214999999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1294.735318</v>
      </c>
      <c r="B1355" s="1">
        <f>DATE(2013,11,15) + TIME(17,38,51)</f>
        <v>41593.735312500001</v>
      </c>
      <c r="C1355">
        <v>80</v>
      </c>
      <c r="D1355">
        <v>78.851089478000006</v>
      </c>
      <c r="E1355">
        <v>50</v>
      </c>
      <c r="F1355">
        <v>49.991619110000002</v>
      </c>
      <c r="G1355">
        <v>1330.6716309000001</v>
      </c>
      <c r="H1355">
        <v>1330.4626464999999</v>
      </c>
      <c r="I1355">
        <v>1332.8034668</v>
      </c>
      <c r="J1355">
        <v>1331.9489745999999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1295.7315590000001</v>
      </c>
      <c r="B1356" s="1">
        <f>DATE(2013,11,16) + TIME(17,33,26)</f>
        <v>41594.731550925928</v>
      </c>
      <c r="C1356">
        <v>80</v>
      </c>
      <c r="D1356">
        <v>78.755928040000001</v>
      </c>
      <c r="E1356">
        <v>50</v>
      </c>
      <c r="F1356">
        <v>49.982967377000001</v>
      </c>
      <c r="G1356">
        <v>1330.6496582</v>
      </c>
      <c r="H1356">
        <v>1330.4317627</v>
      </c>
      <c r="I1356">
        <v>1332.8068848</v>
      </c>
      <c r="J1356">
        <v>1331.9503173999999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1296.783091</v>
      </c>
      <c r="B1357" s="1">
        <f>DATE(2013,11,17) + TIME(18,47,39)</f>
        <v>41595.783090277779</v>
      </c>
      <c r="C1357">
        <v>80</v>
      </c>
      <c r="D1357">
        <v>78.652580260999997</v>
      </c>
      <c r="E1357">
        <v>50</v>
      </c>
      <c r="F1357">
        <v>49.976757050000003</v>
      </c>
      <c r="G1357">
        <v>1330.6271973</v>
      </c>
      <c r="H1357">
        <v>1330.4006348</v>
      </c>
      <c r="I1357">
        <v>1332.8098144999999</v>
      </c>
      <c r="J1357">
        <v>1331.9514160000001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1297.900506</v>
      </c>
      <c r="B1358" s="1">
        <f>DATE(2013,11,18) + TIME(21,36,43)</f>
        <v>41596.900497685187</v>
      </c>
      <c r="C1358">
        <v>80</v>
      </c>
      <c r="D1358">
        <v>78.539695739999999</v>
      </c>
      <c r="E1358">
        <v>50</v>
      </c>
      <c r="F1358">
        <v>49.972305298000002</v>
      </c>
      <c r="G1358">
        <v>1330.6043701000001</v>
      </c>
      <c r="H1358">
        <v>1330.3688964999999</v>
      </c>
      <c r="I1358">
        <v>1332.8121338000001</v>
      </c>
      <c r="J1358">
        <v>1331.9522704999999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1299.097389</v>
      </c>
      <c r="B1359" s="1">
        <f>DATE(2013,11,20) + TIME(2,20,14)</f>
        <v>41598.097384259258</v>
      </c>
      <c r="C1359">
        <v>80</v>
      </c>
      <c r="D1359">
        <v>78.415580750000004</v>
      </c>
      <c r="E1359">
        <v>50</v>
      </c>
      <c r="F1359">
        <v>49.969097136999999</v>
      </c>
      <c r="G1359">
        <v>1330.5810547000001</v>
      </c>
      <c r="H1359">
        <v>1330.3365478999999</v>
      </c>
      <c r="I1359">
        <v>1332.8139647999999</v>
      </c>
      <c r="J1359">
        <v>1331.9527588000001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1300.39096</v>
      </c>
      <c r="B1360" s="1">
        <f>DATE(2013,11,21) + TIME(9,22,58)</f>
        <v>41599.390949074077</v>
      </c>
      <c r="C1360">
        <v>80</v>
      </c>
      <c r="D1360">
        <v>78.278129578000005</v>
      </c>
      <c r="E1360">
        <v>50</v>
      </c>
      <c r="F1360">
        <v>49.966781615999999</v>
      </c>
      <c r="G1360">
        <v>1330.5567627</v>
      </c>
      <c r="H1360">
        <v>1330.3032227000001</v>
      </c>
      <c r="I1360">
        <v>1332.8154297000001</v>
      </c>
      <c r="J1360">
        <v>1331.9530029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1301.77025</v>
      </c>
      <c r="B1361" s="1">
        <f>DATE(2013,11,22) + TIME(18,29,9)</f>
        <v>41600.770243055558</v>
      </c>
      <c r="C1361">
        <v>80</v>
      </c>
      <c r="D1361">
        <v>78.127357482999997</v>
      </c>
      <c r="E1361">
        <v>50</v>
      </c>
      <c r="F1361">
        <v>49.965129851999997</v>
      </c>
      <c r="G1361">
        <v>1330.5317382999999</v>
      </c>
      <c r="H1361">
        <v>1330.2687988</v>
      </c>
      <c r="I1361">
        <v>1332.8165283000001</v>
      </c>
      <c r="J1361">
        <v>1331.953125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1303.219333</v>
      </c>
      <c r="B1362" s="1">
        <f>DATE(2013,11,24) + TIME(5,15,50)</f>
        <v>41602.219328703701</v>
      </c>
      <c r="C1362">
        <v>80</v>
      </c>
      <c r="D1362">
        <v>77.963859557999996</v>
      </c>
      <c r="E1362">
        <v>50</v>
      </c>
      <c r="F1362">
        <v>49.963958740000002</v>
      </c>
      <c r="G1362">
        <v>1330.5059814000001</v>
      </c>
      <c r="H1362">
        <v>1330.2336425999999</v>
      </c>
      <c r="I1362">
        <v>1332.8172606999999</v>
      </c>
      <c r="J1362">
        <v>1331.9530029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1304.750356</v>
      </c>
      <c r="B1363" s="1">
        <f>DATE(2013,11,25) + TIME(18,0,30)</f>
        <v>41603.750347222223</v>
      </c>
      <c r="C1363">
        <v>80</v>
      </c>
      <c r="D1363">
        <v>77.786231994999994</v>
      </c>
      <c r="E1363">
        <v>50</v>
      </c>
      <c r="F1363">
        <v>49.963115692000002</v>
      </c>
      <c r="G1363">
        <v>1330.4797363</v>
      </c>
      <c r="H1363">
        <v>1330.197876</v>
      </c>
      <c r="I1363">
        <v>1332.817749</v>
      </c>
      <c r="J1363">
        <v>1331.9527588000001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1306.2945440000001</v>
      </c>
      <c r="B1364" s="1">
        <f>DATE(2013,11,27) + TIME(7,4,8)</f>
        <v>41605.294537037036</v>
      </c>
      <c r="C1364">
        <v>80</v>
      </c>
      <c r="D1364">
        <v>77.599761963000006</v>
      </c>
      <c r="E1364">
        <v>50</v>
      </c>
      <c r="F1364">
        <v>49.962528229</v>
      </c>
      <c r="G1364">
        <v>1330.453125</v>
      </c>
      <c r="H1364">
        <v>1330.1618652</v>
      </c>
      <c r="I1364">
        <v>1332.8179932</v>
      </c>
      <c r="J1364">
        <v>1331.9523925999999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1307.8667379999999</v>
      </c>
      <c r="B1365" s="1">
        <f>DATE(2013,11,28) + TIME(20,48,6)</f>
        <v>41606.866736111115</v>
      </c>
      <c r="C1365">
        <v>80</v>
      </c>
      <c r="D1365">
        <v>77.404022217000005</v>
      </c>
      <c r="E1365">
        <v>50</v>
      </c>
      <c r="F1365">
        <v>49.962108612000002</v>
      </c>
      <c r="G1365">
        <v>1330.4270019999999</v>
      </c>
      <c r="H1365">
        <v>1330.1263428</v>
      </c>
      <c r="I1365">
        <v>1332.8181152</v>
      </c>
      <c r="J1365">
        <v>1331.9519043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1309.481305</v>
      </c>
      <c r="B1366" s="1">
        <f>DATE(2013,11,30) + TIME(11,33,4)</f>
        <v>41608.481296296297</v>
      </c>
      <c r="C1366">
        <v>80</v>
      </c>
      <c r="D1366">
        <v>77.198333739999995</v>
      </c>
      <c r="E1366">
        <v>50</v>
      </c>
      <c r="F1366">
        <v>49.961799622000001</v>
      </c>
      <c r="G1366">
        <v>1330.4011230000001</v>
      </c>
      <c r="H1366">
        <v>1330.0914307</v>
      </c>
      <c r="I1366">
        <v>1332.8179932</v>
      </c>
      <c r="J1366">
        <v>1331.9514160000001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1310</v>
      </c>
      <c r="B1367" s="1">
        <f>DATE(2013,12,1) + TIME(0,0,0)</f>
        <v>41609</v>
      </c>
      <c r="C1367">
        <v>80</v>
      </c>
      <c r="D1367">
        <v>77.110740661999998</v>
      </c>
      <c r="E1367">
        <v>50</v>
      </c>
      <c r="F1367">
        <v>49.961715697999999</v>
      </c>
      <c r="G1367">
        <v>1330.3763428</v>
      </c>
      <c r="H1367">
        <v>1330.0581055</v>
      </c>
      <c r="I1367">
        <v>1332.8178711</v>
      </c>
      <c r="J1367">
        <v>1331.9509277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1311.6809510000001</v>
      </c>
      <c r="B1368" s="1">
        <f>DATE(2013,12,2) + TIME(16,20,34)</f>
        <v>41610.680949074071</v>
      </c>
      <c r="C1368">
        <v>80</v>
      </c>
      <c r="D1368">
        <v>76.898025512999993</v>
      </c>
      <c r="E1368">
        <v>50</v>
      </c>
      <c r="F1368">
        <v>49.961509704999997</v>
      </c>
      <c r="G1368">
        <v>1330.3658447</v>
      </c>
      <c r="H1368">
        <v>1330.0428466999999</v>
      </c>
      <c r="I1368">
        <v>1332.8176269999999</v>
      </c>
      <c r="J1368">
        <v>1331.9506836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1313.489249</v>
      </c>
      <c r="B1369" s="1">
        <f>DATE(2013,12,4) + TIME(11,44,31)</f>
        <v>41612.489247685182</v>
      </c>
      <c r="C1369">
        <v>80</v>
      </c>
      <c r="D1369">
        <v>76.666763306000007</v>
      </c>
      <c r="E1369">
        <v>50</v>
      </c>
      <c r="F1369">
        <v>49.961345672999997</v>
      </c>
      <c r="G1369">
        <v>1330.3411865</v>
      </c>
      <c r="H1369">
        <v>1330.0100098</v>
      </c>
      <c r="I1369">
        <v>1332.8173827999999</v>
      </c>
      <c r="J1369">
        <v>1331.9501952999999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1315.4214999999999</v>
      </c>
      <c r="B1370" s="1">
        <f>DATE(2013,12,6) + TIME(10,6,57)</f>
        <v>41614.421493055554</v>
      </c>
      <c r="C1370">
        <v>80</v>
      </c>
      <c r="D1370">
        <v>76.416656493999994</v>
      </c>
      <c r="E1370">
        <v>50</v>
      </c>
      <c r="F1370">
        <v>49.961215973000002</v>
      </c>
      <c r="G1370">
        <v>1330.3157959</v>
      </c>
      <c r="H1370">
        <v>1329.9761963000001</v>
      </c>
      <c r="I1370">
        <v>1332.8170166</v>
      </c>
      <c r="J1370">
        <v>1331.949707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1317.513359</v>
      </c>
      <c r="B1371" s="1">
        <f>DATE(2013,12,8) + TIME(12,19,14)</f>
        <v>41616.513356481482</v>
      </c>
      <c r="C1371">
        <v>80</v>
      </c>
      <c r="D1371">
        <v>76.144691467000001</v>
      </c>
      <c r="E1371">
        <v>50</v>
      </c>
      <c r="F1371">
        <v>49.961112976000003</v>
      </c>
      <c r="G1371">
        <v>1330.2896728999999</v>
      </c>
      <c r="H1371">
        <v>1329.9415283000001</v>
      </c>
      <c r="I1371">
        <v>1332.8165283000001</v>
      </c>
      <c r="J1371">
        <v>1331.9492187999999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1319.8096599999999</v>
      </c>
      <c r="B1372" s="1">
        <f>DATE(2013,12,10) + TIME(19,25,54)</f>
        <v>41618.809652777774</v>
      </c>
      <c r="C1372">
        <v>80</v>
      </c>
      <c r="D1372">
        <v>75.846748352000006</v>
      </c>
      <c r="E1372">
        <v>50</v>
      </c>
      <c r="F1372">
        <v>49.961032867</v>
      </c>
      <c r="G1372">
        <v>1330.2625731999999</v>
      </c>
      <c r="H1372">
        <v>1329.9057617000001</v>
      </c>
      <c r="I1372">
        <v>1332.8161620999999</v>
      </c>
      <c r="J1372">
        <v>1331.9488524999999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1322.247325</v>
      </c>
      <c r="B1373" s="1">
        <f>DATE(2013,12,13) + TIME(5,56,8)</f>
        <v>41621.247314814813</v>
      </c>
      <c r="C1373">
        <v>80</v>
      </c>
      <c r="D1373">
        <v>75.525741577000005</v>
      </c>
      <c r="E1373">
        <v>50</v>
      </c>
      <c r="F1373">
        <v>49.960968018000003</v>
      </c>
      <c r="G1373">
        <v>1330.234375</v>
      </c>
      <c r="H1373">
        <v>1329.8686522999999</v>
      </c>
      <c r="I1373">
        <v>1332.8156738</v>
      </c>
      <c r="J1373">
        <v>1331.9483643000001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1324.694598</v>
      </c>
      <c r="B1374" s="1">
        <f>DATE(2013,12,15) + TIME(16,40,13)</f>
        <v>41623.694594907407</v>
      </c>
      <c r="C1374">
        <v>80</v>
      </c>
      <c r="D1374">
        <v>75.192092896000005</v>
      </c>
      <c r="E1374">
        <v>50</v>
      </c>
      <c r="F1374">
        <v>49.960918427000003</v>
      </c>
      <c r="G1374">
        <v>1330.2055664</v>
      </c>
      <c r="H1374">
        <v>1329.8308105000001</v>
      </c>
      <c r="I1374">
        <v>1332.8151855000001</v>
      </c>
      <c r="J1374">
        <v>1331.9481201000001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1327.2003830000001</v>
      </c>
      <c r="B1375" s="1">
        <f>DATE(2013,12,18) + TIME(4,48,33)</f>
        <v>41626.200381944444</v>
      </c>
      <c r="C1375">
        <v>80</v>
      </c>
      <c r="D1375">
        <v>74.847297667999996</v>
      </c>
      <c r="E1375">
        <v>50</v>
      </c>
      <c r="F1375">
        <v>49.960872649999999</v>
      </c>
      <c r="G1375">
        <v>1330.1774902</v>
      </c>
      <c r="H1375">
        <v>1329.7937012</v>
      </c>
      <c r="I1375">
        <v>1332.8148193</v>
      </c>
      <c r="J1375">
        <v>1331.947876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1329.8086390000001</v>
      </c>
      <c r="B1376" s="1">
        <f>DATE(2013,12,20) + TIME(19,24,26)</f>
        <v>41628.808634259258</v>
      </c>
      <c r="C1376">
        <v>80</v>
      </c>
      <c r="D1376">
        <v>74.489799500000004</v>
      </c>
      <c r="E1376">
        <v>50</v>
      </c>
      <c r="F1376">
        <v>49.960834503000001</v>
      </c>
      <c r="G1376">
        <v>1330.1497803</v>
      </c>
      <c r="H1376">
        <v>1329.7572021000001</v>
      </c>
      <c r="I1376">
        <v>1332.8144531</v>
      </c>
      <c r="J1376">
        <v>1331.9476318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1332.558143</v>
      </c>
      <c r="B1377" s="1">
        <f>DATE(2013,12,23) + TIME(13,23,43)</f>
        <v>41631.558136574073</v>
      </c>
      <c r="C1377">
        <v>80</v>
      </c>
      <c r="D1377">
        <v>74.117042541999993</v>
      </c>
      <c r="E1377">
        <v>50</v>
      </c>
      <c r="F1377">
        <v>49.960792542</v>
      </c>
      <c r="G1377">
        <v>1330.1224365</v>
      </c>
      <c r="H1377">
        <v>1329.7210693</v>
      </c>
      <c r="I1377">
        <v>1332.8140868999999</v>
      </c>
      <c r="J1377">
        <v>1331.9476318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1335.487711</v>
      </c>
      <c r="B1378" s="1">
        <f>DATE(2013,12,26) + TIME(11,42,18)</f>
        <v>41634.487708333334</v>
      </c>
      <c r="C1378">
        <v>80</v>
      </c>
      <c r="D1378">
        <v>73.725608825999998</v>
      </c>
      <c r="E1378">
        <v>50</v>
      </c>
      <c r="F1378">
        <v>49.960750580000003</v>
      </c>
      <c r="G1378">
        <v>1330.0949707</v>
      </c>
      <c r="H1378">
        <v>1329.6851807</v>
      </c>
      <c r="I1378">
        <v>1332.8138428</v>
      </c>
      <c r="J1378">
        <v>1331.9476318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1338.6020960000001</v>
      </c>
      <c r="B1379" s="1">
        <f>DATE(2013,12,29) + TIME(14,27,1)</f>
        <v>41637.602094907408</v>
      </c>
      <c r="C1379">
        <v>80</v>
      </c>
      <c r="D1379">
        <v>73.313751221000004</v>
      </c>
      <c r="E1379">
        <v>50</v>
      </c>
      <c r="F1379">
        <v>49.960704802999999</v>
      </c>
      <c r="G1379">
        <v>1330.0673827999999</v>
      </c>
      <c r="H1379">
        <v>1329.6491699000001</v>
      </c>
      <c r="I1379">
        <v>1332.8135986</v>
      </c>
      <c r="J1379">
        <v>1331.9477539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1341</v>
      </c>
      <c r="B1380" s="1">
        <f>DATE(2014,1,1) + TIME(0,0,0)</f>
        <v>41640</v>
      </c>
      <c r="C1380">
        <v>80</v>
      </c>
      <c r="D1380">
        <v>72.941574097</v>
      </c>
      <c r="E1380">
        <v>50</v>
      </c>
      <c r="F1380">
        <v>49.960666656000001</v>
      </c>
      <c r="G1380">
        <v>1330.0395507999999</v>
      </c>
      <c r="H1380">
        <v>1329.6132812000001</v>
      </c>
      <c r="I1380">
        <v>1332.8133545000001</v>
      </c>
      <c r="J1380">
        <v>1331.9479980000001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1344.309663</v>
      </c>
      <c r="B1381" s="1">
        <f>DATE(2014,1,4) + TIME(7,25,54)</f>
        <v>41643.309652777774</v>
      </c>
      <c r="C1381">
        <v>80</v>
      </c>
      <c r="D1381">
        <v>72.532508849999999</v>
      </c>
      <c r="E1381">
        <v>50</v>
      </c>
      <c r="F1381">
        <v>49.96062088</v>
      </c>
      <c r="G1381">
        <v>1330.0168457</v>
      </c>
      <c r="H1381">
        <v>1329.5823975000001</v>
      </c>
      <c r="I1381">
        <v>1332.8132324000001</v>
      </c>
      <c r="J1381">
        <v>1331.9482422000001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1347.8851320000001</v>
      </c>
      <c r="B1382" s="1">
        <f>DATE(2014,1,7) + TIME(21,14,35)</f>
        <v>41646.885127314818</v>
      </c>
      <c r="C1382">
        <v>80</v>
      </c>
      <c r="D1382">
        <v>72.086441039999997</v>
      </c>
      <c r="E1382">
        <v>50</v>
      </c>
      <c r="F1382">
        <v>49.960567474000001</v>
      </c>
      <c r="G1382">
        <v>1329.9904785000001</v>
      </c>
      <c r="H1382">
        <v>1329.5488281</v>
      </c>
      <c r="I1382">
        <v>1332.8132324000001</v>
      </c>
      <c r="J1382">
        <v>1331.9487305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1351.616927</v>
      </c>
      <c r="B1383" s="1">
        <f>DATE(2014,1,11) + TIME(14,48,22)</f>
        <v>41650.6169212963</v>
      </c>
      <c r="C1383">
        <v>80</v>
      </c>
      <c r="D1383">
        <v>71.613319396999998</v>
      </c>
      <c r="E1383">
        <v>50</v>
      </c>
      <c r="F1383">
        <v>49.960514068999998</v>
      </c>
      <c r="G1383">
        <v>1329.9632568</v>
      </c>
      <c r="H1383">
        <v>1329.5140381000001</v>
      </c>
      <c r="I1383">
        <v>1332.8131103999999</v>
      </c>
      <c r="J1383">
        <v>1331.9492187999999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1355.4205079999999</v>
      </c>
      <c r="B1384" s="1">
        <f>DATE(2014,1,15) + TIME(10,5,31)</f>
        <v>41654.420497685183</v>
      </c>
      <c r="C1384">
        <v>80</v>
      </c>
      <c r="D1384">
        <v>71.125213622999993</v>
      </c>
      <c r="E1384">
        <v>50</v>
      </c>
      <c r="F1384">
        <v>49.960456848</v>
      </c>
      <c r="G1384">
        <v>1329.9357910000001</v>
      </c>
      <c r="H1384">
        <v>1329.4787598</v>
      </c>
      <c r="I1384">
        <v>1332.8131103999999</v>
      </c>
      <c r="J1384">
        <v>1331.9499512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1359.3265249999999</v>
      </c>
      <c r="B1385" s="1">
        <f>DATE(2014,1,19) + TIME(7,50,11)</f>
        <v>41658.326516203706</v>
      </c>
      <c r="C1385">
        <v>80</v>
      </c>
      <c r="D1385">
        <v>70.628318786999998</v>
      </c>
      <c r="E1385">
        <v>50</v>
      </c>
      <c r="F1385">
        <v>49.960395812999998</v>
      </c>
      <c r="G1385">
        <v>1329.9089355000001</v>
      </c>
      <c r="H1385">
        <v>1329.4440918</v>
      </c>
      <c r="I1385">
        <v>1332.8131103999999</v>
      </c>
      <c r="J1385">
        <v>1331.9506836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1363.3882759999999</v>
      </c>
      <c r="B1386" s="1">
        <f>DATE(2014,1,23) + TIME(9,19,7)</f>
        <v>41662.388275462959</v>
      </c>
      <c r="C1386">
        <v>80</v>
      </c>
      <c r="D1386">
        <v>70.122093200999998</v>
      </c>
      <c r="E1386">
        <v>50</v>
      </c>
      <c r="F1386">
        <v>49.960334778000004</v>
      </c>
      <c r="G1386">
        <v>1329.8826904</v>
      </c>
      <c r="H1386">
        <v>1329.4101562000001</v>
      </c>
      <c r="I1386">
        <v>1332.8131103999999</v>
      </c>
      <c r="J1386">
        <v>1331.9514160000001</v>
      </c>
      <c r="K1386">
        <v>0</v>
      </c>
      <c r="L1386">
        <v>550</v>
      </c>
      <c r="M1386">
        <v>550</v>
      </c>
      <c r="N1386">
        <v>0</v>
      </c>
    </row>
    <row r="1387" spans="1:14" x14ac:dyDescent="0.25">
      <c r="A1387">
        <v>1367.668858</v>
      </c>
      <c r="B1387" s="1">
        <f>DATE(2014,1,27) + TIME(16,3,9)</f>
        <v>41666.668854166666</v>
      </c>
      <c r="C1387">
        <v>80</v>
      </c>
      <c r="D1387">
        <v>69.602035521999994</v>
      </c>
      <c r="E1387">
        <v>50</v>
      </c>
      <c r="F1387">
        <v>49.960266113000003</v>
      </c>
      <c r="G1387">
        <v>1329.8569336</v>
      </c>
      <c r="H1387">
        <v>1329.3769531</v>
      </c>
      <c r="I1387">
        <v>1332.8132324000001</v>
      </c>
      <c r="J1387">
        <v>1331.9522704999999</v>
      </c>
      <c r="K1387">
        <v>0</v>
      </c>
      <c r="L1387">
        <v>550</v>
      </c>
      <c r="M1387">
        <v>550</v>
      </c>
      <c r="N1387">
        <v>0</v>
      </c>
    </row>
    <row r="1388" spans="1:14" x14ac:dyDescent="0.25">
      <c r="A1388">
        <v>1372</v>
      </c>
      <c r="B1388" s="1">
        <f>DATE(2014,2,1) + TIME(0,0,0)</f>
        <v>41671</v>
      </c>
      <c r="C1388">
        <v>80</v>
      </c>
      <c r="D1388">
        <v>69.072341918999996</v>
      </c>
      <c r="E1388">
        <v>50</v>
      </c>
      <c r="F1388">
        <v>49.960201263000002</v>
      </c>
      <c r="G1388">
        <v>1329.8312988</v>
      </c>
      <c r="H1388">
        <v>1329.3441161999999</v>
      </c>
      <c r="I1388">
        <v>1332.8133545000001</v>
      </c>
      <c r="J1388">
        <v>1331.9532471</v>
      </c>
      <c r="K1388">
        <v>0</v>
      </c>
      <c r="L1388">
        <v>550</v>
      </c>
      <c r="M1388">
        <v>550</v>
      </c>
      <c r="N1388">
        <v>0</v>
      </c>
    </row>
    <row r="1389" spans="1:14" x14ac:dyDescent="0.25">
      <c r="A1389">
        <v>1376.4665970000001</v>
      </c>
      <c r="B1389" s="1">
        <f>DATE(2014,2,5) + TIME(11,11,54)</f>
        <v>41675.466597222221</v>
      </c>
      <c r="C1389">
        <v>80</v>
      </c>
      <c r="D1389">
        <v>68.537315368999998</v>
      </c>
      <c r="E1389">
        <v>50</v>
      </c>
      <c r="F1389">
        <v>49.960132598999998</v>
      </c>
      <c r="G1389">
        <v>1329.8065185999999</v>
      </c>
      <c r="H1389">
        <v>1329.3122559000001</v>
      </c>
      <c r="I1389">
        <v>1332.8134766000001</v>
      </c>
      <c r="J1389">
        <v>1331.9543457</v>
      </c>
      <c r="K1389">
        <v>0</v>
      </c>
      <c r="L1389">
        <v>550</v>
      </c>
      <c r="M1389">
        <v>550</v>
      </c>
      <c r="N1389">
        <v>0</v>
      </c>
    </row>
    <row r="1390" spans="1:14" x14ac:dyDescent="0.25">
      <c r="A1390">
        <v>1381.1402399999999</v>
      </c>
      <c r="B1390" s="1">
        <f>DATE(2014,2,10) + TIME(3,21,56)</f>
        <v>41680.140231481484</v>
      </c>
      <c r="C1390">
        <v>80</v>
      </c>
      <c r="D1390">
        <v>67.992736816000004</v>
      </c>
      <c r="E1390">
        <v>50</v>
      </c>
      <c r="F1390">
        <v>49.960060120000001</v>
      </c>
      <c r="G1390">
        <v>1329.7824707</v>
      </c>
      <c r="H1390">
        <v>1329.28125</v>
      </c>
      <c r="I1390">
        <v>1332.8135986</v>
      </c>
      <c r="J1390">
        <v>1331.9553223</v>
      </c>
      <c r="K1390">
        <v>0</v>
      </c>
      <c r="L1390">
        <v>550</v>
      </c>
      <c r="M1390">
        <v>550</v>
      </c>
      <c r="N1390">
        <v>0</v>
      </c>
    </row>
    <row r="1391" spans="1:14" x14ac:dyDescent="0.25">
      <c r="A1391">
        <v>1385.9979450000001</v>
      </c>
      <c r="B1391" s="1">
        <f>DATE(2014,2,14) + TIME(23,57,2)</f>
        <v>41684.997939814813</v>
      </c>
      <c r="C1391">
        <v>80</v>
      </c>
      <c r="D1391">
        <v>67.435806274000001</v>
      </c>
      <c r="E1391">
        <v>50</v>
      </c>
      <c r="F1391">
        <v>49.959987640000001</v>
      </c>
      <c r="G1391">
        <v>1329.7586670000001</v>
      </c>
      <c r="H1391">
        <v>1329.2508545000001</v>
      </c>
      <c r="I1391">
        <v>1332.8137207</v>
      </c>
      <c r="J1391">
        <v>1331.956543</v>
      </c>
      <c r="K1391">
        <v>0</v>
      </c>
      <c r="L1391">
        <v>550</v>
      </c>
      <c r="M1391">
        <v>550</v>
      </c>
      <c r="N1391">
        <v>0</v>
      </c>
    </row>
    <row r="1392" spans="1:14" x14ac:dyDescent="0.25">
      <c r="A1392">
        <v>1391.1175089999999</v>
      </c>
      <c r="B1392" s="1">
        <f>DATE(2014,2,20) + TIME(2,49,12)</f>
        <v>41690.1175</v>
      </c>
      <c r="C1392">
        <v>80</v>
      </c>
      <c r="D1392">
        <v>66.864196777000004</v>
      </c>
      <c r="E1392">
        <v>50</v>
      </c>
      <c r="F1392">
        <v>49.959915160999998</v>
      </c>
      <c r="G1392">
        <v>1329.7353516000001</v>
      </c>
      <c r="H1392">
        <v>1329.2210693</v>
      </c>
      <c r="I1392">
        <v>1332.8138428</v>
      </c>
      <c r="J1392">
        <v>1331.9576416</v>
      </c>
      <c r="K1392">
        <v>0</v>
      </c>
      <c r="L1392">
        <v>550</v>
      </c>
      <c r="M1392">
        <v>550</v>
      </c>
      <c r="N1392">
        <v>0</v>
      </c>
    </row>
    <row r="1393" spans="1:14" x14ac:dyDescent="0.25">
      <c r="A1393">
        <v>1396.4078320000001</v>
      </c>
      <c r="B1393" s="1">
        <f>DATE(2014,2,25) + TIME(9,47,16)</f>
        <v>41695.407824074071</v>
      </c>
      <c r="C1393">
        <v>80</v>
      </c>
      <c r="D1393">
        <v>66.277473450000002</v>
      </c>
      <c r="E1393">
        <v>50</v>
      </c>
      <c r="F1393">
        <v>49.959835052000003</v>
      </c>
      <c r="G1393">
        <v>1329.7124022999999</v>
      </c>
      <c r="H1393">
        <v>1329.1917725000001</v>
      </c>
      <c r="I1393">
        <v>1332.8139647999999</v>
      </c>
      <c r="J1393">
        <v>1331.9589844</v>
      </c>
      <c r="K1393">
        <v>0</v>
      </c>
      <c r="L1393">
        <v>550</v>
      </c>
      <c r="M1393">
        <v>550</v>
      </c>
      <c r="N1393">
        <v>0</v>
      </c>
    </row>
    <row r="1394" spans="1:14" x14ac:dyDescent="0.25">
      <c r="A1394">
        <v>1400</v>
      </c>
      <c r="B1394" s="1">
        <f>DATE(2014,3,1) + TIME(0,0,0)</f>
        <v>41699</v>
      </c>
      <c r="C1394">
        <v>80</v>
      </c>
      <c r="D1394">
        <v>65.759033203000001</v>
      </c>
      <c r="E1394">
        <v>50</v>
      </c>
      <c r="F1394">
        <v>49.959774017000001</v>
      </c>
      <c r="G1394">
        <v>1329.6898193</v>
      </c>
      <c r="H1394">
        <v>1329.1633300999999</v>
      </c>
      <c r="I1394">
        <v>1332.8142089999999</v>
      </c>
      <c r="J1394">
        <v>1331.9602050999999</v>
      </c>
      <c r="K1394">
        <v>0</v>
      </c>
      <c r="L1394">
        <v>550</v>
      </c>
      <c r="M1394">
        <v>550</v>
      </c>
      <c r="N1394">
        <v>0</v>
      </c>
    </row>
    <row r="1395" spans="1:14" x14ac:dyDescent="0.25">
      <c r="A1395">
        <v>1405.4357669999999</v>
      </c>
      <c r="B1395" s="1">
        <f>DATE(2014,3,6) + TIME(10,27,30)</f>
        <v>41704.435763888891</v>
      </c>
      <c r="C1395">
        <v>80</v>
      </c>
      <c r="D1395">
        <v>65.245018005000006</v>
      </c>
      <c r="E1395">
        <v>50</v>
      </c>
      <c r="F1395">
        <v>49.959705352999997</v>
      </c>
      <c r="G1395">
        <v>1329.6729736</v>
      </c>
      <c r="H1395">
        <v>1329.1397704999999</v>
      </c>
      <c r="I1395">
        <v>1332.8143310999999</v>
      </c>
      <c r="J1395">
        <v>1331.9610596</v>
      </c>
      <c r="K1395">
        <v>0</v>
      </c>
      <c r="L1395">
        <v>550</v>
      </c>
      <c r="M1395">
        <v>550</v>
      </c>
      <c r="N1395">
        <v>0</v>
      </c>
    </row>
    <row r="1396" spans="1:14" x14ac:dyDescent="0.25">
      <c r="A1396">
        <v>1411.286329</v>
      </c>
      <c r="B1396" s="1">
        <f>DATE(2014,3,12) + TIME(6,52,18)</f>
        <v>41710.286319444444</v>
      </c>
      <c r="C1396">
        <v>80</v>
      </c>
      <c r="D1396">
        <v>64.660629271999994</v>
      </c>
      <c r="E1396">
        <v>50</v>
      </c>
      <c r="F1396">
        <v>49.959629059000001</v>
      </c>
      <c r="G1396">
        <v>1329.6534423999999</v>
      </c>
      <c r="H1396">
        <v>1329.1158447</v>
      </c>
      <c r="I1396">
        <v>1332.8144531</v>
      </c>
      <c r="J1396">
        <v>1331.9624022999999</v>
      </c>
      <c r="K1396">
        <v>0</v>
      </c>
      <c r="L1396">
        <v>550</v>
      </c>
      <c r="M1396">
        <v>550</v>
      </c>
      <c r="N1396">
        <v>0</v>
      </c>
    </row>
    <row r="1397" spans="1:14" x14ac:dyDescent="0.25">
      <c r="A1397">
        <v>1417.392251</v>
      </c>
      <c r="B1397" s="1">
        <f>DATE(2014,3,18) + TIME(9,24,50)</f>
        <v>41716.392245370371</v>
      </c>
      <c r="C1397">
        <v>80</v>
      </c>
      <c r="D1397">
        <v>64.037635803000001</v>
      </c>
      <c r="E1397">
        <v>50</v>
      </c>
      <c r="F1397">
        <v>49.959552764999998</v>
      </c>
      <c r="G1397">
        <v>1329.6331786999999</v>
      </c>
      <c r="H1397">
        <v>1329.0905762</v>
      </c>
      <c r="I1397">
        <v>1332.8145752</v>
      </c>
      <c r="J1397">
        <v>1331.9637451000001</v>
      </c>
      <c r="K1397">
        <v>0</v>
      </c>
      <c r="L1397">
        <v>550</v>
      </c>
      <c r="M1397">
        <v>550</v>
      </c>
      <c r="N1397">
        <v>0</v>
      </c>
    </row>
    <row r="1398" spans="1:14" x14ac:dyDescent="0.25">
      <c r="A1398">
        <v>1423.703534</v>
      </c>
      <c r="B1398" s="1">
        <f>DATE(2014,3,24) + TIME(16,53,5)</f>
        <v>41722.703530092593</v>
      </c>
      <c r="C1398">
        <v>80</v>
      </c>
      <c r="D1398">
        <v>63.394145966000004</v>
      </c>
      <c r="E1398">
        <v>50</v>
      </c>
      <c r="F1398">
        <v>49.959472656000003</v>
      </c>
      <c r="G1398">
        <v>1329.6130370999999</v>
      </c>
      <c r="H1398">
        <v>1329.0650635</v>
      </c>
      <c r="I1398">
        <v>1332.8148193</v>
      </c>
      <c r="J1398">
        <v>1331.9652100000001</v>
      </c>
      <c r="K1398">
        <v>0</v>
      </c>
      <c r="L1398">
        <v>550</v>
      </c>
      <c r="M1398">
        <v>550</v>
      </c>
      <c r="N1398">
        <v>0</v>
      </c>
    </row>
    <row r="1399" spans="1:14" x14ac:dyDescent="0.25">
      <c r="A1399">
        <v>1430.312512</v>
      </c>
      <c r="B1399" s="1">
        <f>DATE(2014,3,31) + TIME(7,30,0)</f>
        <v>41729.3125</v>
      </c>
      <c r="C1399">
        <v>80</v>
      </c>
      <c r="D1399">
        <v>62.735736846999998</v>
      </c>
      <c r="E1399">
        <v>50</v>
      </c>
      <c r="F1399">
        <v>49.959392547999997</v>
      </c>
      <c r="G1399">
        <v>1329.5933838000001</v>
      </c>
      <c r="H1399">
        <v>1329.0401611</v>
      </c>
      <c r="I1399">
        <v>1332.8149414</v>
      </c>
      <c r="J1399">
        <v>1331.9665527</v>
      </c>
      <c r="K1399">
        <v>0</v>
      </c>
      <c r="L1399">
        <v>550</v>
      </c>
      <c r="M1399">
        <v>550</v>
      </c>
      <c r="N1399">
        <v>0</v>
      </c>
    </row>
    <row r="1400" spans="1:14" x14ac:dyDescent="0.25">
      <c r="A1400">
        <v>1431</v>
      </c>
      <c r="B1400" s="1">
        <f>DATE(2014,4,1) + TIME(0,0,0)</f>
        <v>41730</v>
      </c>
      <c r="C1400">
        <v>80</v>
      </c>
      <c r="D1400">
        <v>62.52664566</v>
      </c>
      <c r="E1400">
        <v>50</v>
      </c>
      <c r="F1400">
        <v>49.959369658999996</v>
      </c>
      <c r="G1400">
        <v>1329.5736084</v>
      </c>
      <c r="H1400">
        <v>1329.0173339999999</v>
      </c>
      <c r="I1400">
        <v>1332.8150635</v>
      </c>
      <c r="J1400">
        <v>1331.9680175999999</v>
      </c>
      <c r="K1400">
        <v>0</v>
      </c>
      <c r="L1400">
        <v>550</v>
      </c>
      <c r="M1400">
        <v>550</v>
      </c>
      <c r="N1400">
        <v>0</v>
      </c>
    </row>
    <row r="1401" spans="1:14" x14ac:dyDescent="0.25">
      <c r="A1401">
        <v>1437.968625</v>
      </c>
      <c r="B1401" s="1">
        <f>DATE(2014,4,7) + TIME(23,14,49)</f>
        <v>41736.968622685185</v>
      </c>
      <c r="C1401">
        <v>80</v>
      </c>
      <c r="D1401">
        <v>61.954097748000002</v>
      </c>
      <c r="E1401">
        <v>50</v>
      </c>
      <c r="F1401">
        <v>49.959304809999999</v>
      </c>
      <c r="G1401">
        <v>1329.5706786999999</v>
      </c>
      <c r="H1401">
        <v>1329.0097656</v>
      </c>
      <c r="I1401">
        <v>1332.8150635</v>
      </c>
      <c r="J1401">
        <v>1331.9681396000001</v>
      </c>
      <c r="K1401">
        <v>0</v>
      </c>
      <c r="L1401">
        <v>550</v>
      </c>
      <c r="M1401">
        <v>550</v>
      </c>
      <c r="N1401">
        <v>0</v>
      </c>
    </row>
    <row r="1402" spans="1:14" x14ac:dyDescent="0.25">
      <c r="A1402">
        <v>1445.238507</v>
      </c>
      <c r="B1402" s="1">
        <f>DATE(2014,4,15) + TIME(5,43,27)</f>
        <v>41744.238506944443</v>
      </c>
      <c r="C1402">
        <v>80</v>
      </c>
      <c r="D1402">
        <v>61.284271240000002</v>
      </c>
      <c r="E1402">
        <v>50</v>
      </c>
      <c r="F1402">
        <v>49.959228516000003</v>
      </c>
      <c r="G1402">
        <v>1329.5537108999999</v>
      </c>
      <c r="H1402">
        <v>1328.9895019999999</v>
      </c>
      <c r="I1402">
        <v>1332.8153076000001</v>
      </c>
      <c r="J1402">
        <v>1331.9697266000001</v>
      </c>
      <c r="K1402">
        <v>0</v>
      </c>
      <c r="L1402">
        <v>550</v>
      </c>
      <c r="M1402">
        <v>550</v>
      </c>
      <c r="N1402">
        <v>0</v>
      </c>
    </row>
    <row r="1403" spans="1:14" x14ac:dyDescent="0.25">
      <c r="A1403">
        <v>1452.9291840000001</v>
      </c>
      <c r="B1403" s="1">
        <f>DATE(2014,4,22) + TIME(22,18,1)</f>
        <v>41751.929178240738</v>
      </c>
      <c r="C1403">
        <v>80</v>
      </c>
      <c r="D1403">
        <v>60.581604003999999</v>
      </c>
      <c r="E1403">
        <v>50</v>
      </c>
      <c r="F1403">
        <v>49.959152222</v>
      </c>
      <c r="G1403">
        <v>1329.5366211</v>
      </c>
      <c r="H1403">
        <v>1328.9680175999999</v>
      </c>
      <c r="I1403">
        <v>1332.8154297000001</v>
      </c>
      <c r="J1403">
        <v>1331.9711914</v>
      </c>
      <c r="K1403">
        <v>0</v>
      </c>
      <c r="L1403">
        <v>550</v>
      </c>
      <c r="M1403">
        <v>550</v>
      </c>
      <c r="N1403">
        <v>0</v>
      </c>
    </row>
    <row r="1404" spans="1:14" x14ac:dyDescent="0.25">
      <c r="A1404">
        <v>1461</v>
      </c>
      <c r="B1404" s="1">
        <f>DATE(2014,5,1) + TIME(0,0,0)</f>
        <v>41760</v>
      </c>
      <c r="C1404">
        <v>80</v>
      </c>
      <c r="D1404">
        <v>59.856815337999997</v>
      </c>
      <c r="E1404">
        <v>50</v>
      </c>
      <c r="F1404">
        <v>49.959075927999997</v>
      </c>
      <c r="G1404">
        <v>1329.5198975000001</v>
      </c>
      <c r="H1404">
        <v>1328.9470214999999</v>
      </c>
      <c r="I1404">
        <v>1332.8155518000001</v>
      </c>
      <c r="J1404">
        <v>1331.9726562000001</v>
      </c>
      <c r="K1404">
        <v>0</v>
      </c>
      <c r="L1404">
        <v>550</v>
      </c>
      <c r="M1404">
        <v>550</v>
      </c>
      <c r="N1404">
        <v>0</v>
      </c>
    </row>
    <row r="1405" spans="1:14" x14ac:dyDescent="0.25">
      <c r="A1405">
        <v>1461.0000010000001</v>
      </c>
      <c r="B1405" s="1">
        <f>DATE(2014,5,1) + TIME(0,0,0)</f>
        <v>41760</v>
      </c>
      <c r="C1405">
        <v>80</v>
      </c>
      <c r="D1405">
        <v>59.856853485000002</v>
      </c>
      <c r="E1405">
        <v>50</v>
      </c>
      <c r="F1405">
        <v>49.959053040000001</v>
      </c>
      <c r="G1405">
        <v>1330.3621826000001</v>
      </c>
      <c r="H1405">
        <v>1329.7468262</v>
      </c>
      <c r="I1405">
        <v>1331.8068848</v>
      </c>
      <c r="J1405">
        <v>1331.6781006000001</v>
      </c>
      <c r="K1405">
        <v>550</v>
      </c>
      <c r="L1405">
        <v>0</v>
      </c>
      <c r="M1405">
        <v>0</v>
      </c>
      <c r="N1405">
        <v>550</v>
      </c>
    </row>
    <row r="1406" spans="1:14" x14ac:dyDescent="0.25">
      <c r="A1406">
        <v>1461.000004</v>
      </c>
      <c r="B1406" s="1">
        <f>DATE(2014,5,1) + TIME(0,0,0)</f>
        <v>41760</v>
      </c>
      <c r="C1406">
        <v>80</v>
      </c>
      <c r="D1406">
        <v>59.856922150000003</v>
      </c>
      <c r="E1406">
        <v>50</v>
      </c>
      <c r="F1406">
        <v>49.959022521999998</v>
      </c>
      <c r="G1406">
        <v>1330.6538086</v>
      </c>
      <c r="H1406">
        <v>1330.0697021000001</v>
      </c>
      <c r="I1406">
        <v>1331.5483397999999</v>
      </c>
      <c r="J1406">
        <v>1331.4210204999999</v>
      </c>
      <c r="K1406">
        <v>550</v>
      </c>
      <c r="L1406">
        <v>0</v>
      </c>
      <c r="M1406">
        <v>0</v>
      </c>
      <c r="N1406">
        <v>550</v>
      </c>
    </row>
    <row r="1407" spans="1:14" x14ac:dyDescent="0.25">
      <c r="A1407">
        <v>1461.0000130000001</v>
      </c>
      <c r="B1407" s="1">
        <f>DATE(2014,5,1) + TIME(0,0,1)</f>
        <v>41760.000011574077</v>
      </c>
      <c r="C1407">
        <v>80</v>
      </c>
      <c r="D1407">
        <v>59.857044219999999</v>
      </c>
      <c r="E1407">
        <v>50</v>
      </c>
      <c r="F1407">
        <v>49.958984375</v>
      </c>
      <c r="G1407">
        <v>1331.0164795000001</v>
      </c>
      <c r="H1407">
        <v>1330.4238281</v>
      </c>
      <c r="I1407">
        <v>1331.25</v>
      </c>
      <c r="J1407">
        <v>1331.1138916</v>
      </c>
      <c r="K1407">
        <v>550</v>
      </c>
      <c r="L1407">
        <v>0</v>
      </c>
      <c r="M1407">
        <v>0</v>
      </c>
      <c r="N1407">
        <v>550</v>
      </c>
    </row>
    <row r="1408" spans="1:14" x14ac:dyDescent="0.25">
      <c r="A1408">
        <v>1461.0000399999999</v>
      </c>
      <c r="B1408" s="1">
        <f>DATE(2014,5,1) + TIME(0,0,3)</f>
        <v>41760.000034722223</v>
      </c>
      <c r="C1408">
        <v>80</v>
      </c>
      <c r="D1408">
        <v>59.857334137000002</v>
      </c>
      <c r="E1408">
        <v>50</v>
      </c>
      <c r="F1408">
        <v>49.958946228000002</v>
      </c>
      <c r="G1408">
        <v>1331.3884277</v>
      </c>
      <c r="H1408">
        <v>1330.7766113</v>
      </c>
      <c r="I1408">
        <v>1330.9490966999999</v>
      </c>
      <c r="J1408">
        <v>1330.7999268000001</v>
      </c>
      <c r="K1408">
        <v>550</v>
      </c>
      <c r="L1408">
        <v>0</v>
      </c>
      <c r="M1408">
        <v>0</v>
      </c>
      <c r="N1408">
        <v>550</v>
      </c>
    </row>
    <row r="1409" spans="1:14" x14ac:dyDescent="0.25">
      <c r="A1409">
        <v>1461.000121</v>
      </c>
      <c r="B1409" s="1">
        <f>DATE(2014,5,1) + TIME(0,0,10)</f>
        <v>41760.000115740739</v>
      </c>
      <c r="C1409">
        <v>80</v>
      </c>
      <c r="D1409">
        <v>59.858131409000002</v>
      </c>
      <c r="E1409">
        <v>50</v>
      </c>
      <c r="F1409">
        <v>49.958904265999998</v>
      </c>
      <c r="G1409">
        <v>1331.7416992000001</v>
      </c>
      <c r="H1409">
        <v>1331.1114502</v>
      </c>
      <c r="I1409">
        <v>1330.6556396000001</v>
      </c>
      <c r="J1409">
        <v>1330.4882812000001</v>
      </c>
      <c r="K1409">
        <v>550</v>
      </c>
      <c r="L1409">
        <v>0</v>
      </c>
      <c r="M1409">
        <v>0</v>
      </c>
      <c r="N1409">
        <v>550</v>
      </c>
    </row>
    <row r="1410" spans="1:14" x14ac:dyDescent="0.25">
      <c r="A1410">
        <v>1461.000364</v>
      </c>
      <c r="B1410" s="1">
        <f>DATE(2014,5,1) + TIME(0,0,31)</f>
        <v>41760.000358796293</v>
      </c>
      <c r="C1410">
        <v>80</v>
      </c>
      <c r="D1410">
        <v>59.860492706000002</v>
      </c>
      <c r="E1410">
        <v>50</v>
      </c>
      <c r="F1410">
        <v>49.958866119</v>
      </c>
      <c r="G1410">
        <v>1332.0351562000001</v>
      </c>
      <c r="H1410">
        <v>1331.3864745999999</v>
      </c>
      <c r="I1410">
        <v>1330.4033202999999</v>
      </c>
      <c r="J1410">
        <v>1330.215332</v>
      </c>
      <c r="K1410">
        <v>550</v>
      </c>
      <c r="L1410">
        <v>0</v>
      </c>
      <c r="M1410">
        <v>0</v>
      </c>
      <c r="N1410">
        <v>550</v>
      </c>
    </row>
    <row r="1411" spans="1:14" x14ac:dyDescent="0.25">
      <c r="A1411">
        <v>1461.0010930000001</v>
      </c>
      <c r="B1411" s="1">
        <f>DATE(2014,5,1) + TIME(0,1,34)</f>
        <v>41760.001087962963</v>
      </c>
      <c r="C1411">
        <v>80</v>
      </c>
      <c r="D1411">
        <v>59.867614746000001</v>
      </c>
      <c r="E1411">
        <v>50</v>
      </c>
      <c r="F1411">
        <v>49.958816528</v>
      </c>
      <c r="G1411">
        <v>1332.2229004000001</v>
      </c>
      <c r="H1411">
        <v>1331.5614014</v>
      </c>
      <c r="I1411">
        <v>1330.2315673999999</v>
      </c>
      <c r="J1411">
        <v>1330.0292969</v>
      </c>
      <c r="K1411">
        <v>550</v>
      </c>
      <c r="L1411">
        <v>0</v>
      </c>
      <c r="M1411">
        <v>0</v>
      </c>
      <c r="N1411">
        <v>550</v>
      </c>
    </row>
    <row r="1412" spans="1:14" x14ac:dyDescent="0.25">
      <c r="A1412">
        <v>1461.0032799999999</v>
      </c>
      <c r="B1412" s="1">
        <f>DATE(2014,5,1) + TIME(0,4,43)</f>
        <v>41760.003275462965</v>
      </c>
      <c r="C1412">
        <v>80</v>
      </c>
      <c r="D1412">
        <v>59.889076232999997</v>
      </c>
      <c r="E1412">
        <v>50</v>
      </c>
      <c r="F1412">
        <v>49.958728790000002</v>
      </c>
      <c r="G1412">
        <v>1332.3138428</v>
      </c>
      <c r="H1412">
        <v>1331.6473389</v>
      </c>
      <c r="I1412">
        <v>1330.140625</v>
      </c>
      <c r="J1412">
        <v>1329.9326172000001</v>
      </c>
      <c r="K1412">
        <v>550</v>
      </c>
      <c r="L1412">
        <v>0</v>
      </c>
      <c r="M1412">
        <v>0</v>
      </c>
      <c r="N1412">
        <v>550</v>
      </c>
    </row>
    <row r="1413" spans="1:14" x14ac:dyDescent="0.25">
      <c r="A1413">
        <v>1461.0098410000001</v>
      </c>
      <c r="B1413" s="1">
        <f>DATE(2014,5,1) + TIME(0,14,10)</f>
        <v>41760.009837962964</v>
      </c>
      <c r="C1413">
        <v>80</v>
      </c>
      <c r="D1413">
        <v>59.953372954999999</v>
      </c>
      <c r="E1413">
        <v>50</v>
      </c>
      <c r="F1413">
        <v>49.958488463999998</v>
      </c>
      <c r="G1413">
        <v>1332.3477783000001</v>
      </c>
      <c r="H1413">
        <v>1331.6802978999999</v>
      </c>
      <c r="I1413">
        <v>1330.1086425999999</v>
      </c>
      <c r="J1413">
        <v>1329.8992920000001</v>
      </c>
      <c r="K1413">
        <v>550</v>
      </c>
      <c r="L1413">
        <v>0</v>
      </c>
      <c r="M1413">
        <v>0</v>
      </c>
      <c r="N1413">
        <v>550</v>
      </c>
    </row>
    <row r="1414" spans="1:14" x14ac:dyDescent="0.25">
      <c r="A1414">
        <v>1461.029524</v>
      </c>
      <c r="B1414" s="1">
        <f>DATE(2014,5,1) + TIME(0,42,30)</f>
        <v>41760.029513888891</v>
      </c>
      <c r="C1414">
        <v>80</v>
      </c>
      <c r="D1414">
        <v>60.144607544000003</v>
      </c>
      <c r="E1414">
        <v>50</v>
      </c>
      <c r="F1414">
        <v>49.957778931</v>
      </c>
      <c r="G1414">
        <v>1332.3564452999999</v>
      </c>
      <c r="H1414">
        <v>1331.6895752</v>
      </c>
      <c r="I1414">
        <v>1330.104126</v>
      </c>
      <c r="J1414">
        <v>1329.8942870999999</v>
      </c>
      <c r="K1414">
        <v>550</v>
      </c>
      <c r="L1414">
        <v>0</v>
      </c>
      <c r="M1414">
        <v>0</v>
      </c>
      <c r="N1414">
        <v>550</v>
      </c>
    </row>
    <row r="1415" spans="1:14" x14ac:dyDescent="0.25">
      <c r="A1415">
        <v>1461.088573</v>
      </c>
      <c r="B1415" s="1">
        <f>DATE(2014,5,1) + TIME(2,7,32)</f>
        <v>41760.088564814818</v>
      </c>
      <c r="C1415">
        <v>80</v>
      </c>
      <c r="D1415">
        <v>60.704151154000002</v>
      </c>
      <c r="E1415">
        <v>50</v>
      </c>
      <c r="F1415">
        <v>49.955665588000002</v>
      </c>
      <c r="G1415">
        <v>1332.3588867000001</v>
      </c>
      <c r="H1415">
        <v>1331.6943358999999</v>
      </c>
      <c r="I1415">
        <v>1330.1035156</v>
      </c>
      <c r="J1415">
        <v>1329.8931885</v>
      </c>
      <c r="K1415">
        <v>550</v>
      </c>
      <c r="L1415">
        <v>0</v>
      </c>
      <c r="M1415">
        <v>0</v>
      </c>
      <c r="N1415">
        <v>550</v>
      </c>
    </row>
    <row r="1416" spans="1:14" x14ac:dyDescent="0.25">
      <c r="A1416">
        <v>1461.1662470000001</v>
      </c>
      <c r="B1416" s="1">
        <f>DATE(2014,5,1) + TIME(3,59,23)</f>
        <v>41760.166238425925</v>
      </c>
      <c r="C1416">
        <v>80</v>
      </c>
      <c r="D1416">
        <v>61.427932738999999</v>
      </c>
      <c r="E1416">
        <v>50</v>
      </c>
      <c r="F1416">
        <v>49.952892302999999</v>
      </c>
      <c r="G1416">
        <v>1332.3858643000001</v>
      </c>
      <c r="H1416">
        <v>1331.7133789</v>
      </c>
      <c r="I1416">
        <v>1330.1022949000001</v>
      </c>
      <c r="J1416">
        <v>1329.890625</v>
      </c>
      <c r="K1416">
        <v>550</v>
      </c>
      <c r="L1416">
        <v>0</v>
      </c>
      <c r="M1416">
        <v>0</v>
      </c>
      <c r="N1416">
        <v>550</v>
      </c>
    </row>
    <row r="1417" spans="1:14" x14ac:dyDescent="0.25">
      <c r="A1417">
        <v>1461.245561</v>
      </c>
      <c r="B1417" s="1">
        <f>DATE(2014,5,1) + TIME(5,53,36)</f>
        <v>41760.245555555557</v>
      </c>
      <c r="C1417">
        <v>80</v>
      </c>
      <c r="D1417">
        <v>62.159713744999998</v>
      </c>
      <c r="E1417">
        <v>50</v>
      </c>
      <c r="F1417">
        <v>49.950061798</v>
      </c>
      <c r="G1417">
        <v>1332.4270019999999</v>
      </c>
      <c r="H1417">
        <v>1331.7406006000001</v>
      </c>
      <c r="I1417">
        <v>1330.1008300999999</v>
      </c>
      <c r="J1417">
        <v>1329.8875731999999</v>
      </c>
      <c r="K1417">
        <v>550</v>
      </c>
      <c r="L1417">
        <v>0</v>
      </c>
      <c r="M1417">
        <v>0</v>
      </c>
      <c r="N1417">
        <v>550</v>
      </c>
    </row>
    <row r="1418" spans="1:14" x14ac:dyDescent="0.25">
      <c r="A1418">
        <v>1461.326611</v>
      </c>
      <c r="B1418" s="1">
        <f>DATE(2014,5,1) + TIME(7,50,19)</f>
        <v>41760.326608796298</v>
      </c>
      <c r="C1418">
        <v>80</v>
      </c>
      <c r="D1418">
        <v>62.898902892999999</v>
      </c>
      <c r="E1418">
        <v>50</v>
      </c>
      <c r="F1418">
        <v>49.947170258</v>
      </c>
      <c r="G1418">
        <v>1332.4699707</v>
      </c>
      <c r="H1418">
        <v>1331.7691649999999</v>
      </c>
      <c r="I1418">
        <v>1330.0992432</v>
      </c>
      <c r="J1418">
        <v>1329.8843993999999</v>
      </c>
      <c r="K1418">
        <v>550</v>
      </c>
      <c r="L1418">
        <v>0</v>
      </c>
      <c r="M1418">
        <v>0</v>
      </c>
      <c r="N1418">
        <v>550</v>
      </c>
    </row>
    <row r="1419" spans="1:14" x14ac:dyDescent="0.25">
      <c r="A1419">
        <v>1461.4094709999999</v>
      </c>
      <c r="B1419" s="1">
        <f>DATE(2014,5,1) + TIME(9,49,38)</f>
        <v>41760.409467592595</v>
      </c>
      <c r="C1419">
        <v>80</v>
      </c>
      <c r="D1419">
        <v>63.644496918000002</v>
      </c>
      <c r="E1419">
        <v>50</v>
      </c>
      <c r="F1419">
        <v>49.944210052000003</v>
      </c>
      <c r="G1419">
        <v>1332.5147704999999</v>
      </c>
      <c r="H1419">
        <v>1331.7989502</v>
      </c>
      <c r="I1419">
        <v>1330.0977783000001</v>
      </c>
      <c r="J1419">
        <v>1329.8812256000001</v>
      </c>
      <c r="K1419">
        <v>550</v>
      </c>
      <c r="L1419">
        <v>0</v>
      </c>
      <c r="M1419">
        <v>0</v>
      </c>
      <c r="N1419">
        <v>550</v>
      </c>
    </row>
    <row r="1420" spans="1:14" x14ac:dyDescent="0.25">
      <c r="A1420">
        <v>1461.4942269999999</v>
      </c>
      <c r="B1420" s="1">
        <f>DATE(2014,5,1) + TIME(11,51,41)</f>
        <v>41760.49422453704</v>
      </c>
      <c r="C1420">
        <v>80</v>
      </c>
      <c r="D1420">
        <v>64.395332335999996</v>
      </c>
      <c r="E1420">
        <v>50</v>
      </c>
      <c r="F1420">
        <v>49.941188812</v>
      </c>
      <c r="G1420">
        <v>1332.5614014</v>
      </c>
      <c r="H1420">
        <v>1331.8299560999999</v>
      </c>
      <c r="I1420">
        <v>1330.0963135</v>
      </c>
      <c r="J1420">
        <v>1329.8780518000001</v>
      </c>
      <c r="K1420">
        <v>550</v>
      </c>
      <c r="L1420">
        <v>0</v>
      </c>
      <c r="M1420">
        <v>0</v>
      </c>
      <c r="N1420">
        <v>550</v>
      </c>
    </row>
    <row r="1421" spans="1:14" x14ac:dyDescent="0.25">
      <c r="A1421">
        <v>1461.580976</v>
      </c>
      <c r="B1421" s="1">
        <f>DATE(2014,5,1) + TIME(13,56,36)</f>
        <v>41760.580972222226</v>
      </c>
      <c r="C1421">
        <v>80</v>
      </c>
      <c r="D1421">
        <v>65.150115967000005</v>
      </c>
      <c r="E1421">
        <v>50</v>
      </c>
      <c r="F1421">
        <v>49.938095093000001</v>
      </c>
      <c r="G1421">
        <v>1332.6096190999999</v>
      </c>
      <c r="H1421">
        <v>1331.8620605000001</v>
      </c>
      <c r="I1421">
        <v>1330.0949707</v>
      </c>
      <c r="J1421">
        <v>1329.8748779</v>
      </c>
      <c r="K1421">
        <v>550</v>
      </c>
      <c r="L1421">
        <v>0</v>
      </c>
      <c r="M1421">
        <v>0</v>
      </c>
      <c r="N1421">
        <v>550</v>
      </c>
    </row>
    <row r="1422" spans="1:14" x14ac:dyDescent="0.25">
      <c r="A1422">
        <v>1461.669449</v>
      </c>
      <c r="B1422" s="1">
        <f>DATE(2014,5,1) + TIME(16,4,0)</f>
        <v>41760.669444444444</v>
      </c>
      <c r="C1422">
        <v>80</v>
      </c>
      <c r="D1422">
        <v>65.904426575000002</v>
      </c>
      <c r="E1422">
        <v>50</v>
      </c>
      <c r="F1422">
        <v>49.934940337999997</v>
      </c>
      <c r="G1422">
        <v>1332.6594238</v>
      </c>
      <c r="H1422">
        <v>1331.8952637</v>
      </c>
      <c r="I1422">
        <v>1330.0935059000001</v>
      </c>
      <c r="J1422">
        <v>1329.8717041</v>
      </c>
      <c r="K1422">
        <v>550</v>
      </c>
      <c r="L1422">
        <v>0</v>
      </c>
      <c r="M1422">
        <v>0</v>
      </c>
      <c r="N1422">
        <v>550</v>
      </c>
    </row>
    <row r="1423" spans="1:14" x14ac:dyDescent="0.25">
      <c r="A1423">
        <v>1461.759744</v>
      </c>
      <c r="B1423" s="1">
        <f>DATE(2014,5,1) + TIME(18,14,1)</f>
        <v>41760.759733796294</v>
      </c>
      <c r="C1423">
        <v>80</v>
      </c>
      <c r="D1423">
        <v>66.656478882000002</v>
      </c>
      <c r="E1423">
        <v>50</v>
      </c>
      <c r="F1423">
        <v>49.931720734000002</v>
      </c>
      <c r="G1423">
        <v>1332.7104492000001</v>
      </c>
      <c r="H1423">
        <v>1331.9293213000001</v>
      </c>
      <c r="I1423">
        <v>1330.0920410000001</v>
      </c>
      <c r="J1423">
        <v>1329.8685303</v>
      </c>
      <c r="K1423">
        <v>550</v>
      </c>
      <c r="L1423">
        <v>0</v>
      </c>
      <c r="M1423">
        <v>0</v>
      </c>
      <c r="N1423">
        <v>550</v>
      </c>
    </row>
    <row r="1424" spans="1:14" x14ac:dyDescent="0.25">
      <c r="A1424">
        <v>1461.8519630000001</v>
      </c>
      <c r="B1424" s="1">
        <f>DATE(2014,5,1) + TIME(20,26,49)</f>
        <v>41760.851956018516</v>
      </c>
      <c r="C1424">
        <v>80</v>
      </c>
      <c r="D1424">
        <v>67.404457092000001</v>
      </c>
      <c r="E1424">
        <v>50</v>
      </c>
      <c r="F1424">
        <v>49.928436279000003</v>
      </c>
      <c r="G1424">
        <v>1332.7624512</v>
      </c>
      <c r="H1424">
        <v>1331.9641113</v>
      </c>
      <c r="I1424">
        <v>1330.0906981999999</v>
      </c>
      <c r="J1424">
        <v>1329.8653564000001</v>
      </c>
      <c r="K1424">
        <v>550</v>
      </c>
      <c r="L1424">
        <v>0</v>
      </c>
      <c r="M1424">
        <v>0</v>
      </c>
      <c r="N1424">
        <v>550</v>
      </c>
    </row>
    <row r="1425" spans="1:14" x14ac:dyDescent="0.25">
      <c r="A1425">
        <v>1461.9462229999999</v>
      </c>
      <c r="B1425" s="1">
        <f>DATE(2014,5,1) + TIME(22,42,33)</f>
        <v>41760.946215277778</v>
      </c>
      <c r="C1425">
        <v>80</v>
      </c>
      <c r="D1425">
        <v>68.146446228000002</v>
      </c>
      <c r="E1425">
        <v>50</v>
      </c>
      <c r="F1425">
        <v>49.92508316</v>
      </c>
      <c r="G1425">
        <v>1332.8155518000001</v>
      </c>
      <c r="H1425">
        <v>1331.9996338000001</v>
      </c>
      <c r="I1425">
        <v>1330.0893555</v>
      </c>
      <c r="J1425">
        <v>1329.8621826000001</v>
      </c>
      <c r="K1425">
        <v>550</v>
      </c>
      <c r="L1425">
        <v>0</v>
      </c>
      <c r="M1425">
        <v>0</v>
      </c>
      <c r="N1425">
        <v>550</v>
      </c>
    </row>
    <row r="1426" spans="1:14" x14ac:dyDescent="0.25">
      <c r="A1426">
        <v>1462.0426749999999</v>
      </c>
      <c r="B1426" s="1">
        <f>DATE(2014,5,2) + TIME(1,1,27)</f>
        <v>41761.042673611111</v>
      </c>
      <c r="C1426">
        <v>80</v>
      </c>
      <c r="D1426">
        <v>68.880577087000006</v>
      </c>
      <c r="E1426">
        <v>50</v>
      </c>
      <c r="F1426">
        <v>49.921653747999997</v>
      </c>
      <c r="G1426">
        <v>1332.8695068</v>
      </c>
      <c r="H1426">
        <v>1332.0357666</v>
      </c>
      <c r="I1426">
        <v>1330.0878906</v>
      </c>
      <c r="J1426">
        <v>1329.8590088000001</v>
      </c>
      <c r="K1426">
        <v>550</v>
      </c>
      <c r="L1426">
        <v>0</v>
      </c>
      <c r="M1426">
        <v>0</v>
      </c>
      <c r="N1426">
        <v>550</v>
      </c>
    </row>
    <row r="1427" spans="1:14" x14ac:dyDescent="0.25">
      <c r="A1427">
        <v>1462.141488</v>
      </c>
      <c r="B1427" s="1">
        <f>DATE(2014,5,2) + TIME(3,23,44)</f>
        <v>41761.141481481478</v>
      </c>
      <c r="C1427">
        <v>80</v>
      </c>
      <c r="D1427">
        <v>69.604927063000005</v>
      </c>
      <c r="E1427">
        <v>50</v>
      </c>
      <c r="F1427">
        <v>49.918144226000003</v>
      </c>
      <c r="G1427">
        <v>1332.9240723</v>
      </c>
      <c r="H1427">
        <v>1332.0723877</v>
      </c>
      <c r="I1427">
        <v>1330.0865478999999</v>
      </c>
      <c r="J1427">
        <v>1329.8558350000001</v>
      </c>
      <c r="K1427">
        <v>550</v>
      </c>
      <c r="L1427">
        <v>0</v>
      </c>
      <c r="M1427">
        <v>0</v>
      </c>
      <c r="N1427">
        <v>550</v>
      </c>
    </row>
    <row r="1428" spans="1:14" x14ac:dyDescent="0.25">
      <c r="A1428">
        <v>1462.2428560000001</v>
      </c>
      <c r="B1428" s="1">
        <f>DATE(2014,5,2) + TIME(5,49,42)</f>
        <v>41761.242847222224</v>
      </c>
      <c r="C1428">
        <v>80</v>
      </c>
      <c r="D1428">
        <v>70.317291260000005</v>
      </c>
      <c r="E1428">
        <v>50</v>
      </c>
      <c r="F1428">
        <v>49.914543152</v>
      </c>
      <c r="G1428">
        <v>1332.9792480000001</v>
      </c>
      <c r="H1428">
        <v>1332.1094971</v>
      </c>
      <c r="I1428">
        <v>1330.0852050999999</v>
      </c>
      <c r="J1428">
        <v>1329.8526611</v>
      </c>
      <c r="K1428">
        <v>550</v>
      </c>
      <c r="L1428">
        <v>0</v>
      </c>
      <c r="M1428">
        <v>0</v>
      </c>
      <c r="N1428">
        <v>550</v>
      </c>
    </row>
    <row r="1429" spans="1:14" x14ac:dyDescent="0.25">
      <c r="A1429">
        <v>1462.347</v>
      </c>
      <c r="B1429" s="1">
        <f>DATE(2014,5,2) + TIME(8,19,40)</f>
        <v>41761.346990740742</v>
      </c>
      <c r="C1429">
        <v>80</v>
      </c>
      <c r="D1429">
        <v>71.015602111999996</v>
      </c>
      <c r="E1429">
        <v>50</v>
      </c>
      <c r="F1429">
        <v>49.910850525000001</v>
      </c>
      <c r="G1429">
        <v>1333.0349120999999</v>
      </c>
      <c r="H1429">
        <v>1332.1469727000001</v>
      </c>
      <c r="I1429">
        <v>1330.0837402</v>
      </c>
      <c r="J1429">
        <v>1329.8493652</v>
      </c>
      <c r="K1429">
        <v>550</v>
      </c>
      <c r="L1429">
        <v>0</v>
      </c>
      <c r="M1429">
        <v>0</v>
      </c>
      <c r="N1429">
        <v>550</v>
      </c>
    </row>
    <row r="1430" spans="1:14" x14ac:dyDescent="0.25">
      <c r="A1430">
        <v>1462.454172</v>
      </c>
      <c r="B1430" s="1">
        <f>DATE(2014,5,2) + TIME(10,54,0)</f>
        <v>41761.45416666667</v>
      </c>
      <c r="C1430">
        <v>80</v>
      </c>
      <c r="D1430">
        <v>71.698135375999996</v>
      </c>
      <c r="E1430">
        <v>50</v>
      </c>
      <c r="F1430">
        <v>49.907058716000002</v>
      </c>
      <c r="G1430">
        <v>1333.0909423999999</v>
      </c>
      <c r="H1430">
        <v>1332.1846923999999</v>
      </c>
      <c r="I1430">
        <v>1330.0823975000001</v>
      </c>
      <c r="J1430">
        <v>1329.8460693</v>
      </c>
      <c r="K1430">
        <v>550</v>
      </c>
      <c r="L1430">
        <v>0</v>
      </c>
      <c r="M1430">
        <v>0</v>
      </c>
      <c r="N1430">
        <v>550</v>
      </c>
    </row>
    <row r="1431" spans="1:14" x14ac:dyDescent="0.25">
      <c r="A1431">
        <v>1462.564658</v>
      </c>
      <c r="B1431" s="1">
        <f>DATE(2014,5,2) + TIME(13,33,6)</f>
        <v>41761.564652777779</v>
      </c>
      <c r="C1431">
        <v>80</v>
      </c>
      <c r="D1431">
        <v>72.362922667999996</v>
      </c>
      <c r="E1431">
        <v>50</v>
      </c>
      <c r="F1431">
        <v>49.903152466000002</v>
      </c>
      <c r="G1431">
        <v>1333.1470947</v>
      </c>
      <c r="H1431">
        <v>1332.2225341999999</v>
      </c>
      <c r="I1431">
        <v>1330.0809326000001</v>
      </c>
      <c r="J1431">
        <v>1329.8427733999999</v>
      </c>
      <c r="K1431">
        <v>550</v>
      </c>
      <c r="L1431">
        <v>0</v>
      </c>
      <c r="M1431">
        <v>0</v>
      </c>
      <c r="N1431">
        <v>550</v>
      </c>
    </row>
    <row r="1432" spans="1:14" x14ac:dyDescent="0.25">
      <c r="A1432">
        <v>1462.6787870000001</v>
      </c>
      <c r="B1432" s="1">
        <f>DATE(2014,5,2) + TIME(16,17,27)</f>
        <v>41761.678784722222</v>
      </c>
      <c r="C1432">
        <v>80</v>
      </c>
      <c r="D1432">
        <v>73.008003235000004</v>
      </c>
      <c r="E1432">
        <v>50</v>
      </c>
      <c r="F1432">
        <v>49.899124145999998</v>
      </c>
      <c r="G1432">
        <v>1333.2034911999999</v>
      </c>
      <c r="H1432">
        <v>1332.2606201000001</v>
      </c>
      <c r="I1432">
        <v>1330.0794678</v>
      </c>
      <c r="J1432">
        <v>1329.8394774999999</v>
      </c>
      <c r="K1432">
        <v>550</v>
      </c>
      <c r="L1432">
        <v>0</v>
      </c>
      <c r="M1432">
        <v>0</v>
      </c>
      <c r="N1432">
        <v>550</v>
      </c>
    </row>
    <row r="1433" spans="1:14" x14ac:dyDescent="0.25">
      <c r="A1433">
        <v>1462.796975</v>
      </c>
      <c r="B1433" s="1">
        <f>DATE(2014,5,2) + TIME(19,7,38)</f>
        <v>41761.796967592592</v>
      </c>
      <c r="C1433">
        <v>80</v>
      </c>
      <c r="D1433">
        <v>73.631645203000005</v>
      </c>
      <c r="E1433">
        <v>50</v>
      </c>
      <c r="F1433">
        <v>49.894962311</v>
      </c>
      <c r="G1433">
        <v>1333.2596435999999</v>
      </c>
      <c r="H1433">
        <v>1332.2985839999999</v>
      </c>
      <c r="I1433">
        <v>1330.0780029</v>
      </c>
      <c r="J1433">
        <v>1329.8361815999999</v>
      </c>
      <c r="K1433">
        <v>550</v>
      </c>
      <c r="L1433">
        <v>0</v>
      </c>
      <c r="M1433">
        <v>0</v>
      </c>
      <c r="N1433">
        <v>550</v>
      </c>
    </row>
    <row r="1434" spans="1:14" x14ac:dyDescent="0.25">
      <c r="A1434">
        <v>1462.919684</v>
      </c>
      <c r="B1434" s="1">
        <f>DATE(2014,5,2) + TIME(22,4,20)</f>
        <v>41761.919675925928</v>
      </c>
      <c r="C1434">
        <v>80</v>
      </c>
      <c r="D1434">
        <v>74.232116699000002</v>
      </c>
      <c r="E1434">
        <v>50</v>
      </c>
      <c r="F1434">
        <v>49.890647887999997</v>
      </c>
      <c r="G1434">
        <v>1333.3157959</v>
      </c>
      <c r="H1434">
        <v>1332.3365478999999</v>
      </c>
      <c r="I1434">
        <v>1330.0765381000001</v>
      </c>
      <c r="J1434">
        <v>1329.8327637</v>
      </c>
      <c r="K1434">
        <v>550</v>
      </c>
      <c r="L1434">
        <v>0</v>
      </c>
      <c r="M1434">
        <v>0</v>
      </c>
      <c r="N1434">
        <v>550</v>
      </c>
    </row>
    <row r="1435" spans="1:14" x14ac:dyDescent="0.25">
      <c r="A1435">
        <v>1463.04738</v>
      </c>
      <c r="B1435" s="1">
        <f>DATE(2014,5,3) + TIME(1,8,13)</f>
        <v>41762.047372685185</v>
      </c>
      <c r="C1435">
        <v>80</v>
      </c>
      <c r="D1435">
        <v>74.807441710999996</v>
      </c>
      <c r="E1435">
        <v>50</v>
      </c>
      <c r="F1435">
        <v>49.886169434000003</v>
      </c>
      <c r="G1435">
        <v>1333.371582</v>
      </c>
      <c r="H1435">
        <v>1332.3743896000001</v>
      </c>
      <c r="I1435">
        <v>1330.0749512</v>
      </c>
      <c r="J1435">
        <v>1329.8292236</v>
      </c>
      <c r="K1435">
        <v>550</v>
      </c>
      <c r="L1435">
        <v>0</v>
      </c>
      <c r="M1435">
        <v>0</v>
      </c>
      <c r="N1435">
        <v>550</v>
      </c>
    </row>
    <row r="1436" spans="1:14" x14ac:dyDescent="0.25">
      <c r="A1436">
        <v>1463.1806650000001</v>
      </c>
      <c r="B1436" s="1">
        <f>DATE(2014,5,3) + TIME(4,20,9)</f>
        <v>41762.180659722224</v>
      </c>
      <c r="C1436">
        <v>80</v>
      </c>
      <c r="D1436">
        <v>75.355728149000001</v>
      </c>
      <c r="E1436">
        <v>50</v>
      </c>
      <c r="F1436">
        <v>49.881507874</v>
      </c>
      <c r="G1436">
        <v>1333.4268798999999</v>
      </c>
      <c r="H1436">
        <v>1332.4118652</v>
      </c>
      <c r="I1436">
        <v>1330.0733643000001</v>
      </c>
      <c r="J1436">
        <v>1329.8256836</v>
      </c>
      <c r="K1436">
        <v>550</v>
      </c>
      <c r="L1436">
        <v>0</v>
      </c>
      <c r="M1436">
        <v>0</v>
      </c>
      <c r="N1436">
        <v>550</v>
      </c>
    </row>
    <row r="1437" spans="1:14" x14ac:dyDescent="0.25">
      <c r="A1437">
        <v>1463.3202490000001</v>
      </c>
      <c r="B1437" s="1">
        <f>DATE(2014,5,3) + TIME(7,41,9)</f>
        <v>41762.320243055554</v>
      </c>
      <c r="C1437">
        <v>80</v>
      </c>
      <c r="D1437">
        <v>75.875343322999996</v>
      </c>
      <c r="E1437">
        <v>50</v>
      </c>
      <c r="F1437">
        <v>49.876636505</v>
      </c>
      <c r="G1437">
        <v>1333.4796143000001</v>
      </c>
      <c r="H1437">
        <v>1332.4476318</v>
      </c>
      <c r="I1437">
        <v>1330.0716553</v>
      </c>
      <c r="J1437">
        <v>1329.8220214999999</v>
      </c>
      <c r="K1437">
        <v>550</v>
      </c>
      <c r="L1437">
        <v>0</v>
      </c>
      <c r="M1437">
        <v>0</v>
      </c>
      <c r="N1437">
        <v>550</v>
      </c>
    </row>
    <row r="1438" spans="1:14" x14ac:dyDescent="0.25">
      <c r="A1438">
        <v>1463.467124</v>
      </c>
      <c r="B1438" s="1">
        <f>DATE(2014,5,3) + TIME(11,12,39)</f>
        <v>41762.467118055552</v>
      </c>
      <c r="C1438">
        <v>80</v>
      </c>
      <c r="D1438">
        <v>76.365493774000001</v>
      </c>
      <c r="E1438">
        <v>50</v>
      </c>
      <c r="F1438">
        <v>49.871532440000003</v>
      </c>
      <c r="G1438">
        <v>1333.5308838000001</v>
      </c>
      <c r="H1438">
        <v>1332.4822998</v>
      </c>
      <c r="I1438">
        <v>1330.0699463000001</v>
      </c>
      <c r="J1438">
        <v>1329.8182373</v>
      </c>
      <c r="K1438">
        <v>550</v>
      </c>
      <c r="L1438">
        <v>0</v>
      </c>
      <c r="M1438">
        <v>0</v>
      </c>
      <c r="N1438">
        <v>550</v>
      </c>
    </row>
    <row r="1439" spans="1:14" x14ac:dyDescent="0.25">
      <c r="A1439">
        <v>1463.621341</v>
      </c>
      <c r="B1439" s="1">
        <f>DATE(2014,5,3) + TIME(14,54,43)</f>
        <v>41762.621331018519</v>
      </c>
      <c r="C1439">
        <v>80</v>
      </c>
      <c r="D1439">
        <v>76.822105407999999</v>
      </c>
      <c r="E1439">
        <v>50</v>
      </c>
      <c r="F1439">
        <v>49.866191864000001</v>
      </c>
      <c r="G1439">
        <v>1333.5780029</v>
      </c>
      <c r="H1439">
        <v>1332.5142822</v>
      </c>
      <c r="I1439">
        <v>1330.0678711</v>
      </c>
      <c r="J1439">
        <v>1329.8144531</v>
      </c>
      <c r="K1439">
        <v>550</v>
      </c>
      <c r="L1439">
        <v>0</v>
      </c>
      <c r="M1439">
        <v>0</v>
      </c>
      <c r="N1439">
        <v>550</v>
      </c>
    </row>
    <row r="1440" spans="1:14" x14ac:dyDescent="0.25">
      <c r="A1440">
        <v>1463.7836749999999</v>
      </c>
      <c r="B1440" s="1">
        <f>DATE(2014,5,3) + TIME(18,48,29)</f>
        <v>41762.783668981479</v>
      </c>
      <c r="C1440">
        <v>80</v>
      </c>
      <c r="D1440">
        <v>77.244201660000002</v>
      </c>
      <c r="E1440">
        <v>50</v>
      </c>
      <c r="F1440">
        <v>49.860595703000001</v>
      </c>
      <c r="G1440">
        <v>1333.6234131000001</v>
      </c>
      <c r="H1440">
        <v>1332.5451660000001</v>
      </c>
      <c r="I1440">
        <v>1330.065918</v>
      </c>
      <c r="J1440">
        <v>1329.8105469</v>
      </c>
      <c r="K1440">
        <v>550</v>
      </c>
      <c r="L1440">
        <v>0</v>
      </c>
      <c r="M1440">
        <v>0</v>
      </c>
      <c r="N1440">
        <v>550</v>
      </c>
    </row>
    <row r="1441" spans="1:14" x14ac:dyDescent="0.25">
      <c r="A1441">
        <v>1463.955027</v>
      </c>
      <c r="B1441" s="1">
        <f>DATE(2014,5,3) + TIME(22,55,14)</f>
        <v>41762.955023148148</v>
      </c>
      <c r="C1441">
        <v>80</v>
      </c>
      <c r="D1441">
        <v>77.630867003999995</v>
      </c>
      <c r="E1441">
        <v>50</v>
      </c>
      <c r="F1441">
        <v>49.854713439999998</v>
      </c>
      <c r="G1441">
        <v>1333.6640625</v>
      </c>
      <c r="H1441">
        <v>1332.5727539</v>
      </c>
      <c r="I1441">
        <v>1330.0635986</v>
      </c>
      <c r="J1441">
        <v>1329.8063964999999</v>
      </c>
      <c r="K1441">
        <v>550</v>
      </c>
      <c r="L1441">
        <v>0</v>
      </c>
      <c r="M1441">
        <v>0</v>
      </c>
      <c r="N1441">
        <v>550</v>
      </c>
    </row>
    <row r="1442" spans="1:14" x14ac:dyDescent="0.25">
      <c r="A1442">
        <v>1464.1369090000001</v>
      </c>
      <c r="B1442" s="1">
        <f>DATE(2014,5,4) + TIME(3,17,8)</f>
        <v>41763.13689814815</v>
      </c>
      <c r="C1442">
        <v>80</v>
      </c>
      <c r="D1442">
        <v>77.982765197999996</v>
      </c>
      <c r="E1442">
        <v>50</v>
      </c>
      <c r="F1442">
        <v>49.848503113</v>
      </c>
      <c r="G1442">
        <v>1333.7023925999999</v>
      </c>
      <c r="H1442">
        <v>1332.5988769999999</v>
      </c>
      <c r="I1442">
        <v>1330.0612793</v>
      </c>
      <c r="J1442">
        <v>1329.8022461</v>
      </c>
      <c r="K1442">
        <v>550</v>
      </c>
      <c r="L1442">
        <v>0</v>
      </c>
      <c r="M1442">
        <v>0</v>
      </c>
      <c r="N1442">
        <v>550</v>
      </c>
    </row>
    <row r="1443" spans="1:14" x14ac:dyDescent="0.25">
      <c r="A1443">
        <v>1464.330643</v>
      </c>
      <c r="B1443" s="1">
        <f>DATE(2014,5,4) + TIME(7,56,7)</f>
        <v>41763.330636574072</v>
      </c>
      <c r="C1443">
        <v>80</v>
      </c>
      <c r="D1443">
        <v>78.299896239999995</v>
      </c>
      <c r="E1443">
        <v>50</v>
      </c>
      <c r="F1443">
        <v>49.841926575000002</v>
      </c>
      <c r="G1443">
        <v>1333.7380370999999</v>
      </c>
      <c r="H1443">
        <v>1332.6230469</v>
      </c>
      <c r="I1443">
        <v>1330.0588379000001</v>
      </c>
      <c r="J1443">
        <v>1329.7978516000001</v>
      </c>
      <c r="K1443">
        <v>550</v>
      </c>
      <c r="L1443">
        <v>0</v>
      </c>
      <c r="M1443">
        <v>0</v>
      </c>
      <c r="N1443">
        <v>550</v>
      </c>
    </row>
    <row r="1444" spans="1:14" x14ac:dyDescent="0.25">
      <c r="A1444">
        <v>1464.5380560000001</v>
      </c>
      <c r="B1444" s="1">
        <f>DATE(2014,5,4) + TIME(12,54,48)</f>
        <v>41763.538055555553</v>
      </c>
      <c r="C1444">
        <v>80</v>
      </c>
      <c r="D1444">
        <v>78.582832335999996</v>
      </c>
      <c r="E1444">
        <v>50</v>
      </c>
      <c r="F1444">
        <v>49.834930419999999</v>
      </c>
      <c r="G1444">
        <v>1333.7683105000001</v>
      </c>
      <c r="H1444">
        <v>1332.6439209</v>
      </c>
      <c r="I1444">
        <v>1330.0561522999999</v>
      </c>
      <c r="J1444">
        <v>1329.7933350000001</v>
      </c>
      <c r="K1444">
        <v>550</v>
      </c>
      <c r="L1444">
        <v>0</v>
      </c>
      <c r="M1444">
        <v>0</v>
      </c>
      <c r="N1444">
        <v>550</v>
      </c>
    </row>
    <row r="1445" spans="1:14" x14ac:dyDescent="0.25">
      <c r="A1445">
        <v>1464.7615949999999</v>
      </c>
      <c r="B1445" s="1">
        <f>DATE(2014,5,4) + TIME(18,16,41)</f>
        <v>41763.76158564815</v>
      </c>
      <c r="C1445">
        <v>80</v>
      </c>
      <c r="D1445">
        <v>78.832962035999998</v>
      </c>
      <c r="E1445">
        <v>50</v>
      </c>
      <c r="F1445">
        <v>49.827442169000001</v>
      </c>
      <c r="G1445">
        <v>1333.7973632999999</v>
      </c>
      <c r="H1445">
        <v>1332.6639404</v>
      </c>
      <c r="I1445">
        <v>1330.0534668</v>
      </c>
      <c r="J1445">
        <v>1329.7886963000001</v>
      </c>
      <c r="K1445">
        <v>550</v>
      </c>
      <c r="L1445">
        <v>0</v>
      </c>
      <c r="M1445">
        <v>0</v>
      </c>
      <c r="N1445">
        <v>550</v>
      </c>
    </row>
    <row r="1446" spans="1:14" x14ac:dyDescent="0.25">
      <c r="A1446">
        <v>1464.990372</v>
      </c>
      <c r="B1446" s="1">
        <f>DATE(2014,5,4) + TIME(23,46,8)</f>
        <v>41763.990370370368</v>
      </c>
      <c r="C1446">
        <v>80</v>
      </c>
      <c r="D1446">
        <v>79.041687011999997</v>
      </c>
      <c r="E1446">
        <v>50</v>
      </c>
      <c r="F1446">
        <v>49.819824218999997</v>
      </c>
      <c r="G1446">
        <v>1333.8250731999999</v>
      </c>
      <c r="H1446">
        <v>1332.6831055</v>
      </c>
      <c r="I1446">
        <v>1330.0505370999999</v>
      </c>
      <c r="J1446">
        <v>1329.7838135</v>
      </c>
      <c r="K1446">
        <v>550</v>
      </c>
      <c r="L1446">
        <v>0</v>
      </c>
      <c r="M1446">
        <v>0</v>
      </c>
      <c r="N1446">
        <v>550</v>
      </c>
    </row>
    <row r="1447" spans="1:14" x14ac:dyDescent="0.25">
      <c r="A1447">
        <v>1465.2261880000001</v>
      </c>
      <c r="B1447" s="1">
        <f>DATE(2014,5,5) + TIME(5,25,42)</f>
        <v>41764.226180555554</v>
      </c>
      <c r="C1447">
        <v>80</v>
      </c>
      <c r="D1447">
        <v>79.215515136999997</v>
      </c>
      <c r="E1447">
        <v>50</v>
      </c>
      <c r="F1447">
        <v>49.812019348</v>
      </c>
      <c r="G1447">
        <v>1333.8463135</v>
      </c>
      <c r="H1447">
        <v>1332.6981201000001</v>
      </c>
      <c r="I1447">
        <v>1330.0474853999999</v>
      </c>
      <c r="J1447">
        <v>1329.7789307</v>
      </c>
      <c r="K1447">
        <v>550</v>
      </c>
      <c r="L1447">
        <v>0</v>
      </c>
      <c r="M1447">
        <v>0</v>
      </c>
      <c r="N1447">
        <v>550</v>
      </c>
    </row>
    <row r="1448" spans="1:14" x14ac:dyDescent="0.25">
      <c r="A1448">
        <v>1465.4712999999999</v>
      </c>
      <c r="B1448" s="1">
        <f>DATE(2014,5,5) + TIME(11,18,40)</f>
        <v>41764.471296296295</v>
      </c>
      <c r="C1448">
        <v>80</v>
      </c>
      <c r="D1448">
        <v>79.360145568999997</v>
      </c>
      <c r="E1448">
        <v>50</v>
      </c>
      <c r="F1448">
        <v>49.803966522000003</v>
      </c>
      <c r="G1448">
        <v>1333.8638916</v>
      </c>
      <c r="H1448">
        <v>1332.7106934000001</v>
      </c>
      <c r="I1448">
        <v>1330.0445557</v>
      </c>
      <c r="J1448">
        <v>1329.7740478999999</v>
      </c>
      <c r="K1448">
        <v>550</v>
      </c>
      <c r="L1448">
        <v>0</v>
      </c>
      <c r="M1448">
        <v>0</v>
      </c>
      <c r="N1448">
        <v>550</v>
      </c>
    </row>
    <row r="1449" spans="1:14" x14ac:dyDescent="0.25">
      <c r="A1449">
        <v>1465.7257959999999</v>
      </c>
      <c r="B1449" s="1">
        <f>DATE(2014,5,5) + TIME(17,25,8)</f>
        <v>41764.725787037038</v>
      </c>
      <c r="C1449">
        <v>80</v>
      </c>
      <c r="D1449">
        <v>79.479331970000004</v>
      </c>
      <c r="E1449">
        <v>50</v>
      </c>
      <c r="F1449">
        <v>49.795658111999998</v>
      </c>
      <c r="G1449">
        <v>1333.8795166</v>
      </c>
      <c r="H1449">
        <v>1332.7222899999999</v>
      </c>
      <c r="I1449">
        <v>1330.0413818</v>
      </c>
      <c r="J1449">
        <v>1329.769043</v>
      </c>
      <c r="K1449">
        <v>550</v>
      </c>
      <c r="L1449">
        <v>0</v>
      </c>
      <c r="M1449">
        <v>0</v>
      </c>
      <c r="N1449">
        <v>550</v>
      </c>
    </row>
    <row r="1450" spans="1:14" x14ac:dyDescent="0.25">
      <c r="A1450">
        <v>1465.983555</v>
      </c>
      <c r="B1450" s="1">
        <f>DATE(2014,5,5) + TIME(23,36,19)</f>
        <v>41764.983553240738</v>
      </c>
      <c r="C1450">
        <v>80</v>
      </c>
      <c r="D1450">
        <v>79.574867248999993</v>
      </c>
      <c r="E1450">
        <v>50</v>
      </c>
      <c r="F1450">
        <v>49.787300109999997</v>
      </c>
      <c r="G1450">
        <v>1333.8934326000001</v>
      </c>
      <c r="H1450">
        <v>1332.7326660000001</v>
      </c>
      <c r="I1450">
        <v>1330.0383300999999</v>
      </c>
      <c r="J1450">
        <v>1329.7640381000001</v>
      </c>
      <c r="K1450">
        <v>550</v>
      </c>
      <c r="L1450">
        <v>0</v>
      </c>
      <c r="M1450">
        <v>0</v>
      </c>
      <c r="N1450">
        <v>550</v>
      </c>
    </row>
    <row r="1451" spans="1:14" x14ac:dyDescent="0.25">
      <c r="A1451">
        <v>1466.245866</v>
      </c>
      <c r="B1451" s="1">
        <f>DATE(2014,5,6) + TIME(5,54,2)</f>
        <v>41765.245856481481</v>
      </c>
      <c r="C1451">
        <v>80</v>
      </c>
      <c r="D1451">
        <v>79.651527404999996</v>
      </c>
      <c r="E1451">
        <v>50</v>
      </c>
      <c r="F1451">
        <v>49.778850554999998</v>
      </c>
      <c r="G1451">
        <v>1333.9052733999999</v>
      </c>
      <c r="H1451">
        <v>1332.7418213000001</v>
      </c>
      <c r="I1451">
        <v>1330.0352783000001</v>
      </c>
      <c r="J1451">
        <v>1329.7590332</v>
      </c>
      <c r="K1451">
        <v>550</v>
      </c>
      <c r="L1451">
        <v>0</v>
      </c>
      <c r="M1451">
        <v>0</v>
      </c>
      <c r="N1451">
        <v>550</v>
      </c>
    </row>
    <row r="1452" spans="1:14" x14ac:dyDescent="0.25">
      <c r="A1452">
        <v>1466.513682</v>
      </c>
      <c r="B1452" s="1">
        <f>DATE(2014,5,6) + TIME(12,19,42)</f>
        <v>41765.513680555552</v>
      </c>
      <c r="C1452">
        <v>80</v>
      </c>
      <c r="D1452">
        <v>79.712997436999999</v>
      </c>
      <c r="E1452">
        <v>50</v>
      </c>
      <c r="F1452">
        <v>49.770278931</v>
      </c>
      <c r="G1452">
        <v>1333.9155272999999</v>
      </c>
      <c r="H1452">
        <v>1332.7501221</v>
      </c>
      <c r="I1452">
        <v>1330.0321045000001</v>
      </c>
      <c r="J1452">
        <v>1329.7540283000001</v>
      </c>
      <c r="K1452">
        <v>550</v>
      </c>
      <c r="L1452">
        <v>0</v>
      </c>
      <c r="M1452">
        <v>0</v>
      </c>
      <c r="N1452">
        <v>550</v>
      </c>
    </row>
    <row r="1453" spans="1:14" x14ac:dyDescent="0.25">
      <c r="A1453">
        <v>1466.7880250000001</v>
      </c>
      <c r="B1453" s="1">
        <f>DATE(2014,5,6) + TIME(18,54,45)</f>
        <v>41765.78802083333</v>
      </c>
      <c r="C1453">
        <v>80</v>
      </c>
      <c r="D1453">
        <v>79.762237549000005</v>
      </c>
      <c r="E1453">
        <v>50</v>
      </c>
      <c r="F1453">
        <v>49.761562347000002</v>
      </c>
      <c r="G1453">
        <v>1333.9241943</v>
      </c>
      <c r="H1453">
        <v>1332.7574463000001</v>
      </c>
      <c r="I1453">
        <v>1330.0290527</v>
      </c>
      <c r="J1453">
        <v>1329.7491454999999</v>
      </c>
      <c r="K1453">
        <v>550</v>
      </c>
      <c r="L1453">
        <v>0</v>
      </c>
      <c r="M1453">
        <v>0</v>
      </c>
      <c r="N1453">
        <v>550</v>
      </c>
    </row>
    <row r="1454" spans="1:14" x14ac:dyDescent="0.25">
      <c r="A1454">
        <v>1467.069988</v>
      </c>
      <c r="B1454" s="1">
        <f>DATE(2014,5,7) + TIME(1,40,46)</f>
        <v>41766.069976851853</v>
      </c>
      <c r="C1454">
        <v>80</v>
      </c>
      <c r="D1454">
        <v>79.801620482999994</v>
      </c>
      <c r="E1454">
        <v>50</v>
      </c>
      <c r="F1454">
        <v>49.752666472999998</v>
      </c>
      <c r="G1454">
        <v>1333.9315185999999</v>
      </c>
      <c r="H1454">
        <v>1332.7639160000001</v>
      </c>
      <c r="I1454">
        <v>1330.0258789</v>
      </c>
      <c r="J1454">
        <v>1329.7441406</v>
      </c>
      <c r="K1454">
        <v>550</v>
      </c>
      <c r="L1454">
        <v>0</v>
      </c>
      <c r="M1454">
        <v>0</v>
      </c>
      <c r="N1454">
        <v>550</v>
      </c>
    </row>
    <row r="1455" spans="1:14" x14ac:dyDescent="0.25">
      <c r="A1455">
        <v>1467.360936</v>
      </c>
      <c r="B1455" s="1">
        <f>DATE(2014,5,7) + TIME(8,39,44)</f>
        <v>41766.360925925925</v>
      </c>
      <c r="C1455">
        <v>80</v>
      </c>
      <c r="D1455">
        <v>79.833076477000006</v>
      </c>
      <c r="E1455">
        <v>50</v>
      </c>
      <c r="F1455">
        <v>49.743560791</v>
      </c>
      <c r="G1455">
        <v>1333.9376221</v>
      </c>
      <c r="H1455">
        <v>1332.7697754000001</v>
      </c>
      <c r="I1455">
        <v>1330.0227050999999</v>
      </c>
      <c r="J1455">
        <v>1329.7391356999999</v>
      </c>
      <c r="K1455">
        <v>550</v>
      </c>
      <c r="L1455">
        <v>0</v>
      </c>
      <c r="M1455">
        <v>0</v>
      </c>
      <c r="N1455">
        <v>550</v>
      </c>
    </row>
    <row r="1456" spans="1:14" x14ac:dyDescent="0.25">
      <c r="A1456">
        <v>1467.6636060000001</v>
      </c>
      <c r="B1456" s="1">
        <f>DATE(2014,5,7) + TIME(15,55,35)</f>
        <v>41766.663599537038</v>
      </c>
      <c r="C1456">
        <v>80</v>
      </c>
      <c r="D1456">
        <v>79.858230590999995</v>
      </c>
      <c r="E1456">
        <v>50</v>
      </c>
      <c r="F1456">
        <v>49.734161377</v>
      </c>
      <c r="G1456">
        <v>1333.9426269999999</v>
      </c>
      <c r="H1456">
        <v>1332.7750243999999</v>
      </c>
      <c r="I1456">
        <v>1330.0195312000001</v>
      </c>
      <c r="J1456">
        <v>1329.7341309000001</v>
      </c>
      <c r="K1456">
        <v>550</v>
      </c>
      <c r="L1456">
        <v>0</v>
      </c>
      <c r="M1456">
        <v>0</v>
      </c>
      <c r="N1456">
        <v>550</v>
      </c>
    </row>
    <row r="1457" spans="1:14" x14ac:dyDescent="0.25">
      <c r="A1457">
        <v>1467.980159</v>
      </c>
      <c r="B1457" s="1">
        <f>DATE(2014,5,7) + TIME(23,31,25)</f>
        <v>41766.980150462965</v>
      </c>
      <c r="C1457">
        <v>80</v>
      </c>
      <c r="D1457">
        <v>79.878303528000004</v>
      </c>
      <c r="E1457">
        <v>50</v>
      </c>
      <c r="F1457">
        <v>49.724418640000003</v>
      </c>
      <c r="G1457">
        <v>1333.9466553</v>
      </c>
      <c r="H1457">
        <v>1332.7796631000001</v>
      </c>
      <c r="I1457">
        <v>1330.0162353999999</v>
      </c>
      <c r="J1457">
        <v>1329.7290039</v>
      </c>
      <c r="K1457">
        <v>550</v>
      </c>
      <c r="L1457">
        <v>0</v>
      </c>
      <c r="M1457">
        <v>0</v>
      </c>
      <c r="N1457">
        <v>550</v>
      </c>
    </row>
    <row r="1458" spans="1:14" x14ac:dyDescent="0.25">
      <c r="A1458">
        <v>1468.3090830000001</v>
      </c>
      <c r="B1458" s="1">
        <f>DATE(2014,5,8) + TIME(7,25,4)</f>
        <v>41767.309074074074</v>
      </c>
      <c r="C1458">
        <v>80</v>
      </c>
      <c r="D1458">
        <v>79.894104003999999</v>
      </c>
      <c r="E1458">
        <v>50</v>
      </c>
      <c r="F1458">
        <v>49.714378357000001</v>
      </c>
      <c r="G1458">
        <v>1333.9481201000001</v>
      </c>
      <c r="H1458">
        <v>1332.7827147999999</v>
      </c>
      <c r="I1458">
        <v>1330.0129394999999</v>
      </c>
      <c r="J1458">
        <v>1329.7236327999999</v>
      </c>
      <c r="K1458">
        <v>550</v>
      </c>
      <c r="L1458">
        <v>0</v>
      </c>
      <c r="M1458">
        <v>0</v>
      </c>
      <c r="N1458">
        <v>550</v>
      </c>
    </row>
    <row r="1459" spans="1:14" x14ac:dyDescent="0.25">
      <c r="A1459">
        <v>1468.6507429999999</v>
      </c>
      <c r="B1459" s="1">
        <f>DATE(2014,5,8) + TIME(15,37,4)</f>
        <v>41767.650740740741</v>
      </c>
      <c r="C1459">
        <v>80</v>
      </c>
      <c r="D1459">
        <v>79.906478882000002</v>
      </c>
      <c r="E1459">
        <v>50</v>
      </c>
      <c r="F1459">
        <v>49.704044342000003</v>
      </c>
      <c r="G1459">
        <v>1333.9490966999999</v>
      </c>
      <c r="H1459">
        <v>1332.7856445</v>
      </c>
      <c r="I1459">
        <v>1330.0095214999999</v>
      </c>
      <c r="J1459">
        <v>1329.7183838000001</v>
      </c>
      <c r="K1459">
        <v>550</v>
      </c>
      <c r="L1459">
        <v>0</v>
      </c>
      <c r="M1459">
        <v>0</v>
      </c>
      <c r="N1459">
        <v>550</v>
      </c>
    </row>
    <row r="1460" spans="1:14" x14ac:dyDescent="0.25">
      <c r="A1460">
        <v>1469.006903</v>
      </c>
      <c r="B1460" s="1">
        <f>DATE(2014,5,9) + TIME(0,9,56)</f>
        <v>41768.006898148145</v>
      </c>
      <c r="C1460">
        <v>80</v>
      </c>
      <c r="D1460">
        <v>79.916145325000002</v>
      </c>
      <c r="E1460">
        <v>50</v>
      </c>
      <c r="F1460">
        <v>49.693370819000002</v>
      </c>
      <c r="G1460">
        <v>1333.9495850000001</v>
      </c>
      <c r="H1460">
        <v>1332.7883300999999</v>
      </c>
      <c r="I1460">
        <v>1330.0059814000001</v>
      </c>
      <c r="J1460">
        <v>1329.7128906</v>
      </c>
      <c r="K1460">
        <v>550</v>
      </c>
      <c r="L1460">
        <v>0</v>
      </c>
      <c r="M1460">
        <v>0</v>
      </c>
      <c r="N1460">
        <v>550</v>
      </c>
    </row>
    <row r="1461" spans="1:14" x14ac:dyDescent="0.25">
      <c r="A1461">
        <v>1469.3799690000001</v>
      </c>
      <c r="B1461" s="1">
        <f>DATE(2014,5,9) + TIME(9,7,9)</f>
        <v>41768.379965277774</v>
      </c>
      <c r="C1461">
        <v>80</v>
      </c>
      <c r="D1461">
        <v>79.923683166999993</v>
      </c>
      <c r="E1461">
        <v>50</v>
      </c>
      <c r="F1461">
        <v>49.682296753000003</v>
      </c>
      <c r="G1461">
        <v>1333.9495850000001</v>
      </c>
      <c r="H1461">
        <v>1332.7907714999999</v>
      </c>
      <c r="I1461">
        <v>1330.0024414</v>
      </c>
      <c r="J1461">
        <v>1329.7072754000001</v>
      </c>
      <c r="K1461">
        <v>550</v>
      </c>
      <c r="L1461">
        <v>0</v>
      </c>
      <c r="M1461">
        <v>0</v>
      </c>
      <c r="N1461">
        <v>550</v>
      </c>
    </row>
    <row r="1462" spans="1:14" x14ac:dyDescent="0.25">
      <c r="A1462">
        <v>1469.7759719999999</v>
      </c>
      <c r="B1462" s="1">
        <f>DATE(2014,5,9) + TIME(18,37,23)</f>
        <v>41768.775960648149</v>
      </c>
      <c r="C1462">
        <v>80</v>
      </c>
      <c r="D1462">
        <v>79.929588318</v>
      </c>
      <c r="E1462">
        <v>50</v>
      </c>
      <c r="F1462">
        <v>49.670665741000001</v>
      </c>
      <c r="G1462">
        <v>1333.9493408000001</v>
      </c>
      <c r="H1462">
        <v>1332.7932129000001</v>
      </c>
      <c r="I1462">
        <v>1329.9987793</v>
      </c>
      <c r="J1462">
        <v>1329.7015381000001</v>
      </c>
      <c r="K1462">
        <v>550</v>
      </c>
      <c r="L1462">
        <v>0</v>
      </c>
      <c r="M1462">
        <v>0</v>
      </c>
      <c r="N1462">
        <v>550</v>
      </c>
    </row>
    <row r="1463" spans="1:14" x14ac:dyDescent="0.25">
      <c r="A1463">
        <v>1470.1986750000001</v>
      </c>
      <c r="B1463" s="1">
        <f>DATE(2014,5,10) + TIME(4,46,5)</f>
        <v>41769.19866898148</v>
      </c>
      <c r="C1463">
        <v>80</v>
      </c>
      <c r="D1463">
        <v>79.934196471999996</v>
      </c>
      <c r="E1463">
        <v>50</v>
      </c>
      <c r="F1463">
        <v>49.658397675000003</v>
      </c>
      <c r="G1463">
        <v>1333.9488524999999</v>
      </c>
      <c r="H1463">
        <v>1332.7955322</v>
      </c>
      <c r="I1463">
        <v>1329.9949951000001</v>
      </c>
      <c r="J1463">
        <v>1329.6955565999999</v>
      </c>
      <c r="K1463">
        <v>550</v>
      </c>
      <c r="L1463">
        <v>0</v>
      </c>
      <c r="M1463">
        <v>0</v>
      </c>
      <c r="N1463">
        <v>550</v>
      </c>
    </row>
    <row r="1464" spans="1:14" x14ac:dyDescent="0.25">
      <c r="A1464">
        <v>1470.6532850000001</v>
      </c>
      <c r="B1464" s="1">
        <f>DATE(2014,5,10) + TIME(15,40,43)</f>
        <v>41769.653275462966</v>
      </c>
      <c r="C1464">
        <v>80</v>
      </c>
      <c r="D1464">
        <v>79.937774657999995</v>
      </c>
      <c r="E1464">
        <v>50</v>
      </c>
      <c r="F1464">
        <v>49.645366668999998</v>
      </c>
      <c r="G1464">
        <v>1333.9479980000001</v>
      </c>
      <c r="H1464">
        <v>1332.7977295000001</v>
      </c>
      <c r="I1464">
        <v>1329.9909668</v>
      </c>
      <c r="J1464">
        <v>1329.6893310999999</v>
      </c>
      <c r="K1464">
        <v>550</v>
      </c>
      <c r="L1464">
        <v>0</v>
      </c>
      <c r="M1464">
        <v>0</v>
      </c>
      <c r="N1464">
        <v>550</v>
      </c>
    </row>
    <row r="1465" spans="1:14" x14ac:dyDescent="0.25">
      <c r="A1465">
        <v>1471.135082</v>
      </c>
      <c r="B1465" s="1">
        <f>DATE(2014,5,11) + TIME(3,14,31)</f>
        <v>41770.135081018518</v>
      </c>
      <c r="C1465">
        <v>80</v>
      </c>
      <c r="D1465">
        <v>79.940490722999996</v>
      </c>
      <c r="E1465">
        <v>50</v>
      </c>
      <c r="F1465">
        <v>49.631717682000001</v>
      </c>
      <c r="G1465">
        <v>1333.9467772999999</v>
      </c>
      <c r="H1465">
        <v>1332.8000488</v>
      </c>
      <c r="I1465">
        <v>1329.9868164</v>
      </c>
      <c r="J1465">
        <v>1329.6827393000001</v>
      </c>
      <c r="K1465">
        <v>550</v>
      </c>
      <c r="L1465">
        <v>0</v>
      </c>
      <c r="M1465">
        <v>0</v>
      </c>
      <c r="N1465">
        <v>550</v>
      </c>
    </row>
    <row r="1466" spans="1:14" x14ac:dyDescent="0.25">
      <c r="A1466">
        <v>1471.6452529999999</v>
      </c>
      <c r="B1466" s="1">
        <f>DATE(2014,5,11) + TIME(15,29,9)</f>
        <v>41770.645243055558</v>
      </c>
      <c r="C1466">
        <v>80</v>
      </c>
      <c r="D1466">
        <v>79.942543029999996</v>
      </c>
      <c r="E1466">
        <v>50</v>
      </c>
      <c r="F1466">
        <v>49.617439269999998</v>
      </c>
      <c r="G1466">
        <v>1333.9454346</v>
      </c>
      <c r="H1466">
        <v>1332.8022461</v>
      </c>
      <c r="I1466">
        <v>1329.9825439000001</v>
      </c>
      <c r="J1466">
        <v>1329.6759033000001</v>
      </c>
      <c r="K1466">
        <v>550</v>
      </c>
      <c r="L1466">
        <v>0</v>
      </c>
      <c r="M1466">
        <v>0</v>
      </c>
      <c r="N1466">
        <v>550</v>
      </c>
    </row>
    <row r="1467" spans="1:14" x14ac:dyDescent="0.25">
      <c r="A1467">
        <v>1472.1835759999999</v>
      </c>
      <c r="B1467" s="1">
        <f>DATE(2014,5,12) + TIME(4,24,20)</f>
        <v>41771.183564814812</v>
      </c>
      <c r="C1467">
        <v>80</v>
      </c>
      <c r="D1467">
        <v>79.944068908999995</v>
      </c>
      <c r="E1467">
        <v>50</v>
      </c>
      <c r="F1467">
        <v>49.602554321</v>
      </c>
      <c r="G1467">
        <v>1333.9439697</v>
      </c>
      <c r="H1467">
        <v>1332.8044434000001</v>
      </c>
      <c r="I1467">
        <v>1329.9780272999999</v>
      </c>
      <c r="J1467">
        <v>1329.6689452999999</v>
      </c>
      <c r="K1467">
        <v>550</v>
      </c>
      <c r="L1467">
        <v>0</v>
      </c>
      <c r="M1467">
        <v>0</v>
      </c>
      <c r="N1467">
        <v>550</v>
      </c>
    </row>
    <row r="1468" spans="1:14" x14ac:dyDescent="0.25">
      <c r="A1468">
        <v>1472.7301660000001</v>
      </c>
      <c r="B1468" s="1">
        <f>DATE(2014,5,12) + TIME(17,31,26)</f>
        <v>41771.730162037034</v>
      </c>
      <c r="C1468">
        <v>80</v>
      </c>
      <c r="D1468">
        <v>79.945159911999994</v>
      </c>
      <c r="E1468">
        <v>50</v>
      </c>
      <c r="F1468">
        <v>49.587562560999999</v>
      </c>
      <c r="G1468">
        <v>1333.9421387</v>
      </c>
      <c r="H1468">
        <v>1332.8066406</v>
      </c>
      <c r="I1468">
        <v>1329.9733887</v>
      </c>
      <c r="J1468">
        <v>1329.6616211</v>
      </c>
      <c r="K1468">
        <v>550</v>
      </c>
      <c r="L1468">
        <v>0</v>
      </c>
      <c r="M1468">
        <v>0</v>
      </c>
      <c r="N1468">
        <v>550</v>
      </c>
    </row>
    <row r="1469" spans="1:14" x14ac:dyDescent="0.25">
      <c r="A1469">
        <v>1473.280454</v>
      </c>
      <c r="B1469" s="1">
        <f>DATE(2014,5,13) + TIME(6,43,51)</f>
        <v>41772.280451388891</v>
      </c>
      <c r="C1469">
        <v>80</v>
      </c>
      <c r="D1469">
        <v>79.94593811</v>
      </c>
      <c r="E1469">
        <v>50</v>
      </c>
      <c r="F1469">
        <v>49.572586059999999</v>
      </c>
      <c r="G1469">
        <v>1333.9403076000001</v>
      </c>
      <c r="H1469">
        <v>1332.8085937999999</v>
      </c>
      <c r="I1469">
        <v>1329.96875</v>
      </c>
      <c r="J1469">
        <v>1329.6544189000001</v>
      </c>
      <c r="K1469">
        <v>550</v>
      </c>
      <c r="L1469">
        <v>0</v>
      </c>
      <c r="M1469">
        <v>0</v>
      </c>
      <c r="N1469">
        <v>550</v>
      </c>
    </row>
    <row r="1470" spans="1:14" x14ac:dyDescent="0.25">
      <c r="A1470">
        <v>1473.8374260000001</v>
      </c>
      <c r="B1470" s="1">
        <f>DATE(2014,5,13) + TIME(20,5,53)</f>
        <v>41772.837418981479</v>
      </c>
      <c r="C1470">
        <v>80</v>
      </c>
      <c r="D1470">
        <v>79.946495056000003</v>
      </c>
      <c r="E1470">
        <v>50</v>
      </c>
      <c r="F1470">
        <v>49.557552338000001</v>
      </c>
      <c r="G1470">
        <v>1333.9384766000001</v>
      </c>
      <c r="H1470">
        <v>1332.8106689000001</v>
      </c>
      <c r="I1470">
        <v>1329.9642334</v>
      </c>
      <c r="J1470">
        <v>1329.6472168</v>
      </c>
      <c r="K1470">
        <v>550</v>
      </c>
      <c r="L1470">
        <v>0</v>
      </c>
      <c r="M1470">
        <v>0</v>
      </c>
      <c r="N1470">
        <v>550</v>
      </c>
    </row>
    <row r="1471" spans="1:14" x14ac:dyDescent="0.25">
      <c r="A1471">
        <v>1474.4039419999999</v>
      </c>
      <c r="B1471" s="1">
        <f>DATE(2014,5,14) + TIME(9,41,40)</f>
        <v>41773.403935185182</v>
      </c>
      <c r="C1471">
        <v>80</v>
      </c>
      <c r="D1471">
        <v>79.946891785000005</v>
      </c>
      <c r="E1471">
        <v>50</v>
      </c>
      <c r="F1471">
        <v>49.542388916</v>
      </c>
      <c r="G1471">
        <v>1333.9366454999999</v>
      </c>
      <c r="H1471">
        <v>1332.8125</v>
      </c>
      <c r="I1471">
        <v>1329.9595947</v>
      </c>
      <c r="J1471">
        <v>1329.6400146000001</v>
      </c>
      <c r="K1471">
        <v>550</v>
      </c>
      <c r="L1471">
        <v>0</v>
      </c>
      <c r="M1471">
        <v>0</v>
      </c>
      <c r="N1471">
        <v>550</v>
      </c>
    </row>
    <row r="1472" spans="1:14" x14ac:dyDescent="0.25">
      <c r="A1472">
        <v>1474.9828689999999</v>
      </c>
      <c r="B1472" s="1">
        <f>DATE(2014,5,14) + TIME(23,35,19)</f>
        <v>41773.982858796298</v>
      </c>
      <c r="C1472">
        <v>80</v>
      </c>
      <c r="D1472">
        <v>79.947174071999996</v>
      </c>
      <c r="E1472">
        <v>50</v>
      </c>
      <c r="F1472">
        <v>49.527030945</v>
      </c>
      <c r="G1472">
        <v>1333.9348144999999</v>
      </c>
      <c r="H1472">
        <v>1332.8144531</v>
      </c>
      <c r="I1472">
        <v>1329.9550781</v>
      </c>
      <c r="J1472">
        <v>1329.6328125</v>
      </c>
      <c r="K1472">
        <v>550</v>
      </c>
      <c r="L1472">
        <v>0</v>
      </c>
      <c r="M1472">
        <v>0</v>
      </c>
      <c r="N1472">
        <v>550</v>
      </c>
    </row>
    <row r="1473" spans="1:14" x14ac:dyDescent="0.25">
      <c r="A1473">
        <v>1475.5772019999999</v>
      </c>
      <c r="B1473" s="1">
        <f>DATE(2014,5,15) + TIME(13,51,10)</f>
        <v>41774.577199074076</v>
      </c>
      <c r="C1473">
        <v>80</v>
      </c>
      <c r="D1473">
        <v>79.947364807</v>
      </c>
      <c r="E1473">
        <v>50</v>
      </c>
      <c r="F1473">
        <v>49.511417389000002</v>
      </c>
      <c r="G1473">
        <v>1333.9329834</v>
      </c>
      <c r="H1473">
        <v>1332.8164062000001</v>
      </c>
      <c r="I1473">
        <v>1329.9504394999999</v>
      </c>
      <c r="J1473">
        <v>1329.6254882999999</v>
      </c>
      <c r="K1473">
        <v>550</v>
      </c>
      <c r="L1473">
        <v>0</v>
      </c>
      <c r="M1473">
        <v>0</v>
      </c>
      <c r="N1473">
        <v>550</v>
      </c>
    </row>
    <row r="1474" spans="1:14" x14ac:dyDescent="0.25">
      <c r="A1474">
        <v>1476.190435</v>
      </c>
      <c r="B1474" s="1">
        <f>DATE(2014,5,16) + TIME(4,34,13)</f>
        <v>41775.190428240741</v>
      </c>
      <c r="C1474">
        <v>80</v>
      </c>
      <c r="D1474">
        <v>79.947486877000003</v>
      </c>
      <c r="E1474">
        <v>50</v>
      </c>
      <c r="F1474">
        <v>49.495471954000003</v>
      </c>
      <c r="G1474">
        <v>1333.9310303</v>
      </c>
      <c r="H1474">
        <v>1332.8182373</v>
      </c>
      <c r="I1474">
        <v>1329.9458007999999</v>
      </c>
      <c r="J1474">
        <v>1329.6181641000001</v>
      </c>
      <c r="K1474">
        <v>550</v>
      </c>
      <c r="L1474">
        <v>0</v>
      </c>
      <c r="M1474">
        <v>0</v>
      </c>
      <c r="N1474">
        <v>550</v>
      </c>
    </row>
    <row r="1475" spans="1:14" x14ac:dyDescent="0.25">
      <c r="A1475">
        <v>1476.826294</v>
      </c>
      <c r="B1475" s="1">
        <f>DATE(2014,5,16) + TIME(19,49,51)</f>
        <v>41775.826284722221</v>
      </c>
      <c r="C1475">
        <v>80</v>
      </c>
      <c r="D1475">
        <v>79.947563170999999</v>
      </c>
      <c r="E1475">
        <v>50</v>
      </c>
      <c r="F1475">
        <v>49.479110718000001</v>
      </c>
      <c r="G1475">
        <v>1333.9291992000001</v>
      </c>
      <c r="H1475">
        <v>1332.8201904</v>
      </c>
      <c r="I1475">
        <v>1329.9410399999999</v>
      </c>
      <c r="J1475">
        <v>1329.6107178</v>
      </c>
      <c r="K1475">
        <v>550</v>
      </c>
      <c r="L1475">
        <v>0</v>
      </c>
      <c r="M1475">
        <v>0</v>
      </c>
      <c r="N1475">
        <v>550</v>
      </c>
    </row>
    <row r="1476" spans="1:14" x14ac:dyDescent="0.25">
      <c r="A1476">
        <v>1477.4886690000001</v>
      </c>
      <c r="B1476" s="1">
        <f>DATE(2014,5,17) + TIME(11,43,41)</f>
        <v>41776.488668981481</v>
      </c>
      <c r="C1476">
        <v>80</v>
      </c>
      <c r="D1476">
        <v>79.947593689000001</v>
      </c>
      <c r="E1476">
        <v>50</v>
      </c>
      <c r="F1476">
        <v>49.4622612</v>
      </c>
      <c r="G1476">
        <v>1333.9273682</v>
      </c>
      <c r="H1476">
        <v>1332.8220214999999</v>
      </c>
      <c r="I1476">
        <v>1329.9362793</v>
      </c>
      <c r="J1476">
        <v>1329.6031493999999</v>
      </c>
      <c r="K1476">
        <v>550</v>
      </c>
      <c r="L1476">
        <v>0</v>
      </c>
      <c r="M1476">
        <v>0</v>
      </c>
      <c r="N1476">
        <v>550</v>
      </c>
    </row>
    <row r="1477" spans="1:14" x14ac:dyDescent="0.25">
      <c r="A1477">
        <v>1478.182448</v>
      </c>
      <c r="B1477" s="1">
        <f>DATE(2014,5,18) + TIME(4,22,43)</f>
        <v>41777.182442129626</v>
      </c>
      <c r="C1477">
        <v>80</v>
      </c>
      <c r="D1477">
        <v>79.947593689000001</v>
      </c>
      <c r="E1477">
        <v>50</v>
      </c>
      <c r="F1477">
        <v>49.444824218999997</v>
      </c>
      <c r="G1477">
        <v>1333.9254149999999</v>
      </c>
      <c r="H1477">
        <v>1332.8238524999999</v>
      </c>
      <c r="I1477">
        <v>1329.9312743999999</v>
      </c>
      <c r="J1477">
        <v>1329.5953368999999</v>
      </c>
      <c r="K1477">
        <v>550</v>
      </c>
      <c r="L1477">
        <v>0</v>
      </c>
      <c r="M1477">
        <v>0</v>
      </c>
      <c r="N1477">
        <v>550</v>
      </c>
    </row>
    <row r="1478" spans="1:14" x14ac:dyDescent="0.25">
      <c r="A1478">
        <v>1478.924855</v>
      </c>
      <c r="B1478" s="1">
        <f>DATE(2014,5,18) + TIME(22,11,47)</f>
        <v>41777.924849537034</v>
      </c>
      <c r="C1478">
        <v>80</v>
      </c>
      <c r="D1478">
        <v>79.947563170999999</v>
      </c>
      <c r="E1478">
        <v>50</v>
      </c>
      <c r="F1478">
        <v>49.426448821999998</v>
      </c>
      <c r="G1478">
        <v>1333.9234618999999</v>
      </c>
      <c r="H1478">
        <v>1332.8258057</v>
      </c>
      <c r="I1478">
        <v>1329.9262695</v>
      </c>
      <c r="J1478">
        <v>1329.5872803</v>
      </c>
      <c r="K1478">
        <v>550</v>
      </c>
      <c r="L1478">
        <v>0</v>
      </c>
      <c r="M1478">
        <v>0</v>
      </c>
      <c r="N1478">
        <v>550</v>
      </c>
    </row>
    <row r="1479" spans="1:14" x14ac:dyDescent="0.25">
      <c r="A1479">
        <v>1479.711532</v>
      </c>
      <c r="B1479" s="1">
        <f>DATE(2014,5,19) + TIME(17,4,36)</f>
        <v>41778.711527777778</v>
      </c>
      <c r="C1479">
        <v>80</v>
      </c>
      <c r="D1479">
        <v>79.947517395000006</v>
      </c>
      <c r="E1479">
        <v>50</v>
      </c>
      <c r="F1479">
        <v>49.407238006999997</v>
      </c>
      <c r="G1479">
        <v>1333.9215088000001</v>
      </c>
      <c r="H1479">
        <v>1332.8277588000001</v>
      </c>
      <c r="I1479">
        <v>1329.9208983999999</v>
      </c>
      <c r="J1479">
        <v>1329.5789795000001</v>
      </c>
      <c r="K1479">
        <v>550</v>
      </c>
      <c r="L1479">
        <v>0</v>
      </c>
      <c r="M1479">
        <v>0</v>
      </c>
      <c r="N1479">
        <v>550</v>
      </c>
    </row>
    <row r="1480" spans="1:14" x14ac:dyDescent="0.25">
      <c r="A1480">
        <v>1480.5526870000001</v>
      </c>
      <c r="B1480" s="1">
        <f>DATE(2014,5,20) + TIME(13,15,52)</f>
        <v>41779.552685185183</v>
      </c>
      <c r="C1480">
        <v>80</v>
      </c>
      <c r="D1480">
        <v>79.947448730000005</v>
      </c>
      <c r="E1480">
        <v>50</v>
      </c>
      <c r="F1480">
        <v>49.387012482000003</v>
      </c>
      <c r="G1480">
        <v>1333.9194336</v>
      </c>
      <c r="H1480">
        <v>1332.8297118999999</v>
      </c>
      <c r="I1480">
        <v>1329.9154053</v>
      </c>
      <c r="J1480">
        <v>1329.5701904</v>
      </c>
      <c r="K1480">
        <v>550</v>
      </c>
      <c r="L1480">
        <v>0</v>
      </c>
      <c r="M1480">
        <v>0</v>
      </c>
      <c r="N1480">
        <v>550</v>
      </c>
    </row>
    <row r="1481" spans="1:14" x14ac:dyDescent="0.25">
      <c r="A1481">
        <v>1481.4519339999999</v>
      </c>
      <c r="B1481" s="1">
        <f>DATE(2014,5,21) + TIME(10,50,47)</f>
        <v>41780.451932870368</v>
      </c>
      <c r="C1481">
        <v>80</v>
      </c>
      <c r="D1481">
        <v>79.947357178000004</v>
      </c>
      <c r="E1481">
        <v>50</v>
      </c>
      <c r="F1481">
        <v>49.365722656000003</v>
      </c>
      <c r="G1481">
        <v>1333.9174805</v>
      </c>
      <c r="H1481">
        <v>1332.8317870999999</v>
      </c>
      <c r="I1481">
        <v>1329.909668</v>
      </c>
      <c r="J1481">
        <v>1329.5610352000001</v>
      </c>
      <c r="K1481">
        <v>550</v>
      </c>
      <c r="L1481">
        <v>0</v>
      </c>
      <c r="M1481">
        <v>0</v>
      </c>
      <c r="N1481">
        <v>550</v>
      </c>
    </row>
    <row r="1482" spans="1:14" x14ac:dyDescent="0.25">
      <c r="A1482">
        <v>1482.387819</v>
      </c>
      <c r="B1482" s="1">
        <f>DATE(2014,5,22) + TIME(9,18,27)</f>
        <v>41781.387812499997</v>
      </c>
      <c r="C1482">
        <v>80</v>
      </c>
      <c r="D1482">
        <v>79.947242736999996</v>
      </c>
      <c r="E1482">
        <v>50</v>
      </c>
      <c r="F1482">
        <v>49.343807220000002</v>
      </c>
      <c r="G1482">
        <v>1333.9144286999999</v>
      </c>
      <c r="H1482">
        <v>1332.833374</v>
      </c>
      <c r="I1482">
        <v>1329.9035644999999</v>
      </c>
      <c r="J1482">
        <v>1329.5515137</v>
      </c>
      <c r="K1482">
        <v>550</v>
      </c>
      <c r="L1482">
        <v>0</v>
      </c>
      <c r="M1482">
        <v>0</v>
      </c>
      <c r="N1482">
        <v>550</v>
      </c>
    </row>
    <row r="1483" spans="1:14" x14ac:dyDescent="0.25">
      <c r="A1483">
        <v>1483.3501040000001</v>
      </c>
      <c r="B1483" s="1">
        <f>DATE(2014,5,23) + TIME(8,24,8)</f>
        <v>41782.350092592591</v>
      </c>
      <c r="C1483">
        <v>80</v>
      </c>
      <c r="D1483">
        <v>79.947113036999994</v>
      </c>
      <c r="E1483">
        <v>50</v>
      </c>
      <c r="F1483">
        <v>49.321479797000002</v>
      </c>
      <c r="G1483">
        <v>1333.911499</v>
      </c>
      <c r="H1483">
        <v>1332.8349608999999</v>
      </c>
      <c r="I1483">
        <v>1329.8974608999999</v>
      </c>
      <c r="J1483">
        <v>1329.5417480000001</v>
      </c>
      <c r="K1483">
        <v>550</v>
      </c>
      <c r="L1483">
        <v>0</v>
      </c>
      <c r="M1483">
        <v>0</v>
      </c>
      <c r="N1483">
        <v>550</v>
      </c>
    </row>
    <row r="1484" spans="1:14" x14ac:dyDescent="0.25">
      <c r="A1484">
        <v>1484.3263079999999</v>
      </c>
      <c r="B1484" s="1">
        <f>DATE(2014,5,24) + TIME(7,49,53)</f>
        <v>41783.326307870368</v>
      </c>
      <c r="C1484">
        <v>80</v>
      </c>
      <c r="D1484">
        <v>79.946975707999997</v>
      </c>
      <c r="E1484">
        <v>50</v>
      </c>
      <c r="F1484">
        <v>49.298999786000003</v>
      </c>
      <c r="G1484">
        <v>1333.9088135</v>
      </c>
      <c r="H1484">
        <v>1332.8366699000001</v>
      </c>
      <c r="I1484">
        <v>1329.8912353999999</v>
      </c>
      <c r="J1484">
        <v>1329.5318603999999</v>
      </c>
      <c r="K1484">
        <v>550</v>
      </c>
      <c r="L1484">
        <v>0</v>
      </c>
      <c r="M1484">
        <v>0</v>
      </c>
      <c r="N1484">
        <v>550</v>
      </c>
    </row>
    <row r="1485" spans="1:14" x14ac:dyDescent="0.25">
      <c r="A1485">
        <v>1485.3291819999999</v>
      </c>
      <c r="B1485" s="1">
        <f>DATE(2014,5,25) + TIME(7,54,1)</f>
        <v>41784.32917824074</v>
      </c>
      <c r="C1485">
        <v>80</v>
      </c>
      <c r="D1485">
        <v>79.946838378999999</v>
      </c>
      <c r="E1485">
        <v>50</v>
      </c>
      <c r="F1485">
        <v>49.276149750000002</v>
      </c>
      <c r="G1485">
        <v>1333.90625</v>
      </c>
      <c r="H1485">
        <v>1332.8383789</v>
      </c>
      <c r="I1485">
        <v>1329.8851318</v>
      </c>
      <c r="J1485">
        <v>1329.5219727000001</v>
      </c>
      <c r="K1485">
        <v>550</v>
      </c>
      <c r="L1485">
        <v>0</v>
      </c>
      <c r="M1485">
        <v>0</v>
      </c>
      <c r="N1485">
        <v>550</v>
      </c>
    </row>
    <row r="1486" spans="1:14" x14ac:dyDescent="0.25">
      <c r="A1486">
        <v>1486.364953</v>
      </c>
      <c r="B1486" s="1">
        <f>DATE(2014,5,26) + TIME(8,45,31)</f>
        <v>41785.364942129629</v>
      </c>
      <c r="C1486">
        <v>80</v>
      </c>
      <c r="D1486">
        <v>79.946685790999993</v>
      </c>
      <c r="E1486">
        <v>50</v>
      </c>
      <c r="F1486">
        <v>49.252834319999998</v>
      </c>
      <c r="G1486">
        <v>1333.9038086</v>
      </c>
      <c r="H1486">
        <v>1332.8402100000001</v>
      </c>
      <c r="I1486">
        <v>1329.8787841999999</v>
      </c>
      <c r="J1486">
        <v>1329.5118408000001</v>
      </c>
      <c r="K1486">
        <v>550</v>
      </c>
      <c r="L1486">
        <v>0</v>
      </c>
      <c r="M1486">
        <v>0</v>
      </c>
      <c r="N1486">
        <v>550</v>
      </c>
    </row>
    <row r="1487" spans="1:14" x14ac:dyDescent="0.25">
      <c r="A1487">
        <v>1487.4224549999999</v>
      </c>
      <c r="B1487" s="1">
        <f>DATE(2014,5,27) + TIME(10,8,20)</f>
        <v>41786.422453703701</v>
      </c>
      <c r="C1487">
        <v>80</v>
      </c>
      <c r="D1487">
        <v>79.946540833</v>
      </c>
      <c r="E1487">
        <v>50</v>
      </c>
      <c r="F1487">
        <v>49.229286193999997</v>
      </c>
      <c r="G1487">
        <v>1333.9013672000001</v>
      </c>
      <c r="H1487">
        <v>1332.8419189000001</v>
      </c>
      <c r="I1487">
        <v>1329.8724365</v>
      </c>
      <c r="J1487">
        <v>1329.5017089999999</v>
      </c>
      <c r="K1487">
        <v>550</v>
      </c>
      <c r="L1487">
        <v>0</v>
      </c>
      <c r="M1487">
        <v>0</v>
      </c>
      <c r="N1487">
        <v>550</v>
      </c>
    </row>
    <row r="1488" spans="1:14" x14ac:dyDescent="0.25">
      <c r="A1488">
        <v>1488.5095449999999</v>
      </c>
      <c r="B1488" s="1">
        <f>DATE(2014,5,28) + TIME(12,13,44)</f>
        <v>41787.50953703704</v>
      </c>
      <c r="C1488">
        <v>80</v>
      </c>
      <c r="D1488">
        <v>79.946403502999999</v>
      </c>
      <c r="E1488">
        <v>50</v>
      </c>
      <c r="F1488">
        <v>49.205387115000001</v>
      </c>
      <c r="G1488">
        <v>1333.8991699000001</v>
      </c>
      <c r="H1488">
        <v>1332.8436279</v>
      </c>
      <c r="I1488">
        <v>1329.8660889</v>
      </c>
      <c r="J1488">
        <v>1329.4914550999999</v>
      </c>
      <c r="K1488">
        <v>550</v>
      </c>
      <c r="L1488">
        <v>0</v>
      </c>
      <c r="M1488">
        <v>0</v>
      </c>
      <c r="N1488">
        <v>550</v>
      </c>
    </row>
    <row r="1489" spans="1:14" x14ac:dyDescent="0.25">
      <c r="A1489">
        <v>1489.633227</v>
      </c>
      <c r="B1489" s="1">
        <f>DATE(2014,5,29) + TIME(15,11,50)</f>
        <v>41788.633217592593</v>
      </c>
      <c r="C1489">
        <v>80</v>
      </c>
      <c r="D1489">
        <v>79.946258545000006</v>
      </c>
      <c r="E1489">
        <v>50</v>
      </c>
      <c r="F1489">
        <v>49.181053161999998</v>
      </c>
      <c r="G1489">
        <v>1333.8970947</v>
      </c>
      <c r="H1489">
        <v>1332.8454589999999</v>
      </c>
      <c r="I1489">
        <v>1329.8597411999999</v>
      </c>
      <c r="J1489">
        <v>1329.4810791</v>
      </c>
      <c r="K1489">
        <v>550</v>
      </c>
      <c r="L1489">
        <v>0</v>
      </c>
      <c r="M1489">
        <v>0</v>
      </c>
      <c r="N1489">
        <v>550</v>
      </c>
    </row>
    <row r="1490" spans="1:14" x14ac:dyDescent="0.25">
      <c r="A1490">
        <v>1490.7888949999999</v>
      </c>
      <c r="B1490" s="1">
        <f>DATE(2014,5,30) + TIME(18,56,0)</f>
        <v>41789.788888888892</v>
      </c>
      <c r="C1490">
        <v>80</v>
      </c>
      <c r="D1490">
        <v>79.946121215999995</v>
      </c>
      <c r="E1490">
        <v>50</v>
      </c>
      <c r="F1490">
        <v>49.156394958</v>
      </c>
      <c r="G1490">
        <v>1333.8951416</v>
      </c>
      <c r="H1490">
        <v>1332.847168</v>
      </c>
      <c r="I1490">
        <v>1329.8532714999999</v>
      </c>
      <c r="J1490">
        <v>1329.4705810999999</v>
      </c>
      <c r="K1490">
        <v>550</v>
      </c>
      <c r="L1490">
        <v>0</v>
      </c>
      <c r="M1490">
        <v>0</v>
      </c>
      <c r="N1490">
        <v>550</v>
      </c>
    </row>
    <row r="1491" spans="1:14" x14ac:dyDescent="0.25">
      <c r="A1491">
        <v>1491.3944469999999</v>
      </c>
      <c r="B1491" s="1">
        <f>DATE(2014,5,31) + TIME(9,28,0)</f>
        <v>41790.394444444442</v>
      </c>
      <c r="C1491">
        <v>80</v>
      </c>
      <c r="D1491">
        <v>79.946014403999996</v>
      </c>
      <c r="E1491">
        <v>50</v>
      </c>
      <c r="F1491">
        <v>49.142139434999997</v>
      </c>
      <c r="G1491">
        <v>1333.8933105000001</v>
      </c>
      <c r="H1491">
        <v>1332.848999</v>
      </c>
      <c r="I1491">
        <v>1329.8470459</v>
      </c>
      <c r="J1491">
        <v>1329.4606934000001</v>
      </c>
      <c r="K1491">
        <v>550</v>
      </c>
      <c r="L1491">
        <v>0</v>
      </c>
      <c r="M1491">
        <v>0</v>
      </c>
      <c r="N1491">
        <v>550</v>
      </c>
    </row>
    <row r="1492" spans="1:14" x14ac:dyDescent="0.25">
      <c r="A1492">
        <v>1492</v>
      </c>
      <c r="B1492" s="1">
        <f>DATE(2014,6,1) + TIME(0,0,0)</f>
        <v>41791</v>
      </c>
      <c r="C1492">
        <v>80</v>
      </c>
      <c r="D1492">
        <v>79.945922851999995</v>
      </c>
      <c r="E1492">
        <v>50</v>
      </c>
      <c r="F1492">
        <v>49.128150939999998</v>
      </c>
      <c r="G1492">
        <v>1333.8924560999999</v>
      </c>
      <c r="H1492">
        <v>1332.8498535000001</v>
      </c>
      <c r="I1492">
        <v>1329.8432617000001</v>
      </c>
      <c r="J1492">
        <v>1329.4544678</v>
      </c>
      <c r="K1492">
        <v>550</v>
      </c>
      <c r="L1492">
        <v>0</v>
      </c>
      <c r="M1492">
        <v>0</v>
      </c>
      <c r="N1492">
        <v>550</v>
      </c>
    </row>
    <row r="1493" spans="1:14" x14ac:dyDescent="0.25">
      <c r="A1493">
        <v>1493.2111050000001</v>
      </c>
      <c r="B1493" s="1">
        <f>DATE(2014,6,2) + TIME(5,3,59)</f>
        <v>41792.211099537039</v>
      </c>
      <c r="C1493">
        <v>80</v>
      </c>
      <c r="D1493">
        <v>79.945831299000005</v>
      </c>
      <c r="E1493">
        <v>50</v>
      </c>
      <c r="F1493">
        <v>49.103801726999997</v>
      </c>
      <c r="G1493">
        <v>1333.8914795000001</v>
      </c>
      <c r="H1493">
        <v>1332.8507079999999</v>
      </c>
      <c r="I1493">
        <v>1329.8393555</v>
      </c>
      <c r="J1493">
        <v>1329.447876</v>
      </c>
      <c r="K1493">
        <v>550</v>
      </c>
      <c r="L1493">
        <v>0</v>
      </c>
      <c r="M1493">
        <v>0</v>
      </c>
      <c r="N1493">
        <v>550</v>
      </c>
    </row>
    <row r="1494" spans="1:14" x14ac:dyDescent="0.25">
      <c r="A1494">
        <v>1494.448844</v>
      </c>
      <c r="B1494" s="1">
        <f>DATE(2014,6,3) + TIME(10,46,20)</f>
        <v>41793.448842592596</v>
      </c>
      <c r="C1494">
        <v>80</v>
      </c>
      <c r="D1494">
        <v>79.945716857999997</v>
      </c>
      <c r="E1494">
        <v>50</v>
      </c>
      <c r="F1494">
        <v>49.079257964999996</v>
      </c>
      <c r="G1494">
        <v>1333.8898925999999</v>
      </c>
      <c r="H1494">
        <v>1332.8525391000001</v>
      </c>
      <c r="I1494">
        <v>1329.8330077999999</v>
      </c>
      <c r="J1494">
        <v>1329.4375</v>
      </c>
      <c r="K1494">
        <v>550</v>
      </c>
      <c r="L1494">
        <v>0</v>
      </c>
      <c r="M1494">
        <v>0</v>
      </c>
      <c r="N1494">
        <v>550</v>
      </c>
    </row>
    <row r="1495" spans="1:14" x14ac:dyDescent="0.25">
      <c r="A1495">
        <v>1495.7311199999999</v>
      </c>
      <c r="B1495" s="1">
        <f>DATE(2014,6,4) + TIME(17,32,48)</f>
        <v>41794.731111111112</v>
      </c>
      <c r="C1495">
        <v>80</v>
      </c>
      <c r="D1495">
        <v>79.945602417000003</v>
      </c>
      <c r="E1495">
        <v>50</v>
      </c>
      <c r="F1495">
        <v>49.054374695</v>
      </c>
      <c r="G1495">
        <v>1333.8883057</v>
      </c>
      <c r="H1495">
        <v>1332.8543701000001</v>
      </c>
      <c r="I1495">
        <v>1329.8266602000001</v>
      </c>
      <c r="J1495">
        <v>1329.4270019999999</v>
      </c>
      <c r="K1495">
        <v>550</v>
      </c>
      <c r="L1495">
        <v>0</v>
      </c>
      <c r="M1495">
        <v>0</v>
      </c>
      <c r="N1495">
        <v>550</v>
      </c>
    </row>
    <row r="1496" spans="1:14" x14ac:dyDescent="0.25">
      <c r="A1496">
        <v>1497.0311429999999</v>
      </c>
      <c r="B1496" s="1">
        <f>DATE(2014,6,6) + TIME(0,44,50)</f>
        <v>41796.031134259261</v>
      </c>
      <c r="C1496">
        <v>80</v>
      </c>
      <c r="D1496">
        <v>79.945487975999995</v>
      </c>
      <c r="E1496">
        <v>50</v>
      </c>
      <c r="F1496">
        <v>49.029663085999999</v>
      </c>
      <c r="G1496">
        <v>1333.8868408000001</v>
      </c>
      <c r="H1496">
        <v>1332.8562012</v>
      </c>
      <c r="I1496">
        <v>1329.8201904</v>
      </c>
      <c r="J1496">
        <v>1329.4162598</v>
      </c>
      <c r="K1496">
        <v>550</v>
      </c>
      <c r="L1496">
        <v>0</v>
      </c>
      <c r="M1496">
        <v>0</v>
      </c>
      <c r="N1496">
        <v>550</v>
      </c>
    </row>
    <row r="1497" spans="1:14" x14ac:dyDescent="0.25">
      <c r="A1497">
        <v>1498.3648229999999</v>
      </c>
      <c r="B1497" s="1">
        <f>DATE(2014,6,7) + TIME(8,45,20)</f>
        <v>41797.364814814813</v>
      </c>
      <c r="C1497">
        <v>80</v>
      </c>
      <c r="D1497">
        <v>79.945381165000001</v>
      </c>
      <c r="E1497">
        <v>50</v>
      </c>
      <c r="F1497">
        <v>49.005081177000001</v>
      </c>
      <c r="G1497">
        <v>1333.885376</v>
      </c>
      <c r="H1497">
        <v>1332.8579102000001</v>
      </c>
      <c r="I1497">
        <v>1329.8137207</v>
      </c>
      <c r="J1497">
        <v>1329.4055175999999</v>
      </c>
      <c r="K1497">
        <v>550</v>
      </c>
      <c r="L1497">
        <v>0</v>
      </c>
      <c r="M1497">
        <v>0</v>
      </c>
      <c r="N1497">
        <v>550</v>
      </c>
    </row>
    <row r="1498" spans="1:14" x14ac:dyDescent="0.25">
      <c r="A1498">
        <v>1499.732158</v>
      </c>
      <c r="B1498" s="1">
        <f>DATE(2014,6,8) + TIME(17,34,18)</f>
        <v>41798.732152777775</v>
      </c>
      <c r="C1498">
        <v>80</v>
      </c>
      <c r="D1498">
        <v>79.945266724000007</v>
      </c>
      <c r="E1498">
        <v>50</v>
      </c>
      <c r="F1498">
        <v>48.980831146</v>
      </c>
      <c r="G1498">
        <v>1333.8840332</v>
      </c>
      <c r="H1498">
        <v>1332.8596190999999</v>
      </c>
      <c r="I1498">
        <v>1329.807251</v>
      </c>
      <c r="J1498">
        <v>1329.3946533000001</v>
      </c>
      <c r="K1498">
        <v>550</v>
      </c>
      <c r="L1498">
        <v>0</v>
      </c>
      <c r="M1498">
        <v>0</v>
      </c>
      <c r="N1498">
        <v>550</v>
      </c>
    </row>
    <row r="1499" spans="1:14" x14ac:dyDescent="0.25">
      <c r="A1499">
        <v>1501.1142130000001</v>
      </c>
      <c r="B1499" s="1">
        <f>DATE(2014,6,10) + TIME(2,44,27)</f>
        <v>41800.114201388889</v>
      </c>
      <c r="C1499">
        <v>80</v>
      </c>
      <c r="D1499">
        <v>79.945167541999993</v>
      </c>
      <c r="E1499">
        <v>50</v>
      </c>
      <c r="F1499">
        <v>48.957416533999996</v>
      </c>
      <c r="G1499">
        <v>1333.8828125</v>
      </c>
      <c r="H1499">
        <v>1332.8613281</v>
      </c>
      <c r="I1499">
        <v>1329.8009033000001</v>
      </c>
      <c r="J1499">
        <v>1329.3836670000001</v>
      </c>
      <c r="K1499">
        <v>550</v>
      </c>
      <c r="L1499">
        <v>0</v>
      </c>
      <c r="M1499">
        <v>0</v>
      </c>
      <c r="N1499">
        <v>550</v>
      </c>
    </row>
    <row r="1500" spans="1:14" x14ac:dyDescent="0.25">
      <c r="A1500">
        <v>1502.5298310000001</v>
      </c>
      <c r="B1500" s="1">
        <f>DATE(2014,6,11) + TIME(12,42,57)</f>
        <v>41801.529826388891</v>
      </c>
      <c r="C1500">
        <v>80</v>
      </c>
      <c r="D1500">
        <v>79.945068359000004</v>
      </c>
      <c r="E1500">
        <v>50</v>
      </c>
      <c r="F1500">
        <v>48.934925079000003</v>
      </c>
      <c r="G1500">
        <v>1333.8815918</v>
      </c>
      <c r="H1500">
        <v>1332.8630370999999</v>
      </c>
      <c r="I1500">
        <v>1329.7944336</v>
      </c>
      <c r="J1500">
        <v>1329.3728027</v>
      </c>
      <c r="K1500">
        <v>550</v>
      </c>
      <c r="L1500">
        <v>0</v>
      </c>
      <c r="M1500">
        <v>0</v>
      </c>
      <c r="N1500">
        <v>550</v>
      </c>
    </row>
    <row r="1501" spans="1:14" x14ac:dyDescent="0.25">
      <c r="A1501">
        <v>1503.9991439999999</v>
      </c>
      <c r="B1501" s="1">
        <f>DATE(2014,6,12) + TIME(23,58,46)</f>
        <v>41802.999143518522</v>
      </c>
      <c r="C1501">
        <v>80</v>
      </c>
      <c r="D1501">
        <v>79.944976807000003</v>
      </c>
      <c r="E1501">
        <v>50</v>
      </c>
      <c r="F1501">
        <v>48.913578033</v>
      </c>
      <c r="G1501">
        <v>1333.8803711</v>
      </c>
      <c r="H1501">
        <v>1332.864624</v>
      </c>
      <c r="I1501">
        <v>1329.7882079999999</v>
      </c>
      <c r="J1501">
        <v>1329.3619385</v>
      </c>
      <c r="K1501">
        <v>550</v>
      </c>
      <c r="L1501">
        <v>0</v>
      </c>
      <c r="M1501">
        <v>0</v>
      </c>
      <c r="N1501">
        <v>550</v>
      </c>
    </row>
    <row r="1502" spans="1:14" x14ac:dyDescent="0.25">
      <c r="A1502">
        <v>1505.503363</v>
      </c>
      <c r="B1502" s="1">
        <f>DATE(2014,6,14) + TIME(12,4,50)</f>
        <v>41804.50335648148</v>
      </c>
      <c r="C1502">
        <v>80</v>
      </c>
      <c r="D1502">
        <v>79.944892882999994</v>
      </c>
      <c r="E1502">
        <v>50</v>
      </c>
      <c r="F1502">
        <v>48.894153594999999</v>
      </c>
      <c r="G1502">
        <v>1333.8792725000001</v>
      </c>
      <c r="H1502">
        <v>1332.8663329999999</v>
      </c>
      <c r="I1502">
        <v>1329.7818603999999</v>
      </c>
      <c r="J1502">
        <v>1329.3508300999999</v>
      </c>
      <c r="K1502">
        <v>550</v>
      </c>
      <c r="L1502">
        <v>0</v>
      </c>
      <c r="M1502">
        <v>0</v>
      </c>
      <c r="N1502">
        <v>550</v>
      </c>
    </row>
    <row r="1503" spans="1:14" x14ac:dyDescent="0.25">
      <c r="A1503">
        <v>1507.0276779999999</v>
      </c>
      <c r="B1503" s="1">
        <f>DATE(2014,6,16) + TIME(0,39,51)</f>
        <v>41806.027673611112</v>
      </c>
      <c r="C1503">
        <v>80</v>
      </c>
      <c r="D1503">
        <v>79.944808960000003</v>
      </c>
      <c r="E1503">
        <v>50</v>
      </c>
      <c r="F1503">
        <v>48.877502440999997</v>
      </c>
      <c r="G1503">
        <v>1333.8781738</v>
      </c>
      <c r="H1503">
        <v>1332.8679199000001</v>
      </c>
      <c r="I1503">
        <v>1329.7755127</v>
      </c>
      <c r="J1503">
        <v>1329.3398437999999</v>
      </c>
      <c r="K1503">
        <v>550</v>
      </c>
      <c r="L1503">
        <v>0</v>
      </c>
      <c r="M1503">
        <v>0</v>
      </c>
      <c r="N1503">
        <v>550</v>
      </c>
    </row>
    <row r="1504" spans="1:14" x14ac:dyDescent="0.25">
      <c r="A1504">
        <v>1508.591979</v>
      </c>
      <c r="B1504" s="1">
        <f>DATE(2014,6,17) + TIME(14,12,27)</f>
        <v>41807.591979166667</v>
      </c>
      <c r="C1504">
        <v>80</v>
      </c>
      <c r="D1504">
        <v>79.944725036999998</v>
      </c>
      <c r="E1504">
        <v>50</v>
      </c>
      <c r="F1504">
        <v>48.864360808999997</v>
      </c>
      <c r="G1504">
        <v>1333.8771973</v>
      </c>
      <c r="H1504">
        <v>1332.8695068</v>
      </c>
      <c r="I1504">
        <v>1329.7694091999999</v>
      </c>
      <c r="J1504">
        <v>1329.3288574000001</v>
      </c>
      <c r="K1504">
        <v>550</v>
      </c>
      <c r="L1504">
        <v>0</v>
      </c>
      <c r="M1504">
        <v>0</v>
      </c>
      <c r="N1504">
        <v>550</v>
      </c>
    </row>
    <row r="1505" spans="1:14" x14ac:dyDescent="0.25">
      <c r="A1505">
        <v>1510.1763390000001</v>
      </c>
      <c r="B1505" s="1">
        <f>DATE(2014,6,19) + TIME(4,13,55)</f>
        <v>41809.17633101852</v>
      </c>
      <c r="C1505">
        <v>80</v>
      </c>
      <c r="D1505">
        <v>79.944656371999997</v>
      </c>
      <c r="E1505">
        <v>50</v>
      </c>
      <c r="F1505">
        <v>48.855972289999997</v>
      </c>
      <c r="G1505">
        <v>1333.8762207</v>
      </c>
      <c r="H1505">
        <v>1332.8710937999999</v>
      </c>
      <c r="I1505">
        <v>1329.7633057</v>
      </c>
      <c r="J1505">
        <v>1329.3178711</v>
      </c>
      <c r="K1505">
        <v>550</v>
      </c>
      <c r="L1505">
        <v>0</v>
      </c>
      <c r="M1505">
        <v>0</v>
      </c>
      <c r="N1505">
        <v>550</v>
      </c>
    </row>
    <row r="1506" spans="1:14" x14ac:dyDescent="0.25">
      <c r="A1506">
        <v>1511.7888640000001</v>
      </c>
      <c r="B1506" s="1">
        <f>DATE(2014,6,20) + TIME(18,55,57)</f>
        <v>41810.788854166669</v>
      </c>
      <c r="C1506">
        <v>80</v>
      </c>
      <c r="D1506">
        <v>79.944587708</v>
      </c>
      <c r="E1506">
        <v>50</v>
      </c>
      <c r="F1506">
        <v>48.853618621999999</v>
      </c>
      <c r="G1506">
        <v>1333.8752440999999</v>
      </c>
      <c r="H1506">
        <v>1332.8725586</v>
      </c>
      <c r="I1506">
        <v>1329.7574463000001</v>
      </c>
      <c r="J1506">
        <v>1329.3071289</v>
      </c>
      <c r="K1506">
        <v>550</v>
      </c>
      <c r="L1506">
        <v>0</v>
      </c>
      <c r="M1506">
        <v>0</v>
      </c>
      <c r="N1506">
        <v>550</v>
      </c>
    </row>
    <row r="1507" spans="1:14" x14ac:dyDescent="0.25">
      <c r="A1507">
        <v>1513.450462</v>
      </c>
      <c r="B1507" s="1">
        <f>DATE(2014,6,22) + TIME(10,48,39)</f>
        <v>41812.45045138889</v>
      </c>
      <c r="C1507">
        <v>80</v>
      </c>
      <c r="D1507">
        <v>79.944519043</v>
      </c>
      <c r="E1507">
        <v>50</v>
      </c>
      <c r="F1507">
        <v>48.858985900999997</v>
      </c>
      <c r="G1507">
        <v>1333.8742675999999</v>
      </c>
      <c r="H1507">
        <v>1332.8740233999999</v>
      </c>
      <c r="I1507">
        <v>1329.7517089999999</v>
      </c>
      <c r="J1507">
        <v>1329.2963867000001</v>
      </c>
      <c r="K1507">
        <v>550</v>
      </c>
      <c r="L1507">
        <v>0</v>
      </c>
      <c r="M1507">
        <v>0</v>
      </c>
      <c r="N1507">
        <v>550</v>
      </c>
    </row>
    <row r="1508" spans="1:14" x14ac:dyDescent="0.25">
      <c r="A1508">
        <v>1515.157543</v>
      </c>
      <c r="B1508" s="1">
        <f>DATE(2014,6,24) + TIME(3,46,51)</f>
        <v>41814.157534722224</v>
      </c>
      <c r="C1508">
        <v>80</v>
      </c>
      <c r="D1508">
        <v>79.944458007999998</v>
      </c>
      <c r="E1508">
        <v>50</v>
      </c>
      <c r="F1508">
        <v>48.874317169000001</v>
      </c>
      <c r="G1508">
        <v>1333.8734131000001</v>
      </c>
      <c r="H1508">
        <v>1332.8753661999999</v>
      </c>
      <c r="I1508">
        <v>1329.7460937999999</v>
      </c>
      <c r="J1508">
        <v>1329.2857666</v>
      </c>
      <c r="K1508">
        <v>550</v>
      </c>
      <c r="L1508">
        <v>0</v>
      </c>
      <c r="M1508">
        <v>0</v>
      </c>
      <c r="N1508">
        <v>550</v>
      </c>
    </row>
    <row r="1509" spans="1:14" x14ac:dyDescent="0.25">
      <c r="A1509">
        <v>1516.886919</v>
      </c>
      <c r="B1509" s="1">
        <f>DATE(2014,6,25) + TIME(21,17,9)</f>
        <v>41815.88690972222</v>
      </c>
      <c r="C1509">
        <v>80</v>
      </c>
      <c r="D1509">
        <v>79.944404602000006</v>
      </c>
      <c r="E1509">
        <v>50</v>
      </c>
      <c r="F1509">
        <v>48.902069091999998</v>
      </c>
      <c r="G1509">
        <v>1333.8725586</v>
      </c>
      <c r="H1509">
        <v>1332.8768310999999</v>
      </c>
      <c r="I1509">
        <v>1329.7407227000001</v>
      </c>
      <c r="J1509">
        <v>1329.2752685999999</v>
      </c>
      <c r="K1509">
        <v>550</v>
      </c>
      <c r="L1509">
        <v>0</v>
      </c>
      <c r="M1509">
        <v>0</v>
      </c>
      <c r="N1509">
        <v>550</v>
      </c>
    </row>
    <row r="1510" spans="1:14" x14ac:dyDescent="0.25">
      <c r="A1510">
        <v>1518.6598570000001</v>
      </c>
      <c r="B1510" s="1">
        <f>DATE(2014,6,27) + TIME(15,50,11)</f>
        <v>41817.659849537034</v>
      </c>
      <c r="C1510">
        <v>80</v>
      </c>
      <c r="D1510">
        <v>79.944351196</v>
      </c>
      <c r="E1510">
        <v>50</v>
      </c>
      <c r="F1510">
        <v>48.945373535000002</v>
      </c>
      <c r="G1510">
        <v>1333.8717041</v>
      </c>
      <c r="H1510">
        <v>1332.8781738</v>
      </c>
      <c r="I1510">
        <v>1329.7354736</v>
      </c>
      <c r="J1510">
        <v>1329.2650146000001</v>
      </c>
      <c r="K1510">
        <v>550</v>
      </c>
      <c r="L1510">
        <v>0</v>
      </c>
      <c r="M1510">
        <v>0</v>
      </c>
      <c r="N1510">
        <v>550</v>
      </c>
    </row>
    <row r="1511" spans="1:14" x14ac:dyDescent="0.25">
      <c r="A1511">
        <v>1520.462763</v>
      </c>
      <c r="B1511" s="1">
        <f>DATE(2014,6,29) + TIME(11,6,22)</f>
        <v>41819.462754629632</v>
      </c>
      <c r="C1511">
        <v>80</v>
      </c>
      <c r="D1511">
        <v>79.944305420000006</v>
      </c>
      <c r="E1511">
        <v>50</v>
      </c>
      <c r="F1511">
        <v>49.007575989000003</v>
      </c>
      <c r="G1511">
        <v>1333.8708495999999</v>
      </c>
      <c r="H1511">
        <v>1332.8795166</v>
      </c>
      <c r="I1511">
        <v>1329.7305908000001</v>
      </c>
      <c r="J1511">
        <v>1329.2551269999999</v>
      </c>
      <c r="K1511">
        <v>550</v>
      </c>
      <c r="L1511">
        <v>0</v>
      </c>
      <c r="M1511">
        <v>0</v>
      </c>
      <c r="N1511">
        <v>550</v>
      </c>
    </row>
    <row r="1512" spans="1:14" x14ac:dyDescent="0.25">
      <c r="A1512">
        <v>1522</v>
      </c>
      <c r="B1512" s="1">
        <f>DATE(2014,7,1) + TIME(0,0,0)</f>
        <v>41821</v>
      </c>
      <c r="C1512">
        <v>80</v>
      </c>
      <c r="D1512">
        <v>79.944259643999999</v>
      </c>
      <c r="E1512">
        <v>50</v>
      </c>
      <c r="F1512">
        <v>49.083026885999999</v>
      </c>
      <c r="G1512">
        <v>1333.8701172000001</v>
      </c>
      <c r="H1512">
        <v>1332.8807373</v>
      </c>
      <c r="I1512">
        <v>1329.7260742000001</v>
      </c>
      <c r="J1512">
        <v>1329.2456055</v>
      </c>
      <c r="K1512">
        <v>550</v>
      </c>
      <c r="L1512">
        <v>0</v>
      </c>
      <c r="M1512">
        <v>0</v>
      </c>
      <c r="N1512">
        <v>550</v>
      </c>
    </row>
    <row r="1513" spans="1:14" x14ac:dyDescent="0.25">
      <c r="A1513">
        <v>1523.8339370000001</v>
      </c>
      <c r="B1513" s="1">
        <f>DATE(2014,7,2) + TIME(20,0,52)</f>
        <v>41822.833935185183</v>
      </c>
      <c r="C1513">
        <v>80</v>
      </c>
      <c r="D1513">
        <v>79.944229125999996</v>
      </c>
      <c r="E1513">
        <v>50</v>
      </c>
      <c r="F1513">
        <v>49.187755584999998</v>
      </c>
      <c r="G1513">
        <v>1333.8693848</v>
      </c>
      <c r="H1513">
        <v>1332.8818358999999</v>
      </c>
      <c r="I1513">
        <v>1329.722168</v>
      </c>
      <c r="J1513">
        <v>1329.2373047000001</v>
      </c>
      <c r="K1513">
        <v>550</v>
      </c>
      <c r="L1513">
        <v>0</v>
      </c>
      <c r="M1513">
        <v>0</v>
      </c>
      <c r="N1513">
        <v>550</v>
      </c>
    </row>
    <row r="1514" spans="1:14" x14ac:dyDescent="0.25">
      <c r="A1514">
        <v>1525.7657959999999</v>
      </c>
      <c r="B1514" s="1">
        <f>DATE(2014,7,4) + TIME(18,22,44)</f>
        <v>41824.765787037039</v>
      </c>
      <c r="C1514">
        <v>80</v>
      </c>
      <c r="D1514">
        <v>79.944198607999994</v>
      </c>
      <c r="E1514">
        <v>50</v>
      </c>
      <c r="F1514">
        <v>49.325534820999998</v>
      </c>
      <c r="G1514">
        <v>1333.8686522999999</v>
      </c>
      <c r="H1514">
        <v>1332.8830565999999</v>
      </c>
      <c r="I1514">
        <v>1329.7182617000001</v>
      </c>
      <c r="J1514">
        <v>1329.2286377</v>
      </c>
      <c r="K1514">
        <v>550</v>
      </c>
      <c r="L1514">
        <v>0</v>
      </c>
      <c r="M1514">
        <v>0</v>
      </c>
      <c r="N1514">
        <v>550</v>
      </c>
    </row>
    <row r="1515" spans="1:14" x14ac:dyDescent="0.25">
      <c r="A1515">
        <v>1527.7137290000001</v>
      </c>
      <c r="B1515" s="1">
        <f>DATE(2014,7,6) + TIME(17,7,46)</f>
        <v>41826.713726851849</v>
      </c>
      <c r="C1515">
        <v>80</v>
      </c>
      <c r="D1515">
        <v>79.944168090999995</v>
      </c>
      <c r="E1515">
        <v>50</v>
      </c>
      <c r="F1515">
        <v>49.499088286999999</v>
      </c>
      <c r="G1515">
        <v>1333.8679199000001</v>
      </c>
      <c r="H1515">
        <v>1332.8842772999999</v>
      </c>
      <c r="I1515">
        <v>1329.7145995999999</v>
      </c>
      <c r="J1515">
        <v>1329.2203368999999</v>
      </c>
      <c r="K1515">
        <v>550</v>
      </c>
      <c r="L1515">
        <v>0</v>
      </c>
      <c r="M1515">
        <v>0</v>
      </c>
      <c r="N1515">
        <v>550</v>
      </c>
    </row>
    <row r="1516" spans="1:14" x14ac:dyDescent="0.25">
      <c r="A1516">
        <v>1529.707633</v>
      </c>
      <c r="B1516" s="1">
        <f>DATE(2014,7,8) + TIME(16,58,59)</f>
        <v>41828.707627314812</v>
      </c>
      <c r="C1516">
        <v>80</v>
      </c>
      <c r="D1516">
        <v>79.944137573000006</v>
      </c>
      <c r="E1516">
        <v>50</v>
      </c>
      <c r="F1516">
        <v>49.713787078999999</v>
      </c>
      <c r="G1516">
        <v>1333.8671875</v>
      </c>
      <c r="H1516">
        <v>1332.885376</v>
      </c>
      <c r="I1516">
        <v>1329.7114257999999</v>
      </c>
      <c r="J1516">
        <v>1329.2125243999999</v>
      </c>
      <c r="K1516">
        <v>550</v>
      </c>
      <c r="L1516">
        <v>0</v>
      </c>
      <c r="M1516">
        <v>0</v>
      </c>
      <c r="N1516">
        <v>550</v>
      </c>
    </row>
    <row r="1517" spans="1:14" x14ac:dyDescent="0.25">
      <c r="A1517">
        <v>1531.7411</v>
      </c>
      <c r="B1517" s="1">
        <f>DATE(2014,7,10) + TIME(17,47,11)</f>
        <v>41830.741099537037</v>
      </c>
      <c r="C1517">
        <v>80</v>
      </c>
      <c r="D1517">
        <v>79.944114685000002</v>
      </c>
      <c r="E1517">
        <v>50</v>
      </c>
      <c r="F1517">
        <v>49.973884583</v>
      </c>
      <c r="G1517">
        <v>1333.8664550999999</v>
      </c>
      <c r="H1517">
        <v>1332.8864745999999</v>
      </c>
      <c r="I1517">
        <v>1329.7086182</v>
      </c>
      <c r="J1517">
        <v>1329.2054443</v>
      </c>
      <c r="K1517">
        <v>550</v>
      </c>
      <c r="L1517">
        <v>0</v>
      </c>
      <c r="M1517">
        <v>0</v>
      </c>
      <c r="N1517">
        <v>550</v>
      </c>
    </row>
    <row r="1518" spans="1:14" x14ac:dyDescent="0.25">
      <c r="A1518">
        <v>1533.814224</v>
      </c>
      <c r="B1518" s="1">
        <f>DATE(2014,7,12) + TIME(19,32,28)</f>
        <v>41832.814212962963</v>
      </c>
      <c r="C1518">
        <v>80</v>
      </c>
      <c r="D1518">
        <v>79.944091796999999</v>
      </c>
      <c r="E1518">
        <v>50</v>
      </c>
      <c r="F1518">
        <v>50.282939911</v>
      </c>
      <c r="G1518">
        <v>1333.8657227000001</v>
      </c>
      <c r="H1518">
        <v>1332.8875731999999</v>
      </c>
      <c r="I1518">
        <v>1329.7062988</v>
      </c>
      <c r="J1518">
        <v>1329.1990966999999</v>
      </c>
      <c r="K1518">
        <v>550</v>
      </c>
      <c r="L1518">
        <v>0</v>
      </c>
      <c r="M1518">
        <v>0</v>
      </c>
      <c r="N1518">
        <v>550</v>
      </c>
    </row>
    <row r="1519" spans="1:14" x14ac:dyDescent="0.25">
      <c r="A1519">
        <v>1535.946643</v>
      </c>
      <c r="B1519" s="1">
        <f>DATE(2014,7,14) + TIME(22,43,9)</f>
        <v>41834.946631944447</v>
      </c>
      <c r="C1519">
        <v>80</v>
      </c>
      <c r="D1519">
        <v>79.944084167</v>
      </c>
      <c r="E1519">
        <v>50</v>
      </c>
      <c r="F1519">
        <v>50.645786285</v>
      </c>
      <c r="G1519">
        <v>1333.8649902</v>
      </c>
      <c r="H1519">
        <v>1332.8886719</v>
      </c>
      <c r="I1519">
        <v>1329.7043457</v>
      </c>
      <c r="J1519">
        <v>1329.1934814000001</v>
      </c>
      <c r="K1519">
        <v>550</v>
      </c>
      <c r="L1519">
        <v>0</v>
      </c>
      <c r="M1519">
        <v>0</v>
      </c>
      <c r="N1519">
        <v>550</v>
      </c>
    </row>
    <row r="1520" spans="1:14" x14ac:dyDescent="0.25">
      <c r="A1520">
        <v>1538.100134</v>
      </c>
      <c r="B1520" s="1">
        <f>DATE(2014,7,17) + TIME(2,24,11)</f>
        <v>41837.100127314814</v>
      </c>
      <c r="C1520">
        <v>80</v>
      </c>
      <c r="D1520">
        <v>79.944068908999995</v>
      </c>
      <c r="E1520">
        <v>50</v>
      </c>
      <c r="F1520">
        <v>51.060997008999998</v>
      </c>
      <c r="G1520">
        <v>1333.8643798999999</v>
      </c>
      <c r="H1520">
        <v>1332.8896483999999</v>
      </c>
      <c r="I1520">
        <v>1329.7030029</v>
      </c>
      <c r="J1520">
        <v>1329.1887207</v>
      </c>
      <c r="K1520">
        <v>550</v>
      </c>
      <c r="L1520">
        <v>0</v>
      </c>
      <c r="M1520">
        <v>0</v>
      </c>
      <c r="N1520">
        <v>550</v>
      </c>
    </row>
    <row r="1521" spans="1:14" x14ac:dyDescent="0.25">
      <c r="A1521">
        <v>1540.3156429999999</v>
      </c>
      <c r="B1521" s="1">
        <f>DATE(2014,7,19) + TIME(7,34,31)</f>
        <v>41839.315636574072</v>
      </c>
      <c r="C1521">
        <v>80</v>
      </c>
      <c r="D1521">
        <v>79.944061278999996</v>
      </c>
      <c r="E1521">
        <v>50</v>
      </c>
      <c r="F1521">
        <v>51.531631470000001</v>
      </c>
      <c r="G1521">
        <v>1333.8636475000001</v>
      </c>
      <c r="H1521">
        <v>1332.890625</v>
      </c>
      <c r="I1521">
        <v>1329.7020264</v>
      </c>
      <c r="J1521">
        <v>1329.1848144999999</v>
      </c>
      <c r="K1521">
        <v>550</v>
      </c>
      <c r="L1521">
        <v>0</v>
      </c>
      <c r="M1521">
        <v>0</v>
      </c>
      <c r="N1521">
        <v>550</v>
      </c>
    </row>
    <row r="1522" spans="1:14" x14ac:dyDescent="0.25">
      <c r="A1522">
        <v>1542.601586</v>
      </c>
      <c r="B1522" s="1">
        <f>DATE(2014,7,21) + TIME(14,26,17)</f>
        <v>41841.601585648146</v>
      </c>
      <c r="C1522">
        <v>80</v>
      </c>
      <c r="D1522">
        <v>79.944061278999996</v>
      </c>
      <c r="E1522">
        <v>50</v>
      </c>
      <c r="F1522">
        <v>52.058227539000001</v>
      </c>
      <c r="G1522">
        <v>1333.8630370999999</v>
      </c>
      <c r="H1522">
        <v>1332.8916016000001</v>
      </c>
      <c r="I1522">
        <v>1329.7015381000001</v>
      </c>
      <c r="J1522">
        <v>1329.1817627</v>
      </c>
      <c r="K1522">
        <v>550</v>
      </c>
      <c r="L1522">
        <v>0</v>
      </c>
      <c r="M1522">
        <v>0</v>
      </c>
      <c r="N1522">
        <v>550</v>
      </c>
    </row>
    <row r="1523" spans="1:14" x14ac:dyDescent="0.25">
      <c r="A1523">
        <v>1544.9298200000001</v>
      </c>
      <c r="B1523" s="1">
        <f>DATE(2014,7,23) + TIME(22,18,56)</f>
        <v>41843.929814814815</v>
      </c>
      <c r="C1523">
        <v>80</v>
      </c>
      <c r="D1523">
        <v>79.944053650000001</v>
      </c>
      <c r="E1523">
        <v>50</v>
      </c>
      <c r="F1523">
        <v>52.634422301999997</v>
      </c>
      <c r="G1523">
        <v>1333.8623047000001</v>
      </c>
      <c r="H1523">
        <v>1332.8925781</v>
      </c>
      <c r="I1523">
        <v>1329.7014160000001</v>
      </c>
      <c r="J1523">
        <v>1329.1796875</v>
      </c>
      <c r="K1523">
        <v>550</v>
      </c>
      <c r="L1523">
        <v>0</v>
      </c>
      <c r="M1523">
        <v>0</v>
      </c>
      <c r="N1523">
        <v>550</v>
      </c>
    </row>
    <row r="1524" spans="1:14" x14ac:dyDescent="0.25">
      <c r="A1524">
        <v>1547.3417460000001</v>
      </c>
      <c r="B1524" s="1">
        <f>DATE(2014,7,26) + TIME(8,12,6)</f>
        <v>41846.341736111113</v>
      </c>
      <c r="C1524">
        <v>80</v>
      </c>
      <c r="D1524">
        <v>79.944061278999996</v>
      </c>
      <c r="E1524">
        <v>50</v>
      </c>
      <c r="F1524">
        <v>53.256843566999997</v>
      </c>
      <c r="G1524">
        <v>1333.8616943</v>
      </c>
      <c r="H1524">
        <v>1332.8935547000001</v>
      </c>
      <c r="I1524">
        <v>1329.7017822</v>
      </c>
      <c r="J1524">
        <v>1329.1783447</v>
      </c>
      <c r="K1524">
        <v>550</v>
      </c>
      <c r="L1524">
        <v>0</v>
      </c>
      <c r="M1524">
        <v>0</v>
      </c>
      <c r="N1524">
        <v>550</v>
      </c>
    </row>
    <row r="1525" spans="1:14" x14ac:dyDescent="0.25">
      <c r="A1525">
        <v>1549.83224</v>
      </c>
      <c r="B1525" s="1">
        <f>DATE(2014,7,28) + TIME(19,58,25)</f>
        <v>41848.832233796296</v>
      </c>
      <c r="C1525">
        <v>80</v>
      </c>
      <c r="D1525">
        <v>79.944068908999995</v>
      </c>
      <c r="E1525">
        <v>50</v>
      </c>
      <c r="F1525">
        <v>53.916530608999999</v>
      </c>
      <c r="G1525">
        <v>1333.8610839999999</v>
      </c>
      <c r="H1525">
        <v>1332.8944091999999</v>
      </c>
      <c r="I1525">
        <v>1329.7025146000001</v>
      </c>
      <c r="J1525">
        <v>1329.1777344</v>
      </c>
      <c r="K1525">
        <v>550</v>
      </c>
      <c r="L1525">
        <v>0</v>
      </c>
      <c r="M1525">
        <v>0</v>
      </c>
      <c r="N1525">
        <v>550</v>
      </c>
    </row>
    <row r="1526" spans="1:14" x14ac:dyDescent="0.25">
      <c r="A1526">
        <v>1552.360259</v>
      </c>
      <c r="B1526" s="1">
        <f>DATE(2014,7,31) + TIME(8,38,46)</f>
        <v>41851.360254629632</v>
      </c>
      <c r="C1526">
        <v>80</v>
      </c>
      <c r="D1526">
        <v>79.944076538000004</v>
      </c>
      <c r="E1526">
        <v>50</v>
      </c>
      <c r="F1526">
        <v>54.597312926999997</v>
      </c>
      <c r="G1526">
        <v>1333.8604736</v>
      </c>
      <c r="H1526">
        <v>1332.8953856999999</v>
      </c>
      <c r="I1526">
        <v>1329.7036132999999</v>
      </c>
      <c r="J1526">
        <v>1329.1779785000001</v>
      </c>
      <c r="K1526">
        <v>550</v>
      </c>
      <c r="L1526">
        <v>0</v>
      </c>
      <c r="M1526">
        <v>0</v>
      </c>
      <c r="N1526">
        <v>550</v>
      </c>
    </row>
    <row r="1527" spans="1:14" x14ac:dyDescent="0.25">
      <c r="A1527">
        <v>1553</v>
      </c>
      <c r="B1527" s="1">
        <f>DATE(2014,8,1) + TIME(0,0,0)</f>
        <v>41852</v>
      </c>
      <c r="C1527">
        <v>80</v>
      </c>
      <c r="D1527">
        <v>79.944061278999996</v>
      </c>
      <c r="E1527">
        <v>50</v>
      </c>
      <c r="F1527">
        <v>54.868061066000003</v>
      </c>
      <c r="G1527">
        <v>1333.8599853999999</v>
      </c>
      <c r="H1527">
        <v>1332.8962402</v>
      </c>
      <c r="I1527">
        <v>1329.706543</v>
      </c>
      <c r="J1527">
        <v>1329.1789550999999</v>
      </c>
      <c r="K1527">
        <v>550</v>
      </c>
      <c r="L1527">
        <v>0</v>
      </c>
      <c r="M1527">
        <v>0</v>
      </c>
      <c r="N1527">
        <v>550</v>
      </c>
    </row>
    <row r="1528" spans="1:14" x14ac:dyDescent="0.25">
      <c r="A1528">
        <v>1555.609778</v>
      </c>
      <c r="B1528" s="1">
        <f>DATE(2014,8,3) + TIME(14,38,4)</f>
        <v>41854.609768518516</v>
      </c>
      <c r="C1528">
        <v>80</v>
      </c>
      <c r="D1528">
        <v>79.944091796999999</v>
      </c>
      <c r="E1528">
        <v>50</v>
      </c>
      <c r="F1528">
        <v>55.514404296999999</v>
      </c>
      <c r="G1528">
        <v>1333.8597411999999</v>
      </c>
      <c r="H1528">
        <v>1332.8964844</v>
      </c>
      <c r="I1528">
        <v>1329.7053223</v>
      </c>
      <c r="J1528">
        <v>1329.1794434000001</v>
      </c>
      <c r="K1528">
        <v>550</v>
      </c>
      <c r="L1528">
        <v>0</v>
      </c>
      <c r="M1528">
        <v>0</v>
      </c>
      <c r="N1528">
        <v>550</v>
      </c>
    </row>
    <row r="1529" spans="1:14" x14ac:dyDescent="0.25">
      <c r="A1529">
        <v>1558.384229</v>
      </c>
      <c r="B1529" s="1">
        <f>DATE(2014,8,6) + TIME(9,13,17)</f>
        <v>41857.38422453704</v>
      </c>
      <c r="C1529">
        <v>80</v>
      </c>
      <c r="D1529">
        <v>79.944122313999998</v>
      </c>
      <c r="E1529">
        <v>50</v>
      </c>
      <c r="F1529">
        <v>56.198558806999998</v>
      </c>
      <c r="G1529">
        <v>1333.8591309000001</v>
      </c>
      <c r="H1529">
        <v>1332.8973389</v>
      </c>
      <c r="I1529">
        <v>1329.7071533000001</v>
      </c>
      <c r="J1529">
        <v>1329.1806641000001</v>
      </c>
      <c r="K1529">
        <v>550</v>
      </c>
      <c r="L1529">
        <v>0</v>
      </c>
      <c r="M1529">
        <v>0</v>
      </c>
      <c r="N1529">
        <v>550</v>
      </c>
    </row>
    <row r="1530" spans="1:14" x14ac:dyDescent="0.25">
      <c r="A1530">
        <v>1561.187068</v>
      </c>
      <c r="B1530" s="1">
        <f>DATE(2014,8,9) + TIME(4,29,22)</f>
        <v>41860.187060185184</v>
      </c>
      <c r="C1530">
        <v>80</v>
      </c>
      <c r="D1530">
        <v>79.944145203000005</v>
      </c>
      <c r="E1530">
        <v>50</v>
      </c>
      <c r="F1530">
        <v>56.891063690000003</v>
      </c>
      <c r="G1530">
        <v>1333.8586425999999</v>
      </c>
      <c r="H1530">
        <v>1332.8981934000001</v>
      </c>
      <c r="I1530">
        <v>1329.7092285000001</v>
      </c>
      <c r="J1530">
        <v>1329.1824951000001</v>
      </c>
      <c r="K1530">
        <v>550</v>
      </c>
      <c r="L1530">
        <v>0</v>
      </c>
      <c r="M1530">
        <v>0</v>
      </c>
      <c r="N1530">
        <v>550</v>
      </c>
    </row>
    <row r="1531" spans="1:14" x14ac:dyDescent="0.25">
      <c r="A1531">
        <v>1564.067178</v>
      </c>
      <c r="B1531" s="1">
        <f>DATE(2014,8,12) + TIME(1,36,44)</f>
        <v>41863.067175925928</v>
      </c>
      <c r="C1531">
        <v>80</v>
      </c>
      <c r="D1531">
        <v>79.944175720000004</v>
      </c>
      <c r="E1531">
        <v>50</v>
      </c>
      <c r="F1531">
        <v>57.578224182</v>
      </c>
      <c r="G1531">
        <v>1333.8580322</v>
      </c>
      <c r="H1531">
        <v>1332.8990478999999</v>
      </c>
      <c r="I1531">
        <v>1329.7115478999999</v>
      </c>
      <c r="J1531">
        <v>1329.1846923999999</v>
      </c>
      <c r="K1531">
        <v>550</v>
      </c>
      <c r="L1531">
        <v>0</v>
      </c>
      <c r="M1531">
        <v>0</v>
      </c>
      <c r="N1531">
        <v>550</v>
      </c>
    </row>
    <row r="1532" spans="1:14" x14ac:dyDescent="0.25">
      <c r="A1532">
        <v>1567.061641</v>
      </c>
      <c r="B1532" s="1">
        <f>DATE(2014,8,15) + TIME(1,28,45)</f>
        <v>41866.061631944445</v>
      </c>
      <c r="C1532">
        <v>80</v>
      </c>
      <c r="D1532">
        <v>79.944206238000007</v>
      </c>
      <c r="E1532">
        <v>50</v>
      </c>
      <c r="F1532">
        <v>58.254085541000002</v>
      </c>
      <c r="G1532">
        <v>1333.8575439000001</v>
      </c>
      <c r="H1532">
        <v>1332.8999022999999</v>
      </c>
      <c r="I1532">
        <v>1329.7141113</v>
      </c>
      <c r="J1532">
        <v>1329.1872559000001</v>
      </c>
      <c r="K1532">
        <v>550</v>
      </c>
      <c r="L1532">
        <v>0</v>
      </c>
      <c r="M1532">
        <v>0</v>
      </c>
      <c r="N1532">
        <v>550</v>
      </c>
    </row>
    <row r="1533" spans="1:14" x14ac:dyDescent="0.25">
      <c r="A1533">
        <v>1570.1800020000001</v>
      </c>
      <c r="B1533" s="1">
        <f>DATE(2014,8,18) + TIME(4,19,12)</f>
        <v>41869.18</v>
      </c>
      <c r="C1533">
        <v>80</v>
      </c>
      <c r="D1533">
        <v>79.944244385000005</v>
      </c>
      <c r="E1533">
        <v>50</v>
      </c>
      <c r="F1533">
        <v>58.913291931000003</v>
      </c>
      <c r="G1533">
        <v>1333.8570557</v>
      </c>
      <c r="H1533">
        <v>1332.9007568</v>
      </c>
      <c r="I1533">
        <v>1329.7167969</v>
      </c>
      <c r="J1533">
        <v>1329.1900635</v>
      </c>
      <c r="K1533">
        <v>550</v>
      </c>
      <c r="L1533">
        <v>0</v>
      </c>
      <c r="M1533">
        <v>0</v>
      </c>
      <c r="N1533">
        <v>550</v>
      </c>
    </row>
    <row r="1534" spans="1:14" x14ac:dyDescent="0.25">
      <c r="A1534">
        <v>1573.3794539999999</v>
      </c>
      <c r="B1534" s="1">
        <f>DATE(2014,8,21) + TIME(9,6,24)</f>
        <v>41872.379444444443</v>
      </c>
      <c r="C1534">
        <v>80</v>
      </c>
      <c r="D1534">
        <v>79.944282532000003</v>
      </c>
      <c r="E1534">
        <v>50</v>
      </c>
      <c r="F1534">
        <v>59.547142029</v>
      </c>
      <c r="G1534">
        <v>1333.8565673999999</v>
      </c>
      <c r="H1534">
        <v>1332.9017334</v>
      </c>
      <c r="I1534">
        <v>1329.7196045000001</v>
      </c>
      <c r="J1534">
        <v>1329.1931152</v>
      </c>
      <c r="K1534">
        <v>550</v>
      </c>
      <c r="L1534">
        <v>0</v>
      </c>
      <c r="M1534">
        <v>0</v>
      </c>
      <c r="N1534">
        <v>550</v>
      </c>
    </row>
    <row r="1535" spans="1:14" x14ac:dyDescent="0.25">
      <c r="A1535">
        <v>1576.631611</v>
      </c>
      <c r="B1535" s="1">
        <f>DATE(2014,8,24) + TIME(15,9,31)</f>
        <v>41875.631608796299</v>
      </c>
      <c r="C1535">
        <v>80</v>
      </c>
      <c r="D1535">
        <v>79.944328307999996</v>
      </c>
      <c r="E1535">
        <v>50</v>
      </c>
      <c r="F1535">
        <v>60.147003173999998</v>
      </c>
      <c r="G1535">
        <v>1333.8560791</v>
      </c>
      <c r="H1535">
        <v>1332.9025879000001</v>
      </c>
      <c r="I1535">
        <v>1329.7225341999999</v>
      </c>
      <c r="J1535">
        <v>1329.1961670000001</v>
      </c>
      <c r="K1535">
        <v>550</v>
      </c>
      <c r="L1535">
        <v>0</v>
      </c>
      <c r="M1535">
        <v>0</v>
      </c>
      <c r="N1535">
        <v>550</v>
      </c>
    </row>
    <row r="1536" spans="1:14" x14ac:dyDescent="0.25">
      <c r="A1536">
        <v>1579.986838</v>
      </c>
      <c r="B1536" s="1">
        <f>DATE(2014,8,27) + TIME(23,41,2)</f>
        <v>41878.986828703702</v>
      </c>
      <c r="C1536">
        <v>80</v>
      </c>
      <c r="D1536">
        <v>79.944381714000002</v>
      </c>
      <c r="E1536">
        <v>50</v>
      </c>
      <c r="F1536">
        <v>60.711784363</v>
      </c>
      <c r="G1536">
        <v>1333.8557129000001</v>
      </c>
      <c r="H1536">
        <v>1332.9034423999999</v>
      </c>
      <c r="I1536">
        <v>1329.7255858999999</v>
      </c>
      <c r="J1536">
        <v>1329.1993408000001</v>
      </c>
      <c r="K1536">
        <v>550</v>
      </c>
      <c r="L1536">
        <v>0</v>
      </c>
      <c r="M1536">
        <v>0</v>
      </c>
      <c r="N1536">
        <v>550</v>
      </c>
    </row>
    <row r="1537" spans="1:14" x14ac:dyDescent="0.25">
      <c r="A1537">
        <v>1583.5167919999999</v>
      </c>
      <c r="B1537" s="1">
        <f>DATE(2014,8,31) + TIME(12,24,10)</f>
        <v>41882.516782407409</v>
      </c>
      <c r="C1537">
        <v>80</v>
      </c>
      <c r="D1537">
        <v>79.944435119999994</v>
      </c>
      <c r="E1537">
        <v>50</v>
      </c>
      <c r="F1537">
        <v>61.247772216999998</v>
      </c>
      <c r="G1537">
        <v>1333.8553466999999</v>
      </c>
      <c r="H1537">
        <v>1332.9042969</v>
      </c>
      <c r="I1537">
        <v>1329.7286377</v>
      </c>
      <c r="J1537">
        <v>1329.2025146000001</v>
      </c>
      <c r="K1537">
        <v>550</v>
      </c>
      <c r="L1537">
        <v>0</v>
      </c>
      <c r="M1537">
        <v>0</v>
      </c>
      <c r="N1537">
        <v>550</v>
      </c>
    </row>
    <row r="1538" spans="1:14" x14ac:dyDescent="0.25">
      <c r="A1538">
        <v>1584</v>
      </c>
      <c r="B1538" s="1">
        <f>DATE(2014,9,1) + TIME(0,0,0)</f>
        <v>41883</v>
      </c>
      <c r="C1538">
        <v>80</v>
      </c>
      <c r="D1538">
        <v>79.944419861</v>
      </c>
      <c r="E1538">
        <v>50</v>
      </c>
      <c r="F1538">
        <v>61.389144897000001</v>
      </c>
      <c r="G1538">
        <v>1333.8549805</v>
      </c>
      <c r="H1538">
        <v>1332.9051514</v>
      </c>
      <c r="I1538">
        <v>1329.7330322</v>
      </c>
      <c r="J1538">
        <v>1329.2059326000001</v>
      </c>
      <c r="K1538">
        <v>550</v>
      </c>
      <c r="L1538">
        <v>0</v>
      </c>
      <c r="M1538">
        <v>0</v>
      </c>
      <c r="N1538">
        <v>550</v>
      </c>
    </row>
    <row r="1539" spans="1:14" x14ac:dyDescent="0.25">
      <c r="A1539">
        <v>1587.639917</v>
      </c>
      <c r="B1539" s="1">
        <f>DATE(2014,9,4) + TIME(15,21,28)</f>
        <v>41886.639907407407</v>
      </c>
      <c r="C1539">
        <v>80</v>
      </c>
      <c r="D1539">
        <v>79.944496154999996</v>
      </c>
      <c r="E1539">
        <v>50</v>
      </c>
      <c r="F1539">
        <v>61.848400116000001</v>
      </c>
      <c r="G1539">
        <v>1333.8548584</v>
      </c>
      <c r="H1539">
        <v>1332.9052733999999</v>
      </c>
      <c r="I1539">
        <v>1329.7324219</v>
      </c>
      <c r="J1539">
        <v>1329.2067870999999</v>
      </c>
      <c r="K1539">
        <v>550</v>
      </c>
      <c r="L1539">
        <v>0</v>
      </c>
      <c r="M1539">
        <v>0</v>
      </c>
      <c r="N1539">
        <v>550</v>
      </c>
    </row>
    <row r="1540" spans="1:14" x14ac:dyDescent="0.25">
      <c r="A1540">
        <v>1591.3866230000001</v>
      </c>
      <c r="B1540" s="1">
        <f>DATE(2014,9,8) + TIME(9,16,44)</f>
        <v>41890.386620370373</v>
      </c>
      <c r="C1540">
        <v>80</v>
      </c>
      <c r="D1540">
        <v>79.944564818999993</v>
      </c>
      <c r="E1540">
        <v>50</v>
      </c>
      <c r="F1540">
        <v>62.302558898999997</v>
      </c>
      <c r="G1540">
        <v>1333.8544922000001</v>
      </c>
      <c r="H1540">
        <v>1332.9060059000001</v>
      </c>
      <c r="I1540">
        <v>1329.7354736</v>
      </c>
      <c r="J1540">
        <v>1329.2095947</v>
      </c>
      <c r="K1540">
        <v>550</v>
      </c>
      <c r="L1540">
        <v>0</v>
      </c>
      <c r="M1540">
        <v>0</v>
      </c>
      <c r="N1540">
        <v>550</v>
      </c>
    </row>
    <row r="1541" spans="1:14" x14ac:dyDescent="0.25">
      <c r="A1541">
        <v>1595.3111140000001</v>
      </c>
      <c r="B1541" s="1">
        <f>DATE(2014,9,12) + TIME(7,28,0)</f>
        <v>41894.311111111114</v>
      </c>
      <c r="C1541">
        <v>80</v>
      </c>
      <c r="D1541">
        <v>79.944633483999993</v>
      </c>
      <c r="E1541">
        <v>50</v>
      </c>
      <c r="F1541">
        <v>62.740379333</v>
      </c>
      <c r="G1541">
        <v>1333.854126</v>
      </c>
      <c r="H1541">
        <v>1332.9068603999999</v>
      </c>
      <c r="I1541">
        <v>1329.7386475000001</v>
      </c>
      <c r="J1541">
        <v>1329.2126464999999</v>
      </c>
      <c r="K1541">
        <v>550</v>
      </c>
      <c r="L1541">
        <v>0</v>
      </c>
      <c r="M1541">
        <v>0</v>
      </c>
      <c r="N1541">
        <v>550</v>
      </c>
    </row>
    <row r="1542" spans="1:14" x14ac:dyDescent="0.25">
      <c r="A1542">
        <v>1599.427747</v>
      </c>
      <c r="B1542" s="1">
        <f>DATE(2014,9,16) + TIME(10,15,57)</f>
        <v>41898.427743055552</v>
      </c>
      <c r="C1542">
        <v>80</v>
      </c>
      <c r="D1542">
        <v>79.944709778000004</v>
      </c>
      <c r="E1542">
        <v>50</v>
      </c>
      <c r="F1542">
        <v>63.159503936999997</v>
      </c>
      <c r="G1542">
        <v>1333.8537598</v>
      </c>
      <c r="H1542">
        <v>1332.9077147999999</v>
      </c>
      <c r="I1542">
        <v>1329.7418213000001</v>
      </c>
      <c r="J1542">
        <v>1329.2155762</v>
      </c>
      <c r="K1542">
        <v>550</v>
      </c>
      <c r="L1542">
        <v>0</v>
      </c>
      <c r="M1542">
        <v>0</v>
      </c>
      <c r="N1542">
        <v>550</v>
      </c>
    </row>
    <row r="1543" spans="1:14" x14ac:dyDescent="0.25">
      <c r="A1543">
        <v>1603.6459709999999</v>
      </c>
      <c r="B1543" s="1">
        <f>DATE(2014,9,20) + TIME(15,30,11)</f>
        <v>41902.645960648151</v>
      </c>
      <c r="C1543">
        <v>80</v>
      </c>
      <c r="D1543">
        <v>79.944793700999995</v>
      </c>
      <c r="E1543">
        <v>50</v>
      </c>
      <c r="F1543">
        <v>63.555988311999997</v>
      </c>
      <c r="G1543">
        <v>1333.8533935999999</v>
      </c>
      <c r="H1543">
        <v>1332.9085693</v>
      </c>
      <c r="I1543">
        <v>1329.7449951000001</v>
      </c>
      <c r="J1543">
        <v>1329.2186279</v>
      </c>
      <c r="K1543">
        <v>550</v>
      </c>
      <c r="L1543">
        <v>0</v>
      </c>
      <c r="M1543">
        <v>0</v>
      </c>
      <c r="N1543">
        <v>550</v>
      </c>
    </row>
    <row r="1544" spans="1:14" x14ac:dyDescent="0.25">
      <c r="A1544">
        <v>1607.9674669999999</v>
      </c>
      <c r="B1544" s="1">
        <f>DATE(2014,9,24) + TIME(23,13,9)</f>
        <v>41906.967465277776</v>
      </c>
      <c r="C1544">
        <v>80</v>
      </c>
      <c r="D1544">
        <v>79.944877625000004</v>
      </c>
      <c r="E1544">
        <v>50</v>
      </c>
      <c r="F1544">
        <v>63.927066803000002</v>
      </c>
      <c r="G1544">
        <v>1333.8531493999999</v>
      </c>
      <c r="H1544">
        <v>1332.9094238</v>
      </c>
      <c r="I1544">
        <v>1329.7481689000001</v>
      </c>
      <c r="J1544">
        <v>1329.2215576000001</v>
      </c>
      <c r="K1544">
        <v>550</v>
      </c>
      <c r="L1544">
        <v>0</v>
      </c>
      <c r="M1544">
        <v>0</v>
      </c>
      <c r="N1544">
        <v>550</v>
      </c>
    </row>
    <row r="1545" spans="1:14" x14ac:dyDescent="0.25">
      <c r="A1545">
        <v>1612.4497140000001</v>
      </c>
      <c r="B1545" s="1">
        <f>DATE(2014,9,29) + TIME(10,47,35)</f>
        <v>41911.44971064815</v>
      </c>
      <c r="C1545">
        <v>80</v>
      </c>
      <c r="D1545">
        <v>79.944969177000004</v>
      </c>
      <c r="E1545">
        <v>50</v>
      </c>
      <c r="F1545">
        <v>64.274909973000007</v>
      </c>
      <c r="G1545">
        <v>1333.8529053</v>
      </c>
      <c r="H1545">
        <v>1332.9102783000001</v>
      </c>
      <c r="I1545">
        <v>1329.7513428</v>
      </c>
      <c r="J1545">
        <v>1329.2243652</v>
      </c>
      <c r="K1545">
        <v>550</v>
      </c>
      <c r="L1545">
        <v>0</v>
      </c>
      <c r="M1545">
        <v>0</v>
      </c>
      <c r="N1545">
        <v>550</v>
      </c>
    </row>
    <row r="1546" spans="1:14" x14ac:dyDescent="0.25">
      <c r="A1546">
        <v>1614</v>
      </c>
      <c r="B1546" s="1">
        <f>DATE(2014,10,1) + TIME(0,0,0)</f>
        <v>41913</v>
      </c>
      <c r="C1546">
        <v>80</v>
      </c>
      <c r="D1546">
        <v>79.944969177000004</v>
      </c>
      <c r="E1546">
        <v>50</v>
      </c>
      <c r="F1546">
        <v>64.472610474000007</v>
      </c>
      <c r="G1546">
        <v>1333.8526611</v>
      </c>
      <c r="H1546">
        <v>1332.9111327999999</v>
      </c>
      <c r="I1546">
        <v>1329.7547606999999</v>
      </c>
      <c r="J1546">
        <v>1329.2271728999999</v>
      </c>
      <c r="K1546">
        <v>550</v>
      </c>
      <c r="L1546">
        <v>0</v>
      </c>
      <c r="M1546">
        <v>0</v>
      </c>
      <c r="N1546">
        <v>550</v>
      </c>
    </row>
    <row r="1547" spans="1:14" x14ac:dyDescent="0.25">
      <c r="A1547">
        <v>1618.7535439999999</v>
      </c>
      <c r="B1547" s="1">
        <f>DATE(2014,10,5) + TIME(18,5,6)</f>
        <v>41917.753541666665</v>
      </c>
      <c r="C1547">
        <v>80</v>
      </c>
      <c r="D1547">
        <v>79.945091247999997</v>
      </c>
      <c r="E1547">
        <v>50</v>
      </c>
      <c r="F1547">
        <v>64.738548279</v>
      </c>
      <c r="G1547">
        <v>1333.8525391000001</v>
      </c>
      <c r="H1547">
        <v>1332.9113769999999</v>
      </c>
      <c r="I1547">
        <v>1329.7556152</v>
      </c>
      <c r="J1547">
        <v>1329.2290039</v>
      </c>
      <c r="K1547">
        <v>550</v>
      </c>
      <c r="L1547">
        <v>0</v>
      </c>
      <c r="M1547">
        <v>0</v>
      </c>
      <c r="N1547">
        <v>550</v>
      </c>
    </row>
    <row r="1548" spans="1:14" x14ac:dyDescent="0.25">
      <c r="A1548">
        <v>1623.714968</v>
      </c>
      <c r="B1548" s="1">
        <f>DATE(2014,10,10) + TIME(17,9,33)</f>
        <v>41922.714965277781</v>
      </c>
      <c r="C1548">
        <v>80</v>
      </c>
      <c r="D1548">
        <v>79.945198059000006</v>
      </c>
      <c r="E1548">
        <v>50</v>
      </c>
      <c r="F1548">
        <v>65.026603699000006</v>
      </c>
      <c r="G1548">
        <v>1333.8522949000001</v>
      </c>
      <c r="H1548">
        <v>1332.9122314000001</v>
      </c>
      <c r="I1548">
        <v>1329.7583007999999</v>
      </c>
      <c r="J1548">
        <v>1329.2305908000001</v>
      </c>
      <c r="K1548">
        <v>550</v>
      </c>
      <c r="L1548">
        <v>0</v>
      </c>
      <c r="M1548">
        <v>0</v>
      </c>
      <c r="N1548">
        <v>550</v>
      </c>
    </row>
    <row r="1549" spans="1:14" x14ac:dyDescent="0.25">
      <c r="A1549">
        <v>1628.914305</v>
      </c>
      <c r="B1549" s="1">
        <f>DATE(2014,10,15) + TIME(21,56,35)</f>
        <v>41927.914293981485</v>
      </c>
      <c r="C1549">
        <v>80</v>
      </c>
      <c r="D1549">
        <v>79.9453125</v>
      </c>
      <c r="E1549">
        <v>50</v>
      </c>
      <c r="F1549">
        <v>65.313217163000004</v>
      </c>
      <c r="G1549">
        <v>1333.8520507999999</v>
      </c>
      <c r="H1549">
        <v>1332.9130858999999</v>
      </c>
      <c r="I1549">
        <v>1329.7611084</v>
      </c>
      <c r="J1549">
        <v>1329.2327881000001</v>
      </c>
      <c r="K1549">
        <v>550</v>
      </c>
      <c r="L1549">
        <v>0</v>
      </c>
      <c r="M1549">
        <v>0</v>
      </c>
      <c r="N1549">
        <v>550</v>
      </c>
    </row>
    <row r="1550" spans="1:14" x14ac:dyDescent="0.25">
      <c r="A1550">
        <v>1634.357516</v>
      </c>
      <c r="B1550" s="1">
        <f>DATE(2014,10,21) + TIME(8,34,49)</f>
        <v>41933.357511574075</v>
      </c>
      <c r="C1550">
        <v>80</v>
      </c>
      <c r="D1550">
        <v>79.945426940999994</v>
      </c>
      <c r="E1550">
        <v>50</v>
      </c>
      <c r="F1550">
        <v>65.591339110999996</v>
      </c>
      <c r="G1550">
        <v>1333.8518065999999</v>
      </c>
      <c r="H1550">
        <v>1332.9139404</v>
      </c>
      <c r="I1550">
        <v>1329.7639160000001</v>
      </c>
      <c r="J1550">
        <v>1329.2348632999999</v>
      </c>
      <c r="K1550">
        <v>550</v>
      </c>
      <c r="L1550">
        <v>0</v>
      </c>
      <c r="M1550">
        <v>0</v>
      </c>
      <c r="N1550">
        <v>550</v>
      </c>
    </row>
    <row r="1551" spans="1:14" x14ac:dyDescent="0.25">
      <c r="A1551">
        <v>1639.9902910000001</v>
      </c>
      <c r="B1551" s="1">
        <f>DATE(2014,10,26) + TIME(23,46,1)</f>
        <v>41938.990289351852</v>
      </c>
      <c r="C1551">
        <v>80</v>
      </c>
      <c r="D1551">
        <v>79.945549010999997</v>
      </c>
      <c r="E1551">
        <v>50</v>
      </c>
      <c r="F1551">
        <v>65.857742310000006</v>
      </c>
      <c r="G1551">
        <v>1333.8516846</v>
      </c>
      <c r="H1551">
        <v>1332.9147949000001</v>
      </c>
      <c r="I1551">
        <v>1329.7667236</v>
      </c>
      <c r="J1551">
        <v>1329.2369385</v>
      </c>
      <c r="K1551">
        <v>550</v>
      </c>
      <c r="L1551">
        <v>0</v>
      </c>
      <c r="M1551">
        <v>0</v>
      </c>
      <c r="N1551">
        <v>550</v>
      </c>
    </row>
    <row r="1552" spans="1:14" x14ac:dyDescent="0.25">
      <c r="A1552">
        <v>1645</v>
      </c>
      <c r="B1552" s="1">
        <f>DATE(2014,11,1) + TIME(0,0,0)</f>
        <v>41944</v>
      </c>
      <c r="C1552">
        <v>80</v>
      </c>
      <c r="D1552">
        <v>79.945648192999997</v>
      </c>
      <c r="E1552">
        <v>50</v>
      </c>
      <c r="F1552">
        <v>66.099517821999996</v>
      </c>
      <c r="G1552">
        <v>1333.8515625</v>
      </c>
      <c r="H1552">
        <v>1332.9156493999999</v>
      </c>
      <c r="I1552">
        <v>1329.7694091999999</v>
      </c>
      <c r="J1552">
        <v>1329.2390137</v>
      </c>
      <c r="K1552">
        <v>550</v>
      </c>
      <c r="L1552">
        <v>0</v>
      </c>
      <c r="M1552">
        <v>0</v>
      </c>
      <c r="N1552">
        <v>550</v>
      </c>
    </row>
    <row r="1553" spans="1:14" x14ac:dyDescent="0.25">
      <c r="A1553">
        <v>1645.0000010000001</v>
      </c>
      <c r="B1553" s="1">
        <f>DATE(2014,11,1) + TIME(0,0,0)</f>
        <v>41944</v>
      </c>
      <c r="C1553">
        <v>80</v>
      </c>
      <c r="D1553">
        <v>79.945617675999998</v>
      </c>
      <c r="E1553">
        <v>50</v>
      </c>
      <c r="F1553">
        <v>66.099540709999999</v>
      </c>
      <c r="G1553">
        <v>1332.6993408000001</v>
      </c>
      <c r="H1553">
        <v>1332.9550781</v>
      </c>
      <c r="I1553">
        <v>1330.6058350000001</v>
      </c>
      <c r="J1553">
        <v>1330.0013428</v>
      </c>
      <c r="K1553">
        <v>0</v>
      </c>
      <c r="L1553">
        <v>550</v>
      </c>
      <c r="M1553">
        <v>550</v>
      </c>
      <c r="N1553">
        <v>0</v>
      </c>
    </row>
    <row r="1554" spans="1:14" x14ac:dyDescent="0.25">
      <c r="A1554">
        <v>1645.000004</v>
      </c>
      <c r="B1554" s="1">
        <f>DATE(2014,11,1) + TIME(0,0,0)</f>
        <v>41944</v>
      </c>
      <c r="C1554">
        <v>80</v>
      </c>
      <c r="D1554">
        <v>79.945579529</v>
      </c>
      <c r="E1554">
        <v>50</v>
      </c>
      <c r="F1554">
        <v>66.099555968999994</v>
      </c>
      <c r="G1554">
        <v>1332.4141846</v>
      </c>
      <c r="H1554">
        <v>1332.7210693</v>
      </c>
      <c r="I1554">
        <v>1330.8885498</v>
      </c>
      <c r="J1554">
        <v>1330.3165283000001</v>
      </c>
      <c r="K1554">
        <v>0</v>
      </c>
      <c r="L1554">
        <v>550</v>
      </c>
      <c r="M1554">
        <v>550</v>
      </c>
      <c r="N1554">
        <v>0</v>
      </c>
    </row>
    <row r="1555" spans="1:14" x14ac:dyDescent="0.25">
      <c r="A1555">
        <v>1645.0000130000001</v>
      </c>
      <c r="B1555" s="1">
        <f>DATE(2014,11,1) + TIME(0,0,1)</f>
        <v>41944.000011574077</v>
      </c>
      <c r="C1555">
        <v>80</v>
      </c>
      <c r="D1555">
        <v>79.945541382000002</v>
      </c>
      <c r="E1555">
        <v>50</v>
      </c>
      <c r="F1555">
        <v>66.099533081000004</v>
      </c>
      <c r="G1555">
        <v>1332.1301269999999</v>
      </c>
      <c r="H1555">
        <v>1332.4310303</v>
      </c>
      <c r="I1555">
        <v>1331.2349853999999</v>
      </c>
      <c r="J1555">
        <v>1330.6566161999999</v>
      </c>
      <c r="K1555">
        <v>0</v>
      </c>
      <c r="L1555">
        <v>550</v>
      </c>
      <c r="M1555">
        <v>550</v>
      </c>
      <c r="N1555">
        <v>0</v>
      </c>
    </row>
    <row r="1556" spans="1:14" x14ac:dyDescent="0.25">
      <c r="A1556">
        <v>1645.0000399999999</v>
      </c>
      <c r="B1556" s="1">
        <f>DATE(2014,11,1) + TIME(0,0,3)</f>
        <v>41944.000034722223</v>
      </c>
      <c r="C1556">
        <v>80</v>
      </c>
      <c r="D1556">
        <v>79.945503235000004</v>
      </c>
      <c r="E1556">
        <v>50</v>
      </c>
      <c r="F1556">
        <v>66.099372864000003</v>
      </c>
      <c r="G1556">
        <v>1331.8669434000001</v>
      </c>
      <c r="H1556">
        <v>1332.1256103999999</v>
      </c>
      <c r="I1556">
        <v>1331.5878906</v>
      </c>
      <c r="J1556">
        <v>1330.9934082</v>
      </c>
      <c r="K1556">
        <v>0</v>
      </c>
      <c r="L1556">
        <v>550</v>
      </c>
      <c r="M1556">
        <v>550</v>
      </c>
      <c r="N1556">
        <v>0</v>
      </c>
    </row>
    <row r="1557" spans="1:14" x14ac:dyDescent="0.25">
      <c r="A1557">
        <v>1645.000121</v>
      </c>
      <c r="B1557" s="1">
        <f>DATE(2014,11,1) + TIME(0,0,10)</f>
        <v>41944.000115740739</v>
      </c>
      <c r="C1557">
        <v>80</v>
      </c>
      <c r="D1557">
        <v>79.945465088000006</v>
      </c>
      <c r="E1557">
        <v>50</v>
      </c>
      <c r="F1557">
        <v>66.098762511999993</v>
      </c>
      <c r="G1557">
        <v>1331.6263428</v>
      </c>
      <c r="H1557">
        <v>1331.8244629000001</v>
      </c>
      <c r="I1557">
        <v>1331.9213867000001</v>
      </c>
      <c r="J1557">
        <v>1331.3077393000001</v>
      </c>
      <c r="K1557">
        <v>0</v>
      </c>
      <c r="L1557">
        <v>550</v>
      </c>
      <c r="M1557">
        <v>550</v>
      </c>
      <c r="N1557">
        <v>0</v>
      </c>
    </row>
    <row r="1558" spans="1:14" x14ac:dyDescent="0.25">
      <c r="A1558">
        <v>1645.000364</v>
      </c>
      <c r="B1558" s="1">
        <f>DATE(2014,11,1) + TIME(0,0,31)</f>
        <v>41944.000358796293</v>
      </c>
      <c r="C1558">
        <v>80</v>
      </c>
      <c r="D1558">
        <v>79.945419311999999</v>
      </c>
      <c r="E1558">
        <v>50</v>
      </c>
      <c r="F1558">
        <v>66.096771239999995</v>
      </c>
      <c r="G1558">
        <v>1331.4339600000001</v>
      </c>
      <c r="H1558">
        <v>1331.5684814000001</v>
      </c>
      <c r="I1558">
        <v>1332.1968993999999</v>
      </c>
      <c r="J1558">
        <v>1331.5605469</v>
      </c>
      <c r="K1558">
        <v>0</v>
      </c>
      <c r="L1558">
        <v>550</v>
      </c>
      <c r="M1558">
        <v>550</v>
      </c>
      <c r="N1558">
        <v>0</v>
      </c>
    </row>
    <row r="1559" spans="1:14" x14ac:dyDescent="0.25">
      <c r="A1559">
        <v>1645.0010930000001</v>
      </c>
      <c r="B1559" s="1">
        <f>DATE(2014,11,1) + TIME(0,1,34)</f>
        <v>41944.001087962963</v>
      </c>
      <c r="C1559">
        <v>80</v>
      </c>
      <c r="D1559">
        <v>79.945365906000006</v>
      </c>
      <c r="E1559">
        <v>50</v>
      </c>
      <c r="F1559">
        <v>66.090553283999995</v>
      </c>
      <c r="G1559">
        <v>1331.307251</v>
      </c>
      <c r="H1559">
        <v>1331.4090576000001</v>
      </c>
      <c r="I1559">
        <v>1332.3757324000001</v>
      </c>
      <c r="J1559">
        <v>1331.7227783000001</v>
      </c>
      <c r="K1559">
        <v>0</v>
      </c>
      <c r="L1559">
        <v>550</v>
      </c>
      <c r="M1559">
        <v>550</v>
      </c>
      <c r="N1559">
        <v>0</v>
      </c>
    </row>
    <row r="1560" spans="1:14" x14ac:dyDescent="0.25">
      <c r="A1560">
        <v>1645.0032799999999</v>
      </c>
      <c r="B1560" s="1">
        <f>DATE(2014,11,1) + TIME(0,4,43)</f>
        <v>41944.003275462965</v>
      </c>
      <c r="C1560">
        <v>80</v>
      </c>
      <c r="D1560">
        <v>79.945243834999999</v>
      </c>
      <c r="E1560">
        <v>50</v>
      </c>
      <c r="F1560">
        <v>66.071655273000005</v>
      </c>
      <c r="G1560">
        <v>1331.2406006000001</v>
      </c>
      <c r="H1560">
        <v>1331.3308105000001</v>
      </c>
      <c r="I1560">
        <v>1332.4648437999999</v>
      </c>
      <c r="J1560">
        <v>1331.8044434000001</v>
      </c>
      <c r="K1560">
        <v>0</v>
      </c>
      <c r="L1560">
        <v>550</v>
      </c>
      <c r="M1560">
        <v>550</v>
      </c>
      <c r="N1560">
        <v>0</v>
      </c>
    </row>
    <row r="1561" spans="1:14" x14ac:dyDescent="0.25">
      <c r="A1561">
        <v>1645.0098410000001</v>
      </c>
      <c r="B1561" s="1">
        <f>DATE(2014,11,1) + TIME(0,14,10)</f>
        <v>41944.009837962964</v>
      </c>
      <c r="C1561">
        <v>80</v>
      </c>
      <c r="D1561">
        <v>79.944900512999993</v>
      </c>
      <c r="E1561">
        <v>50</v>
      </c>
      <c r="F1561">
        <v>66.01499939</v>
      </c>
      <c r="G1561">
        <v>1331.213501</v>
      </c>
      <c r="H1561">
        <v>1331.3007812000001</v>
      </c>
      <c r="I1561">
        <v>1332.4943848</v>
      </c>
      <c r="J1561">
        <v>1331.8316649999999</v>
      </c>
      <c r="K1561">
        <v>0</v>
      </c>
      <c r="L1561">
        <v>550</v>
      </c>
      <c r="M1561">
        <v>550</v>
      </c>
      <c r="N1561">
        <v>0</v>
      </c>
    </row>
    <row r="1562" spans="1:14" x14ac:dyDescent="0.25">
      <c r="A1562">
        <v>1645.029524</v>
      </c>
      <c r="B1562" s="1">
        <f>DATE(2014,11,1) + TIME(0,42,30)</f>
        <v>41944.029513888891</v>
      </c>
      <c r="C1562">
        <v>80</v>
      </c>
      <c r="D1562">
        <v>79.943870544000006</v>
      </c>
      <c r="E1562">
        <v>50</v>
      </c>
      <c r="F1562">
        <v>65.847084045000003</v>
      </c>
      <c r="G1562">
        <v>1331.2062988</v>
      </c>
      <c r="H1562">
        <v>1331.2922363</v>
      </c>
      <c r="I1562">
        <v>1332.4976807</v>
      </c>
      <c r="J1562">
        <v>1331.8343506000001</v>
      </c>
      <c r="K1562">
        <v>0</v>
      </c>
      <c r="L1562">
        <v>550</v>
      </c>
      <c r="M1562">
        <v>550</v>
      </c>
      <c r="N1562">
        <v>0</v>
      </c>
    </row>
    <row r="1563" spans="1:14" x14ac:dyDescent="0.25">
      <c r="A1563">
        <v>1645.088573</v>
      </c>
      <c r="B1563" s="1">
        <f>DATE(2014,11,1) + TIME(2,7,32)</f>
        <v>41944.088564814818</v>
      </c>
      <c r="C1563">
        <v>80</v>
      </c>
      <c r="D1563">
        <v>79.940795898000005</v>
      </c>
      <c r="E1563">
        <v>50</v>
      </c>
      <c r="F1563">
        <v>65.361984253000003</v>
      </c>
      <c r="G1563">
        <v>1331.2043457</v>
      </c>
      <c r="H1563">
        <v>1331.2875977000001</v>
      </c>
      <c r="I1563">
        <v>1332.4956055</v>
      </c>
      <c r="J1563">
        <v>1331.8316649999999</v>
      </c>
      <c r="K1563">
        <v>0</v>
      </c>
      <c r="L1563">
        <v>550</v>
      </c>
      <c r="M1563">
        <v>550</v>
      </c>
      <c r="N1563">
        <v>0</v>
      </c>
    </row>
    <row r="1564" spans="1:14" x14ac:dyDescent="0.25">
      <c r="A1564">
        <v>1645.1890330000001</v>
      </c>
      <c r="B1564" s="1">
        <f>DATE(2014,11,1) + TIME(4,32,12)</f>
        <v>41944.189027777778</v>
      </c>
      <c r="C1564">
        <v>80</v>
      </c>
      <c r="D1564">
        <v>79.935577393000003</v>
      </c>
      <c r="E1564">
        <v>50</v>
      </c>
      <c r="F1564">
        <v>64.587097168</v>
      </c>
      <c r="G1564">
        <v>1331.2014160000001</v>
      </c>
      <c r="H1564">
        <v>1331.2774658000001</v>
      </c>
      <c r="I1564">
        <v>1332.4920654</v>
      </c>
      <c r="J1564">
        <v>1331.8275146000001</v>
      </c>
      <c r="K1564">
        <v>0</v>
      </c>
      <c r="L1564">
        <v>550</v>
      </c>
      <c r="M1564">
        <v>550</v>
      </c>
      <c r="N1564">
        <v>0</v>
      </c>
    </row>
    <row r="1565" spans="1:14" x14ac:dyDescent="0.25">
      <c r="A1565">
        <v>1645.2950659999999</v>
      </c>
      <c r="B1565" s="1">
        <f>DATE(2014,11,1) + TIME(7,4,53)</f>
        <v>41944.295057870368</v>
      </c>
      <c r="C1565">
        <v>80</v>
      </c>
      <c r="D1565">
        <v>79.930068969999994</v>
      </c>
      <c r="E1565">
        <v>50</v>
      </c>
      <c r="F1565">
        <v>63.821113586000003</v>
      </c>
      <c r="G1565">
        <v>1331.1970214999999</v>
      </c>
      <c r="H1565">
        <v>1331.2619629000001</v>
      </c>
      <c r="I1565">
        <v>1332.4890137</v>
      </c>
      <c r="J1565">
        <v>1331.8240966999999</v>
      </c>
      <c r="K1565">
        <v>0</v>
      </c>
      <c r="L1565">
        <v>550</v>
      </c>
      <c r="M1565">
        <v>550</v>
      </c>
      <c r="N1565">
        <v>0</v>
      </c>
    </row>
    <row r="1566" spans="1:14" x14ac:dyDescent="0.25">
      <c r="A1566">
        <v>1645.407105</v>
      </c>
      <c r="B1566" s="1">
        <f>DATE(2014,11,1) + TIME(9,46,13)</f>
        <v>41944.407094907408</v>
      </c>
      <c r="C1566">
        <v>80</v>
      </c>
      <c r="D1566">
        <v>79.924247742000006</v>
      </c>
      <c r="E1566">
        <v>50</v>
      </c>
      <c r="F1566">
        <v>63.064430237000003</v>
      </c>
      <c r="G1566">
        <v>1331.1925048999999</v>
      </c>
      <c r="H1566">
        <v>1331.2463379000001</v>
      </c>
      <c r="I1566">
        <v>1332.4866943</v>
      </c>
      <c r="J1566">
        <v>1331.8211670000001</v>
      </c>
      <c r="K1566">
        <v>0</v>
      </c>
      <c r="L1566">
        <v>550</v>
      </c>
      <c r="M1566">
        <v>550</v>
      </c>
      <c r="N1566">
        <v>0</v>
      </c>
    </row>
    <row r="1567" spans="1:14" x14ac:dyDescent="0.25">
      <c r="A1567">
        <v>1645.525717</v>
      </c>
      <c r="B1567" s="1">
        <f>DATE(2014,11,1) + TIME(12,37,1)</f>
        <v>41944.525706018518</v>
      </c>
      <c r="C1567">
        <v>80</v>
      </c>
      <c r="D1567">
        <v>79.918083190999994</v>
      </c>
      <c r="E1567">
        <v>50</v>
      </c>
      <c r="F1567">
        <v>62.316696167000003</v>
      </c>
      <c r="G1567">
        <v>1331.1879882999999</v>
      </c>
      <c r="H1567">
        <v>1331.2303466999999</v>
      </c>
      <c r="I1567">
        <v>1332.4851074000001</v>
      </c>
      <c r="J1567">
        <v>1331.8186035000001</v>
      </c>
      <c r="K1567">
        <v>0</v>
      </c>
      <c r="L1567">
        <v>550</v>
      </c>
      <c r="M1567">
        <v>550</v>
      </c>
      <c r="N1567">
        <v>0</v>
      </c>
    </row>
    <row r="1568" spans="1:14" x14ac:dyDescent="0.25">
      <c r="A1568">
        <v>1645.6515440000001</v>
      </c>
      <c r="B1568" s="1">
        <f>DATE(2014,11,1) + TIME(15,38,13)</f>
        <v>41944.651539351849</v>
      </c>
      <c r="C1568">
        <v>80</v>
      </c>
      <c r="D1568">
        <v>79.911544800000001</v>
      </c>
      <c r="E1568">
        <v>50</v>
      </c>
      <c r="F1568">
        <v>61.578102112000003</v>
      </c>
      <c r="G1568">
        <v>1331.1833495999999</v>
      </c>
      <c r="H1568">
        <v>1331.2139893000001</v>
      </c>
      <c r="I1568">
        <v>1332.4842529</v>
      </c>
      <c r="J1568">
        <v>1331.8165283000001</v>
      </c>
      <c r="K1568">
        <v>0</v>
      </c>
      <c r="L1568">
        <v>550</v>
      </c>
      <c r="M1568">
        <v>550</v>
      </c>
      <c r="N1568">
        <v>0</v>
      </c>
    </row>
    <row r="1569" spans="1:14" x14ac:dyDescent="0.25">
      <c r="A1569">
        <v>1645.7853190000001</v>
      </c>
      <c r="B1569" s="1">
        <f>DATE(2014,11,1) + TIME(18,50,51)</f>
        <v>41944.785312499997</v>
      </c>
      <c r="C1569">
        <v>80</v>
      </c>
      <c r="D1569">
        <v>79.904594420999999</v>
      </c>
      <c r="E1569">
        <v>50</v>
      </c>
      <c r="F1569">
        <v>60.848907470999997</v>
      </c>
      <c r="G1569">
        <v>1331.1787108999999</v>
      </c>
      <c r="H1569">
        <v>1331.1975098</v>
      </c>
      <c r="I1569">
        <v>1332.4841309000001</v>
      </c>
      <c r="J1569">
        <v>1331.8149414</v>
      </c>
      <c r="K1569">
        <v>0</v>
      </c>
      <c r="L1569">
        <v>550</v>
      </c>
      <c r="M1569">
        <v>550</v>
      </c>
      <c r="N1569">
        <v>0</v>
      </c>
    </row>
    <row r="1570" spans="1:14" x14ac:dyDescent="0.25">
      <c r="A1570">
        <v>1645.927862</v>
      </c>
      <c r="B1570" s="1">
        <f>DATE(2014,11,1) + TIME(22,16,7)</f>
        <v>41944.927858796298</v>
      </c>
      <c r="C1570">
        <v>80</v>
      </c>
      <c r="D1570">
        <v>79.897178650000001</v>
      </c>
      <c r="E1570">
        <v>50</v>
      </c>
      <c r="F1570">
        <v>60.129570006999998</v>
      </c>
      <c r="G1570">
        <v>1331.1738281</v>
      </c>
      <c r="H1570">
        <v>1331.1805420000001</v>
      </c>
      <c r="I1570">
        <v>1332.4849853999999</v>
      </c>
      <c r="J1570">
        <v>1331.8139647999999</v>
      </c>
      <c r="K1570">
        <v>0</v>
      </c>
      <c r="L1570">
        <v>550</v>
      </c>
      <c r="M1570">
        <v>550</v>
      </c>
      <c r="N1570">
        <v>0</v>
      </c>
    </row>
    <row r="1571" spans="1:14" x14ac:dyDescent="0.25">
      <c r="A1571">
        <v>1646.080103</v>
      </c>
      <c r="B1571" s="1">
        <f>DATE(2014,11,2) + TIME(1,55,20)</f>
        <v>41945.080092592594</v>
      </c>
      <c r="C1571">
        <v>80</v>
      </c>
      <c r="D1571">
        <v>79.889251709000007</v>
      </c>
      <c r="E1571">
        <v>50</v>
      </c>
      <c r="F1571">
        <v>59.420230865000001</v>
      </c>
      <c r="G1571">
        <v>1331.1667480000001</v>
      </c>
      <c r="H1571">
        <v>1331.1641846</v>
      </c>
      <c r="I1571">
        <v>1332.4868164</v>
      </c>
      <c r="J1571">
        <v>1331.8134766000001</v>
      </c>
      <c r="K1571">
        <v>0</v>
      </c>
      <c r="L1571">
        <v>550</v>
      </c>
      <c r="M1571">
        <v>550</v>
      </c>
      <c r="N1571">
        <v>0</v>
      </c>
    </row>
    <row r="1572" spans="1:14" x14ac:dyDescent="0.25">
      <c r="A1572">
        <v>1646.2432699999999</v>
      </c>
      <c r="B1572" s="1">
        <f>DATE(2014,11,2) + TIME(5,50,18)</f>
        <v>41945.243263888886</v>
      </c>
      <c r="C1572">
        <v>80</v>
      </c>
      <c r="D1572">
        <v>79.880714416999993</v>
      </c>
      <c r="E1572">
        <v>50</v>
      </c>
      <c r="F1572">
        <v>58.721294403000002</v>
      </c>
      <c r="G1572">
        <v>1331.1566161999999</v>
      </c>
      <c r="H1572">
        <v>1331.1485596</v>
      </c>
      <c r="I1572">
        <v>1332.489624</v>
      </c>
      <c r="J1572">
        <v>1331.8135986</v>
      </c>
      <c r="K1572">
        <v>0</v>
      </c>
      <c r="L1572">
        <v>550</v>
      </c>
      <c r="M1572">
        <v>550</v>
      </c>
      <c r="N1572">
        <v>0</v>
      </c>
    </row>
    <row r="1573" spans="1:14" x14ac:dyDescent="0.25">
      <c r="A1573">
        <v>1646.4187669999999</v>
      </c>
      <c r="B1573" s="1">
        <f>DATE(2014,11,2) + TIME(10,3,1)</f>
        <v>41945.418761574074</v>
      </c>
      <c r="C1573">
        <v>80</v>
      </c>
      <c r="D1573">
        <v>79.871498107999997</v>
      </c>
      <c r="E1573">
        <v>50</v>
      </c>
      <c r="F1573">
        <v>58.033306121999999</v>
      </c>
      <c r="G1573">
        <v>1331.1463623</v>
      </c>
      <c r="H1573">
        <v>1331.1325684000001</v>
      </c>
      <c r="I1573">
        <v>1332.4935303</v>
      </c>
      <c r="J1573">
        <v>1331.8144531</v>
      </c>
      <c r="K1573">
        <v>0</v>
      </c>
      <c r="L1573">
        <v>550</v>
      </c>
      <c r="M1573">
        <v>550</v>
      </c>
      <c r="N1573">
        <v>0</v>
      </c>
    </row>
    <row r="1574" spans="1:14" x14ac:dyDescent="0.25">
      <c r="A1574">
        <v>1646.6081529999999</v>
      </c>
      <c r="B1574" s="1">
        <f>DATE(2014,11,2) + TIME(14,35,44)</f>
        <v>41945.608148148145</v>
      </c>
      <c r="C1574">
        <v>80</v>
      </c>
      <c r="D1574">
        <v>79.861503600999995</v>
      </c>
      <c r="E1574">
        <v>50</v>
      </c>
      <c r="F1574">
        <v>57.357234955000003</v>
      </c>
      <c r="G1574">
        <v>1331.1357422000001</v>
      </c>
      <c r="H1574">
        <v>1331.1160889</v>
      </c>
      <c r="I1574">
        <v>1332.4985352000001</v>
      </c>
      <c r="J1574">
        <v>1331.815918</v>
      </c>
      <c r="K1574">
        <v>0</v>
      </c>
      <c r="L1574">
        <v>550</v>
      </c>
      <c r="M1574">
        <v>550</v>
      </c>
      <c r="N1574">
        <v>0</v>
      </c>
    </row>
    <row r="1575" spans="1:14" x14ac:dyDescent="0.25">
      <c r="A1575">
        <v>1646.813271</v>
      </c>
      <c r="B1575" s="1">
        <f>DATE(2014,11,2) + TIME(19,31,6)</f>
        <v>41945.813263888886</v>
      </c>
      <c r="C1575">
        <v>80</v>
      </c>
      <c r="D1575">
        <v>79.850585937999995</v>
      </c>
      <c r="E1575">
        <v>50</v>
      </c>
      <c r="F1575">
        <v>56.694267273000001</v>
      </c>
      <c r="G1575">
        <v>1331.1247559000001</v>
      </c>
      <c r="H1575">
        <v>1331.0992432</v>
      </c>
      <c r="I1575">
        <v>1332.5047606999999</v>
      </c>
      <c r="J1575">
        <v>1331.8181152</v>
      </c>
      <c r="K1575">
        <v>0</v>
      </c>
      <c r="L1575">
        <v>550</v>
      </c>
      <c r="M1575">
        <v>550</v>
      </c>
      <c r="N1575">
        <v>0</v>
      </c>
    </row>
    <row r="1576" spans="1:14" x14ac:dyDescent="0.25">
      <c r="A1576">
        <v>1647.0363179999999</v>
      </c>
      <c r="B1576" s="1">
        <f>DATE(2014,11,3) + TIME(0,52,17)</f>
        <v>41946.036307870374</v>
      </c>
      <c r="C1576">
        <v>80</v>
      </c>
      <c r="D1576">
        <v>79.838592528999996</v>
      </c>
      <c r="E1576">
        <v>50</v>
      </c>
      <c r="F1576">
        <v>56.045833588000001</v>
      </c>
      <c r="G1576">
        <v>1331.1135254000001</v>
      </c>
      <c r="H1576">
        <v>1331.0817870999999</v>
      </c>
      <c r="I1576">
        <v>1332.5123291</v>
      </c>
      <c r="J1576">
        <v>1331.8211670000001</v>
      </c>
      <c r="K1576">
        <v>0</v>
      </c>
      <c r="L1576">
        <v>550</v>
      </c>
      <c r="M1576">
        <v>550</v>
      </c>
      <c r="N1576">
        <v>0</v>
      </c>
    </row>
    <row r="1577" spans="1:14" x14ac:dyDescent="0.25">
      <c r="A1577">
        <v>1647.2799359999999</v>
      </c>
      <c r="B1577" s="1">
        <f>DATE(2014,11,3) + TIME(6,43,6)</f>
        <v>41946.279930555553</v>
      </c>
      <c r="C1577">
        <v>80</v>
      </c>
      <c r="D1577">
        <v>79.825347899999997</v>
      </c>
      <c r="E1577">
        <v>50</v>
      </c>
      <c r="F1577">
        <v>55.413665770999998</v>
      </c>
      <c r="G1577">
        <v>1331.1018065999999</v>
      </c>
      <c r="H1577">
        <v>1331.0637207</v>
      </c>
      <c r="I1577">
        <v>1332.5213623</v>
      </c>
      <c r="J1577">
        <v>1331.8250731999999</v>
      </c>
      <c r="K1577">
        <v>0</v>
      </c>
      <c r="L1577">
        <v>550</v>
      </c>
      <c r="M1577">
        <v>550</v>
      </c>
      <c r="N1577">
        <v>0</v>
      </c>
    </row>
    <row r="1578" spans="1:14" x14ac:dyDescent="0.25">
      <c r="A1578">
        <v>1647.5473239999999</v>
      </c>
      <c r="B1578" s="1">
        <f>DATE(2014,11,3) + TIME(13,8,8)</f>
        <v>41946.547314814816</v>
      </c>
      <c r="C1578">
        <v>80</v>
      </c>
      <c r="D1578">
        <v>79.810653686999999</v>
      </c>
      <c r="E1578">
        <v>50</v>
      </c>
      <c r="F1578">
        <v>54.799812316999997</v>
      </c>
      <c r="G1578">
        <v>1331.0895995999999</v>
      </c>
      <c r="H1578">
        <v>1331.0449219</v>
      </c>
      <c r="I1578">
        <v>1332.5318603999999</v>
      </c>
      <c r="J1578">
        <v>1331.8297118999999</v>
      </c>
      <c r="K1578">
        <v>0</v>
      </c>
      <c r="L1578">
        <v>550</v>
      </c>
      <c r="M1578">
        <v>550</v>
      </c>
      <c r="N1578">
        <v>0</v>
      </c>
    </row>
    <row r="1579" spans="1:14" x14ac:dyDescent="0.25">
      <c r="A1579">
        <v>1647.8424090000001</v>
      </c>
      <c r="B1579" s="1">
        <f>DATE(2014,11,3) + TIME(20,13,4)</f>
        <v>41946.842407407406</v>
      </c>
      <c r="C1579">
        <v>80</v>
      </c>
      <c r="D1579">
        <v>79.794242858999993</v>
      </c>
      <c r="E1579">
        <v>50</v>
      </c>
      <c r="F1579">
        <v>54.206737517999997</v>
      </c>
      <c r="G1579">
        <v>1331.0769043</v>
      </c>
      <c r="H1579">
        <v>1331.0252685999999</v>
      </c>
      <c r="I1579">
        <v>1332.5438231999999</v>
      </c>
      <c r="J1579">
        <v>1331.8354492000001</v>
      </c>
      <c r="K1579">
        <v>0</v>
      </c>
      <c r="L1579">
        <v>550</v>
      </c>
      <c r="M1579">
        <v>550</v>
      </c>
      <c r="N1579">
        <v>0</v>
      </c>
    </row>
    <row r="1580" spans="1:14" x14ac:dyDescent="0.25">
      <c r="A1580">
        <v>1648.156628</v>
      </c>
      <c r="B1580" s="1">
        <f>DATE(2014,11,4) + TIME(3,45,32)</f>
        <v>41947.15662037037</v>
      </c>
      <c r="C1580">
        <v>80</v>
      </c>
      <c r="D1580">
        <v>79.776550293</v>
      </c>
      <c r="E1580">
        <v>50</v>
      </c>
      <c r="F1580">
        <v>53.657463073999999</v>
      </c>
      <c r="G1580">
        <v>1331.0635986</v>
      </c>
      <c r="H1580">
        <v>1331.0048827999999</v>
      </c>
      <c r="I1580">
        <v>1332.5576172000001</v>
      </c>
      <c r="J1580">
        <v>1331.8421631000001</v>
      </c>
      <c r="K1580">
        <v>0</v>
      </c>
      <c r="L1580">
        <v>550</v>
      </c>
      <c r="M1580">
        <v>550</v>
      </c>
      <c r="N1580">
        <v>0</v>
      </c>
    </row>
    <row r="1581" spans="1:14" x14ac:dyDescent="0.25">
      <c r="A1581">
        <v>1648.4908009999999</v>
      </c>
      <c r="B1581" s="1">
        <f>DATE(2014,11,4) + TIME(11,46,45)</f>
        <v>41947.490798611114</v>
      </c>
      <c r="C1581">
        <v>80</v>
      </c>
      <c r="D1581">
        <v>79.757492064999994</v>
      </c>
      <c r="E1581">
        <v>50</v>
      </c>
      <c r="F1581">
        <v>53.153106688999998</v>
      </c>
      <c r="G1581">
        <v>1331.0500488</v>
      </c>
      <c r="H1581">
        <v>1330.9841309000001</v>
      </c>
      <c r="I1581">
        <v>1332.5723877</v>
      </c>
      <c r="J1581">
        <v>1331.8497314000001</v>
      </c>
      <c r="K1581">
        <v>0</v>
      </c>
      <c r="L1581">
        <v>550</v>
      </c>
      <c r="M1581">
        <v>550</v>
      </c>
      <c r="N1581">
        <v>0</v>
      </c>
    </row>
    <row r="1582" spans="1:14" x14ac:dyDescent="0.25">
      <c r="A1582">
        <v>1648.8476430000001</v>
      </c>
      <c r="B1582" s="1">
        <f>DATE(2014,11,4) + TIME(20,20,36)</f>
        <v>41947.847638888888</v>
      </c>
      <c r="C1582">
        <v>80</v>
      </c>
      <c r="D1582">
        <v>79.736877441000004</v>
      </c>
      <c r="E1582">
        <v>50</v>
      </c>
      <c r="F1582">
        <v>52.692108154000003</v>
      </c>
      <c r="G1582">
        <v>1331.0362548999999</v>
      </c>
      <c r="H1582">
        <v>1330.9631348</v>
      </c>
      <c r="I1582">
        <v>1332.5881348</v>
      </c>
      <c r="J1582">
        <v>1331.8577881000001</v>
      </c>
      <c r="K1582">
        <v>0</v>
      </c>
      <c r="L1582">
        <v>550</v>
      </c>
      <c r="M1582">
        <v>550</v>
      </c>
      <c r="N1582">
        <v>0</v>
      </c>
    </row>
    <row r="1583" spans="1:14" x14ac:dyDescent="0.25">
      <c r="A1583">
        <v>1649.230423</v>
      </c>
      <c r="B1583" s="1">
        <f>DATE(2014,11,5) + TIME(5,31,48)</f>
        <v>41948.230416666665</v>
      </c>
      <c r="C1583">
        <v>80</v>
      </c>
      <c r="D1583">
        <v>79.714378357000001</v>
      </c>
      <c r="E1583">
        <v>50</v>
      </c>
      <c r="F1583">
        <v>52.273082733000003</v>
      </c>
      <c r="G1583">
        <v>1331.0222168</v>
      </c>
      <c r="H1583">
        <v>1330.9417725000001</v>
      </c>
      <c r="I1583">
        <v>1332.6046143000001</v>
      </c>
      <c r="J1583">
        <v>1331.8663329999999</v>
      </c>
      <c r="K1583">
        <v>0</v>
      </c>
      <c r="L1583">
        <v>550</v>
      </c>
      <c r="M1583">
        <v>550</v>
      </c>
      <c r="N1583">
        <v>0</v>
      </c>
    </row>
    <row r="1584" spans="1:14" x14ac:dyDescent="0.25">
      <c r="A1584">
        <v>1649.643135</v>
      </c>
      <c r="B1584" s="1">
        <f>DATE(2014,11,5) + TIME(15,26,6)</f>
        <v>41948.643125000002</v>
      </c>
      <c r="C1584">
        <v>80</v>
      </c>
      <c r="D1584">
        <v>79.689674377000003</v>
      </c>
      <c r="E1584">
        <v>50</v>
      </c>
      <c r="F1584">
        <v>51.894767760999997</v>
      </c>
      <c r="G1584">
        <v>1331.0076904</v>
      </c>
      <c r="H1584">
        <v>1330.9197998</v>
      </c>
      <c r="I1584">
        <v>1332.6217041</v>
      </c>
      <c r="J1584">
        <v>1331.8753661999999</v>
      </c>
      <c r="K1584">
        <v>0</v>
      </c>
      <c r="L1584">
        <v>550</v>
      </c>
      <c r="M1584">
        <v>550</v>
      </c>
      <c r="N1584">
        <v>0</v>
      </c>
    </row>
    <row r="1585" spans="1:14" x14ac:dyDescent="0.25">
      <c r="A1585">
        <v>1650.0907199999999</v>
      </c>
      <c r="B1585" s="1">
        <f>DATE(2014,11,6) + TIME(2,10,38)</f>
        <v>41949.090717592589</v>
      </c>
      <c r="C1585">
        <v>80</v>
      </c>
      <c r="D1585">
        <v>79.662384032999995</v>
      </c>
      <c r="E1585">
        <v>50</v>
      </c>
      <c r="F1585">
        <v>51.555957794000001</v>
      </c>
      <c r="G1585">
        <v>1330.9926757999999</v>
      </c>
      <c r="H1585">
        <v>1330.8973389</v>
      </c>
      <c r="I1585">
        <v>1332.6394043</v>
      </c>
      <c r="J1585">
        <v>1331.8847656</v>
      </c>
      <c r="K1585">
        <v>0</v>
      </c>
      <c r="L1585">
        <v>550</v>
      </c>
      <c r="M1585">
        <v>550</v>
      </c>
      <c r="N1585">
        <v>0</v>
      </c>
    </row>
    <row r="1586" spans="1:14" x14ac:dyDescent="0.25">
      <c r="A1586">
        <v>1650.5794040000001</v>
      </c>
      <c r="B1586" s="1">
        <f>DATE(2014,11,6) + TIME(13,54,20)</f>
        <v>41949.579398148147</v>
      </c>
      <c r="C1586">
        <v>80</v>
      </c>
      <c r="D1586">
        <v>79.632041931000003</v>
      </c>
      <c r="E1586">
        <v>50</v>
      </c>
      <c r="F1586">
        <v>51.255462645999998</v>
      </c>
      <c r="G1586">
        <v>1330.9771728999999</v>
      </c>
      <c r="H1586">
        <v>1330.8740233999999</v>
      </c>
      <c r="I1586">
        <v>1332.6573486</v>
      </c>
      <c r="J1586">
        <v>1331.8942870999999</v>
      </c>
      <c r="K1586">
        <v>0</v>
      </c>
      <c r="L1586">
        <v>550</v>
      </c>
      <c r="M1586">
        <v>550</v>
      </c>
      <c r="N1586">
        <v>0</v>
      </c>
    </row>
    <row r="1587" spans="1:14" x14ac:dyDescent="0.25">
      <c r="A1587">
        <v>1651.1170910000001</v>
      </c>
      <c r="B1587" s="1">
        <f>DATE(2014,11,7) + TIME(2,48,36)</f>
        <v>41950.117083333331</v>
      </c>
      <c r="C1587">
        <v>80</v>
      </c>
      <c r="D1587">
        <v>79.598052979000002</v>
      </c>
      <c r="E1587">
        <v>50</v>
      </c>
      <c r="F1587">
        <v>50.992053986000002</v>
      </c>
      <c r="G1587">
        <v>1330.9608154</v>
      </c>
      <c r="H1587">
        <v>1330.8496094</v>
      </c>
      <c r="I1587">
        <v>1332.6755370999999</v>
      </c>
      <c r="J1587">
        <v>1331.9041748</v>
      </c>
      <c r="K1587">
        <v>0</v>
      </c>
      <c r="L1587">
        <v>550</v>
      </c>
      <c r="M1587">
        <v>550</v>
      </c>
      <c r="N1587">
        <v>0</v>
      </c>
    </row>
    <row r="1588" spans="1:14" x14ac:dyDescent="0.25">
      <c r="A1588">
        <v>1651.7143410000001</v>
      </c>
      <c r="B1588" s="1">
        <f>DATE(2014,11,7) + TIME(17,8,39)</f>
        <v>41950.71434027778</v>
      </c>
      <c r="C1588">
        <v>80</v>
      </c>
      <c r="D1588">
        <v>79.559593200999998</v>
      </c>
      <c r="E1588">
        <v>50</v>
      </c>
      <c r="F1588">
        <v>50.764331818000002</v>
      </c>
      <c r="G1588">
        <v>1330.9436035000001</v>
      </c>
      <c r="H1588">
        <v>1330.8240966999999</v>
      </c>
      <c r="I1588">
        <v>1332.6938477000001</v>
      </c>
      <c r="J1588">
        <v>1331.9140625</v>
      </c>
      <c r="K1588">
        <v>0</v>
      </c>
      <c r="L1588">
        <v>550</v>
      </c>
      <c r="M1588">
        <v>550</v>
      </c>
      <c r="N1588">
        <v>0</v>
      </c>
    </row>
    <row r="1589" spans="1:14" x14ac:dyDescent="0.25">
      <c r="A1589">
        <v>1652.3662019999999</v>
      </c>
      <c r="B1589" s="1">
        <f>DATE(2014,11,8) + TIME(8,47,19)</f>
        <v>41951.36619212963</v>
      </c>
      <c r="C1589">
        <v>80</v>
      </c>
      <c r="D1589">
        <v>79.516761779999996</v>
      </c>
      <c r="E1589">
        <v>50</v>
      </c>
      <c r="F1589">
        <v>50.574913025000001</v>
      </c>
      <c r="G1589">
        <v>1330.925293</v>
      </c>
      <c r="H1589">
        <v>1330.7971190999999</v>
      </c>
      <c r="I1589">
        <v>1332.7121582</v>
      </c>
      <c r="J1589">
        <v>1331.9239502</v>
      </c>
      <c r="K1589">
        <v>0</v>
      </c>
      <c r="L1589">
        <v>550</v>
      </c>
      <c r="M1589">
        <v>550</v>
      </c>
      <c r="N1589">
        <v>0</v>
      </c>
    </row>
    <row r="1590" spans="1:14" x14ac:dyDescent="0.25">
      <c r="A1590">
        <v>1653.052919</v>
      </c>
      <c r="B1590" s="1">
        <f>DATE(2014,11,9) + TIME(1,16,12)</f>
        <v>41952.052916666667</v>
      </c>
      <c r="C1590">
        <v>80</v>
      </c>
      <c r="D1590">
        <v>79.470573424999998</v>
      </c>
      <c r="E1590">
        <v>50</v>
      </c>
      <c r="F1590">
        <v>50.424919127999999</v>
      </c>
      <c r="G1590">
        <v>1330.9060059000001</v>
      </c>
      <c r="H1590">
        <v>1330.7689209</v>
      </c>
      <c r="I1590">
        <v>1332.7298584</v>
      </c>
      <c r="J1590">
        <v>1331.9335937999999</v>
      </c>
      <c r="K1590">
        <v>0</v>
      </c>
      <c r="L1590">
        <v>550</v>
      </c>
      <c r="M1590">
        <v>550</v>
      </c>
      <c r="N1590">
        <v>0</v>
      </c>
    </row>
    <row r="1591" spans="1:14" x14ac:dyDescent="0.25">
      <c r="A1591">
        <v>1653.772127</v>
      </c>
      <c r="B1591" s="1">
        <f>DATE(2014,11,9) + TIME(18,31,51)</f>
        <v>41952.772118055553</v>
      </c>
      <c r="C1591">
        <v>80</v>
      </c>
      <c r="D1591">
        <v>79.420974731000001</v>
      </c>
      <c r="E1591">
        <v>50</v>
      </c>
      <c r="F1591">
        <v>50.308429717999999</v>
      </c>
      <c r="G1591">
        <v>1330.8863524999999</v>
      </c>
      <c r="H1591">
        <v>1330.7403564000001</v>
      </c>
      <c r="I1591">
        <v>1332.7438964999999</v>
      </c>
      <c r="J1591">
        <v>1331.940918</v>
      </c>
      <c r="K1591">
        <v>0</v>
      </c>
      <c r="L1591">
        <v>550</v>
      </c>
      <c r="M1591">
        <v>550</v>
      </c>
      <c r="N1591">
        <v>0</v>
      </c>
    </row>
    <row r="1592" spans="1:14" x14ac:dyDescent="0.25">
      <c r="A1592">
        <v>1654.526392</v>
      </c>
      <c r="B1592" s="1">
        <f>DATE(2014,11,10) + TIME(12,38,0)</f>
        <v>41953.526388888888</v>
      </c>
      <c r="C1592">
        <v>80</v>
      </c>
      <c r="D1592">
        <v>79.367622374999996</v>
      </c>
      <c r="E1592">
        <v>50</v>
      </c>
      <c r="F1592">
        <v>50.219028473000002</v>
      </c>
      <c r="G1592">
        <v>1330.8664550999999</v>
      </c>
      <c r="H1592">
        <v>1330.7115478999999</v>
      </c>
      <c r="I1592">
        <v>1332.7564697</v>
      </c>
      <c r="J1592">
        <v>1331.9475098</v>
      </c>
      <c r="K1592">
        <v>0</v>
      </c>
      <c r="L1592">
        <v>550</v>
      </c>
      <c r="M1592">
        <v>550</v>
      </c>
      <c r="N1592">
        <v>0</v>
      </c>
    </row>
    <row r="1593" spans="1:14" x14ac:dyDescent="0.25">
      <c r="A1593">
        <v>1655.3193900000001</v>
      </c>
      <c r="B1593" s="1">
        <f>DATE(2014,11,11) + TIME(7,39,55)</f>
        <v>41954.319386574076</v>
      </c>
      <c r="C1593">
        <v>80</v>
      </c>
      <c r="D1593">
        <v>79.310043335000003</v>
      </c>
      <c r="E1593">
        <v>50</v>
      </c>
      <c r="F1593">
        <v>50.151180267000001</v>
      </c>
      <c r="G1593">
        <v>1330.8460693</v>
      </c>
      <c r="H1593">
        <v>1330.6823730000001</v>
      </c>
      <c r="I1593">
        <v>1332.7677002</v>
      </c>
      <c r="J1593">
        <v>1331.9533690999999</v>
      </c>
      <c r="K1593">
        <v>0</v>
      </c>
      <c r="L1593">
        <v>550</v>
      </c>
      <c r="M1593">
        <v>550</v>
      </c>
      <c r="N1593">
        <v>0</v>
      </c>
    </row>
    <row r="1594" spans="1:14" x14ac:dyDescent="0.25">
      <c r="A1594">
        <v>1656.155522</v>
      </c>
      <c r="B1594" s="1">
        <f>DATE(2014,11,12) + TIME(3,43,57)</f>
        <v>41955.15552083333</v>
      </c>
      <c r="C1594">
        <v>80</v>
      </c>
      <c r="D1594">
        <v>79.247673035000005</v>
      </c>
      <c r="E1594">
        <v>50</v>
      </c>
      <c r="F1594">
        <v>50.100276946999998</v>
      </c>
      <c r="G1594">
        <v>1330.8253173999999</v>
      </c>
      <c r="H1594">
        <v>1330.6527100000001</v>
      </c>
      <c r="I1594">
        <v>1332.7775879000001</v>
      </c>
      <c r="J1594">
        <v>1331.9584961</v>
      </c>
      <c r="K1594">
        <v>0</v>
      </c>
      <c r="L1594">
        <v>550</v>
      </c>
      <c r="M1594">
        <v>550</v>
      </c>
      <c r="N1594">
        <v>0</v>
      </c>
    </row>
    <row r="1595" spans="1:14" x14ac:dyDescent="0.25">
      <c r="A1595">
        <v>1657.0264299999999</v>
      </c>
      <c r="B1595" s="1">
        <f>DATE(2014,11,13) + TIME(0,38,3)</f>
        <v>41956.026423611111</v>
      </c>
      <c r="C1595">
        <v>80</v>
      </c>
      <c r="D1595">
        <v>79.180747986</v>
      </c>
      <c r="E1595">
        <v>50</v>
      </c>
      <c r="F1595">
        <v>50.062957763999997</v>
      </c>
      <c r="G1595">
        <v>1330.8041992000001</v>
      </c>
      <c r="H1595">
        <v>1330.6225586</v>
      </c>
      <c r="I1595">
        <v>1332.784668</v>
      </c>
      <c r="J1595">
        <v>1331.9617920000001</v>
      </c>
      <c r="K1595">
        <v>0</v>
      </c>
      <c r="L1595">
        <v>550</v>
      </c>
      <c r="M1595">
        <v>550</v>
      </c>
      <c r="N1595">
        <v>0</v>
      </c>
    </row>
    <row r="1596" spans="1:14" x14ac:dyDescent="0.25">
      <c r="A1596">
        <v>1657.9250010000001</v>
      </c>
      <c r="B1596" s="1">
        <f>DATE(2014,11,13) + TIME(22,12,0)</f>
        <v>41956.925000000003</v>
      </c>
      <c r="C1596">
        <v>80</v>
      </c>
      <c r="D1596">
        <v>79.109466553000004</v>
      </c>
      <c r="E1596">
        <v>50</v>
      </c>
      <c r="F1596">
        <v>50.036029816000003</v>
      </c>
      <c r="G1596">
        <v>1330.7827147999999</v>
      </c>
      <c r="H1596">
        <v>1330.5921631000001</v>
      </c>
      <c r="I1596">
        <v>1332.7902832</v>
      </c>
      <c r="J1596">
        <v>1331.9643555</v>
      </c>
      <c r="K1596">
        <v>0</v>
      </c>
      <c r="L1596">
        <v>550</v>
      </c>
      <c r="M1596">
        <v>550</v>
      </c>
      <c r="N1596">
        <v>0</v>
      </c>
    </row>
    <row r="1597" spans="1:14" x14ac:dyDescent="0.25">
      <c r="A1597">
        <v>1658.85826</v>
      </c>
      <c r="B1597" s="1">
        <f>DATE(2014,11,14) + TIME(20,35,53)</f>
        <v>41957.858252314814</v>
      </c>
      <c r="C1597">
        <v>80</v>
      </c>
      <c r="D1597">
        <v>79.033058166999993</v>
      </c>
      <c r="E1597">
        <v>50</v>
      </c>
      <c r="F1597">
        <v>50.016616821</v>
      </c>
      <c r="G1597">
        <v>1330.7611084</v>
      </c>
      <c r="H1597">
        <v>1330.5617675999999</v>
      </c>
      <c r="I1597">
        <v>1332.7950439000001</v>
      </c>
      <c r="J1597">
        <v>1331.9663086</v>
      </c>
      <c r="K1597">
        <v>0</v>
      </c>
      <c r="L1597">
        <v>550</v>
      </c>
      <c r="M1597">
        <v>550</v>
      </c>
      <c r="N1597">
        <v>0</v>
      </c>
    </row>
    <row r="1598" spans="1:14" x14ac:dyDescent="0.25">
      <c r="A1598">
        <v>1659.8337959999999</v>
      </c>
      <c r="B1598" s="1">
        <f>DATE(2014,11,15) + TIME(20,0,39)</f>
        <v>41958.833784722221</v>
      </c>
      <c r="C1598">
        <v>80</v>
      </c>
      <c r="D1598">
        <v>78.950653075999995</v>
      </c>
      <c r="E1598">
        <v>50</v>
      </c>
      <c r="F1598">
        <v>50.002639770999998</v>
      </c>
      <c r="G1598">
        <v>1330.7393798999999</v>
      </c>
      <c r="H1598">
        <v>1330.53125</v>
      </c>
      <c r="I1598">
        <v>1332.7989502</v>
      </c>
      <c r="J1598">
        <v>1331.9678954999999</v>
      </c>
      <c r="K1598">
        <v>0</v>
      </c>
      <c r="L1598">
        <v>550</v>
      </c>
      <c r="M1598">
        <v>550</v>
      </c>
      <c r="N1598">
        <v>0</v>
      </c>
    </row>
    <row r="1599" spans="1:14" x14ac:dyDescent="0.25">
      <c r="A1599">
        <v>1660.862791</v>
      </c>
      <c r="B1599" s="1">
        <f>DATE(2014,11,16) + TIME(20,42,25)</f>
        <v>41959.86278935185</v>
      </c>
      <c r="C1599">
        <v>80</v>
      </c>
      <c r="D1599">
        <v>78.861061096</v>
      </c>
      <c r="E1599">
        <v>50</v>
      </c>
      <c r="F1599">
        <v>49.992568970000001</v>
      </c>
      <c r="G1599">
        <v>1330.7174072</v>
      </c>
      <c r="H1599">
        <v>1330.5004882999999</v>
      </c>
      <c r="I1599">
        <v>1332.8022461</v>
      </c>
      <c r="J1599">
        <v>1331.9691161999999</v>
      </c>
      <c r="K1599">
        <v>0</v>
      </c>
      <c r="L1599">
        <v>550</v>
      </c>
      <c r="M1599">
        <v>550</v>
      </c>
      <c r="N1599">
        <v>0</v>
      </c>
    </row>
    <row r="1600" spans="1:14" x14ac:dyDescent="0.25">
      <c r="A1600">
        <v>1661.9558469999999</v>
      </c>
      <c r="B1600" s="1">
        <f>DATE(2014,11,17) + TIME(22,56,25)</f>
        <v>41960.95584490741</v>
      </c>
      <c r="C1600">
        <v>80</v>
      </c>
      <c r="D1600">
        <v>78.763023376000007</v>
      </c>
      <c r="E1600">
        <v>50</v>
      </c>
      <c r="F1600">
        <v>49.985324859999999</v>
      </c>
      <c r="G1600">
        <v>1330.6949463000001</v>
      </c>
      <c r="H1600">
        <v>1330.4691161999999</v>
      </c>
      <c r="I1600">
        <v>1332.8050536999999</v>
      </c>
      <c r="J1600">
        <v>1331.9699707</v>
      </c>
      <c r="K1600">
        <v>0</v>
      </c>
      <c r="L1600">
        <v>550</v>
      </c>
      <c r="M1600">
        <v>550</v>
      </c>
      <c r="N1600">
        <v>0</v>
      </c>
    </row>
    <row r="1601" spans="1:14" x14ac:dyDescent="0.25">
      <c r="A1601">
        <v>1663.12637</v>
      </c>
      <c r="B1601" s="1">
        <f>DATE(2014,11,19) + TIME(3,1,58)</f>
        <v>41962.12636574074</v>
      </c>
      <c r="C1601">
        <v>80</v>
      </c>
      <c r="D1601">
        <v>78.654991150000001</v>
      </c>
      <c r="E1601">
        <v>50</v>
      </c>
      <c r="F1601">
        <v>49.980117798000002</v>
      </c>
      <c r="G1601">
        <v>1330.671875</v>
      </c>
      <c r="H1601">
        <v>1330.4372559000001</v>
      </c>
      <c r="I1601">
        <v>1332.8073730000001</v>
      </c>
      <c r="J1601">
        <v>1331.9705810999999</v>
      </c>
      <c r="K1601">
        <v>0</v>
      </c>
      <c r="L1601">
        <v>550</v>
      </c>
      <c r="M1601">
        <v>550</v>
      </c>
      <c r="N1601">
        <v>0</v>
      </c>
    </row>
    <row r="1602" spans="1:14" x14ac:dyDescent="0.25">
      <c r="A1602">
        <v>1664.3913640000001</v>
      </c>
      <c r="B1602" s="1">
        <f>DATE(2014,11,20) + TIME(9,23,33)</f>
        <v>41963.39135416667</v>
      </c>
      <c r="C1602">
        <v>80</v>
      </c>
      <c r="D1602">
        <v>78.535011291999993</v>
      </c>
      <c r="E1602">
        <v>50</v>
      </c>
      <c r="F1602">
        <v>49.976371765000003</v>
      </c>
      <c r="G1602">
        <v>1330.6481934000001</v>
      </c>
      <c r="H1602">
        <v>1330.4042969</v>
      </c>
      <c r="I1602">
        <v>1332.8092041</v>
      </c>
      <c r="J1602">
        <v>1331.9708252</v>
      </c>
      <c r="K1602">
        <v>0</v>
      </c>
      <c r="L1602">
        <v>550</v>
      </c>
      <c r="M1602">
        <v>550</v>
      </c>
      <c r="N1602">
        <v>0</v>
      </c>
    </row>
    <row r="1603" spans="1:14" x14ac:dyDescent="0.25">
      <c r="A1603">
        <v>1665.743993</v>
      </c>
      <c r="B1603" s="1">
        <f>DATE(2014,11,21) + TIME(17,51,21)</f>
        <v>41964.743993055556</v>
      </c>
      <c r="C1603">
        <v>80</v>
      </c>
      <c r="D1603">
        <v>78.402748107999997</v>
      </c>
      <c r="E1603">
        <v>50</v>
      </c>
      <c r="F1603">
        <v>49.973709106000001</v>
      </c>
      <c r="G1603">
        <v>1330.6234131000001</v>
      </c>
      <c r="H1603">
        <v>1330.3703613</v>
      </c>
      <c r="I1603">
        <v>1332.8106689000001</v>
      </c>
      <c r="J1603">
        <v>1331.9709473</v>
      </c>
      <c r="K1603">
        <v>0</v>
      </c>
      <c r="L1603">
        <v>550</v>
      </c>
      <c r="M1603">
        <v>550</v>
      </c>
      <c r="N1603">
        <v>0</v>
      </c>
    </row>
    <row r="1604" spans="1:14" x14ac:dyDescent="0.25">
      <c r="A1604">
        <v>1667.1674029999999</v>
      </c>
      <c r="B1604" s="1">
        <f>DATE(2014,11,23) + TIME(4,1,3)</f>
        <v>41966.167395833334</v>
      </c>
      <c r="C1604">
        <v>80</v>
      </c>
      <c r="D1604">
        <v>78.258682250999996</v>
      </c>
      <c r="E1604">
        <v>50</v>
      </c>
      <c r="F1604">
        <v>49.971836089999996</v>
      </c>
      <c r="G1604">
        <v>1330.5980225000001</v>
      </c>
      <c r="H1604">
        <v>1330.3355713000001</v>
      </c>
      <c r="I1604">
        <v>1332.8117675999999</v>
      </c>
      <c r="J1604">
        <v>1331.9708252</v>
      </c>
      <c r="K1604">
        <v>0</v>
      </c>
      <c r="L1604">
        <v>550</v>
      </c>
      <c r="M1604">
        <v>550</v>
      </c>
      <c r="N1604">
        <v>0</v>
      </c>
    </row>
    <row r="1605" spans="1:14" x14ac:dyDescent="0.25">
      <c r="A1605">
        <v>1668.6762040000001</v>
      </c>
      <c r="B1605" s="1">
        <f>DATE(2014,11,24) + TIME(16,13,44)</f>
        <v>41967.676203703704</v>
      </c>
      <c r="C1605">
        <v>80</v>
      </c>
      <c r="D1605">
        <v>78.101211547999995</v>
      </c>
      <c r="E1605">
        <v>50</v>
      </c>
      <c r="F1605">
        <v>49.970497131000002</v>
      </c>
      <c r="G1605">
        <v>1330.5721435999999</v>
      </c>
      <c r="H1605">
        <v>1330.300293</v>
      </c>
      <c r="I1605">
        <v>1332.8126221</v>
      </c>
      <c r="J1605">
        <v>1331.9705810999999</v>
      </c>
      <c r="K1605">
        <v>0</v>
      </c>
      <c r="L1605">
        <v>550</v>
      </c>
      <c r="M1605">
        <v>550</v>
      </c>
      <c r="N1605">
        <v>0</v>
      </c>
    </row>
    <row r="1606" spans="1:14" x14ac:dyDescent="0.25">
      <c r="A1606">
        <v>1670.2210480000001</v>
      </c>
      <c r="B1606" s="1">
        <f>DATE(2014,11,26) + TIME(5,18,18)</f>
        <v>41969.221041666664</v>
      </c>
      <c r="C1606">
        <v>80</v>
      </c>
      <c r="D1606">
        <v>77.933502196999996</v>
      </c>
      <c r="E1606">
        <v>50</v>
      </c>
      <c r="F1606">
        <v>49.969562531000001</v>
      </c>
      <c r="G1606">
        <v>1330.5456543</v>
      </c>
      <c r="H1606">
        <v>1330.2644043</v>
      </c>
      <c r="I1606">
        <v>1332.8131103999999</v>
      </c>
      <c r="J1606">
        <v>1331.9702147999999</v>
      </c>
      <c r="K1606">
        <v>0</v>
      </c>
      <c r="L1606">
        <v>550</v>
      </c>
      <c r="M1606">
        <v>550</v>
      </c>
      <c r="N1606">
        <v>0</v>
      </c>
    </row>
    <row r="1607" spans="1:14" x14ac:dyDescent="0.25">
      <c r="A1607">
        <v>1671.7927</v>
      </c>
      <c r="B1607" s="1">
        <f>DATE(2014,11,27) + TIME(19,1,29)</f>
        <v>41970.792696759258</v>
      </c>
      <c r="C1607">
        <v>80</v>
      </c>
      <c r="D1607">
        <v>77.756584167</v>
      </c>
      <c r="E1607">
        <v>50</v>
      </c>
      <c r="F1607">
        <v>49.968898772999999</v>
      </c>
      <c r="G1607">
        <v>1330.5195312000001</v>
      </c>
      <c r="H1607">
        <v>1330.2287598</v>
      </c>
      <c r="I1607">
        <v>1332.8133545000001</v>
      </c>
      <c r="J1607">
        <v>1331.9696045000001</v>
      </c>
      <c r="K1607">
        <v>0</v>
      </c>
      <c r="L1607">
        <v>550</v>
      </c>
      <c r="M1607">
        <v>550</v>
      </c>
      <c r="N1607">
        <v>0</v>
      </c>
    </row>
    <row r="1608" spans="1:14" x14ac:dyDescent="0.25">
      <c r="A1608">
        <v>1673.406692</v>
      </c>
      <c r="B1608" s="1">
        <f>DATE(2014,11,29) + TIME(9,45,38)</f>
        <v>41972.406689814816</v>
      </c>
      <c r="C1608">
        <v>80</v>
      </c>
      <c r="D1608">
        <v>77.569717406999999</v>
      </c>
      <c r="E1608">
        <v>50</v>
      </c>
      <c r="F1608">
        <v>49.968418120999999</v>
      </c>
      <c r="G1608">
        <v>1330.4936522999999</v>
      </c>
      <c r="H1608">
        <v>1330.1936035000001</v>
      </c>
      <c r="I1608">
        <v>1332.8134766000001</v>
      </c>
      <c r="J1608">
        <v>1331.9691161999999</v>
      </c>
      <c r="K1608">
        <v>0</v>
      </c>
      <c r="L1608">
        <v>550</v>
      </c>
      <c r="M1608">
        <v>550</v>
      </c>
      <c r="N1608">
        <v>0</v>
      </c>
    </row>
    <row r="1609" spans="1:14" x14ac:dyDescent="0.25">
      <c r="A1609">
        <v>1675</v>
      </c>
      <c r="B1609" s="1">
        <f>DATE(2014,12,1) + TIME(0,0,0)</f>
        <v>41974</v>
      </c>
      <c r="C1609">
        <v>80</v>
      </c>
      <c r="D1609">
        <v>77.378250121999997</v>
      </c>
      <c r="E1609">
        <v>50</v>
      </c>
      <c r="F1609">
        <v>49.968074799</v>
      </c>
      <c r="G1609">
        <v>1330.4680175999999</v>
      </c>
      <c r="H1609">
        <v>1330.1590576000001</v>
      </c>
      <c r="I1609">
        <v>1332.8134766000001</v>
      </c>
      <c r="J1609">
        <v>1331.9685059000001</v>
      </c>
      <c r="K1609">
        <v>0</v>
      </c>
      <c r="L1609">
        <v>550</v>
      </c>
      <c r="M1609">
        <v>550</v>
      </c>
      <c r="N1609">
        <v>0</v>
      </c>
    </row>
    <row r="1610" spans="1:14" x14ac:dyDescent="0.25">
      <c r="A1610">
        <v>1676.686768</v>
      </c>
      <c r="B1610" s="1">
        <f>DATE(2014,12,2) + TIME(16,28,56)</f>
        <v>41975.686759259261</v>
      </c>
      <c r="C1610">
        <v>80</v>
      </c>
      <c r="D1610">
        <v>77.174278259000005</v>
      </c>
      <c r="E1610">
        <v>50</v>
      </c>
      <c r="F1610">
        <v>49.967811584000003</v>
      </c>
      <c r="G1610">
        <v>1330.4433594</v>
      </c>
      <c r="H1610">
        <v>1330.1256103999999</v>
      </c>
      <c r="I1610">
        <v>1332.8134766000001</v>
      </c>
      <c r="J1610">
        <v>1331.9678954999999</v>
      </c>
      <c r="K1610">
        <v>0</v>
      </c>
      <c r="L1610">
        <v>550</v>
      </c>
      <c r="M1610">
        <v>550</v>
      </c>
      <c r="N1610">
        <v>0</v>
      </c>
    </row>
    <row r="1611" spans="1:14" x14ac:dyDescent="0.25">
      <c r="A1611">
        <v>1678.5829779999999</v>
      </c>
      <c r="B1611" s="1">
        <f>DATE(2014,12,4) + TIME(13,59,29)</f>
        <v>41977.582974537036</v>
      </c>
      <c r="C1611">
        <v>80</v>
      </c>
      <c r="D1611">
        <v>76.948272704999994</v>
      </c>
      <c r="E1611">
        <v>50</v>
      </c>
      <c r="F1611">
        <v>49.967590332</v>
      </c>
      <c r="G1611">
        <v>1330.418457</v>
      </c>
      <c r="H1611">
        <v>1330.0921631000001</v>
      </c>
      <c r="I1611">
        <v>1332.8132324000001</v>
      </c>
      <c r="J1611">
        <v>1331.9672852000001</v>
      </c>
      <c r="K1611">
        <v>0</v>
      </c>
      <c r="L1611">
        <v>550</v>
      </c>
      <c r="M1611">
        <v>550</v>
      </c>
      <c r="N1611">
        <v>0</v>
      </c>
    </row>
    <row r="1612" spans="1:14" x14ac:dyDescent="0.25">
      <c r="A1612">
        <v>1680.624182</v>
      </c>
      <c r="B1612" s="1">
        <f>DATE(2014,12,6) + TIME(14,58,49)</f>
        <v>41979.624178240738</v>
      </c>
      <c r="C1612">
        <v>80</v>
      </c>
      <c r="D1612">
        <v>76.702644348000007</v>
      </c>
      <c r="E1612">
        <v>50</v>
      </c>
      <c r="F1612">
        <v>49.967418670999997</v>
      </c>
      <c r="G1612">
        <v>1330.3920897999999</v>
      </c>
      <c r="H1612">
        <v>1330.0571289</v>
      </c>
      <c r="I1612">
        <v>1332.8129882999999</v>
      </c>
      <c r="J1612">
        <v>1331.9666748</v>
      </c>
      <c r="K1612">
        <v>0</v>
      </c>
      <c r="L1612">
        <v>550</v>
      </c>
      <c r="M1612">
        <v>550</v>
      </c>
      <c r="N1612">
        <v>0</v>
      </c>
    </row>
    <row r="1613" spans="1:14" x14ac:dyDescent="0.25">
      <c r="A1613">
        <v>1682.859739</v>
      </c>
      <c r="B1613" s="1">
        <f>DATE(2014,12,8) + TIME(20,38,1)</f>
        <v>41981.859733796293</v>
      </c>
      <c r="C1613">
        <v>80</v>
      </c>
      <c r="D1613">
        <v>76.433250427000004</v>
      </c>
      <c r="E1613">
        <v>50</v>
      </c>
      <c r="F1613">
        <v>49.967277527</v>
      </c>
      <c r="G1613">
        <v>1330.3649902</v>
      </c>
      <c r="H1613">
        <v>1330.0211182</v>
      </c>
      <c r="I1613">
        <v>1332.8127440999999</v>
      </c>
      <c r="J1613">
        <v>1331.9660644999999</v>
      </c>
      <c r="K1613">
        <v>0</v>
      </c>
      <c r="L1613">
        <v>550</v>
      </c>
      <c r="M1613">
        <v>550</v>
      </c>
      <c r="N1613">
        <v>0</v>
      </c>
    </row>
    <row r="1614" spans="1:14" x14ac:dyDescent="0.25">
      <c r="A1614">
        <v>1685.2905510000001</v>
      </c>
      <c r="B1614" s="1">
        <f>DATE(2014,12,11) + TIME(6,58,23)</f>
        <v>41984.290543981479</v>
      </c>
      <c r="C1614">
        <v>80</v>
      </c>
      <c r="D1614">
        <v>76.138542174999998</v>
      </c>
      <c r="E1614">
        <v>50</v>
      </c>
      <c r="F1614">
        <v>49.967159271</v>
      </c>
      <c r="G1614">
        <v>1330.3367920000001</v>
      </c>
      <c r="H1614">
        <v>1329.9840088000001</v>
      </c>
      <c r="I1614">
        <v>1332.8125</v>
      </c>
      <c r="J1614">
        <v>1331.9654541</v>
      </c>
      <c r="K1614">
        <v>0</v>
      </c>
      <c r="L1614">
        <v>550</v>
      </c>
      <c r="M1614">
        <v>550</v>
      </c>
      <c r="N1614">
        <v>0</v>
      </c>
    </row>
    <row r="1615" spans="1:14" x14ac:dyDescent="0.25">
      <c r="A1615">
        <v>1687.739116</v>
      </c>
      <c r="B1615" s="1">
        <f>DATE(2014,12,13) + TIME(17,44,19)</f>
        <v>41986.739108796297</v>
      </c>
      <c r="C1615">
        <v>80</v>
      </c>
      <c r="D1615">
        <v>75.829368591000005</v>
      </c>
      <c r="E1615">
        <v>50</v>
      </c>
      <c r="F1615">
        <v>49.967063904</v>
      </c>
      <c r="G1615">
        <v>1330.3076172000001</v>
      </c>
      <c r="H1615">
        <v>1329.9456786999999</v>
      </c>
      <c r="I1615">
        <v>1332.8121338000001</v>
      </c>
      <c r="J1615">
        <v>1331.9649658000001</v>
      </c>
      <c r="K1615">
        <v>0</v>
      </c>
      <c r="L1615">
        <v>550</v>
      </c>
      <c r="M1615">
        <v>550</v>
      </c>
      <c r="N1615">
        <v>0</v>
      </c>
    </row>
    <row r="1616" spans="1:14" x14ac:dyDescent="0.25">
      <c r="A1616">
        <v>1690.2434519999999</v>
      </c>
      <c r="B1616" s="1">
        <f>DATE(2014,12,16) + TIME(5,50,34)</f>
        <v>41989.243449074071</v>
      </c>
      <c r="C1616">
        <v>80</v>
      </c>
      <c r="D1616">
        <v>75.508026122999993</v>
      </c>
      <c r="E1616">
        <v>50</v>
      </c>
      <c r="F1616">
        <v>49.966991425000003</v>
      </c>
      <c r="G1616">
        <v>1330.2789307</v>
      </c>
      <c r="H1616">
        <v>1329.9078368999999</v>
      </c>
      <c r="I1616">
        <v>1332.8118896000001</v>
      </c>
      <c r="J1616">
        <v>1331.9644774999999</v>
      </c>
      <c r="K1616">
        <v>0</v>
      </c>
      <c r="L1616">
        <v>550</v>
      </c>
      <c r="M1616">
        <v>550</v>
      </c>
      <c r="N1616">
        <v>0</v>
      </c>
    </row>
    <row r="1617" spans="1:14" x14ac:dyDescent="0.25">
      <c r="A1617">
        <v>1692.8467889999999</v>
      </c>
      <c r="B1617" s="1">
        <f>DATE(2014,12,18) + TIME(20,19,22)</f>
        <v>41991.846782407411</v>
      </c>
      <c r="C1617">
        <v>80</v>
      </c>
      <c r="D1617">
        <v>75.173721313000001</v>
      </c>
      <c r="E1617">
        <v>50</v>
      </c>
      <c r="F1617">
        <v>49.966926575000002</v>
      </c>
      <c r="G1617">
        <v>1330.2508545000001</v>
      </c>
      <c r="H1617">
        <v>1329.8707274999999</v>
      </c>
      <c r="I1617">
        <v>1332.8116454999999</v>
      </c>
      <c r="J1617">
        <v>1331.9641113</v>
      </c>
      <c r="K1617">
        <v>0</v>
      </c>
      <c r="L1617">
        <v>550</v>
      </c>
      <c r="M1617">
        <v>550</v>
      </c>
      <c r="N1617">
        <v>0</v>
      </c>
    </row>
    <row r="1618" spans="1:14" x14ac:dyDescent="0.25">
      <c r="A1618">
        <v>1695.5894619999999</v>
      </c>
      <c r="B1618" s="1">
        <f>DATE(2014,12,21) + TIME(14,8,49)</f>
        <v>41994.589456018519</v>
      </c>
      <c r="C1618">
        <v>80</v>
      </c>
      <c r="D1618">
        <v>74.823944092000005</v>
      </c>
      <c r="E1618">
        <v>50</v>
      </c>
      <c r="F1618">
        <v>49.966865540000001</v>
      </c>
      <c r="G1618">
        <v>1330.2229004000001</v>
      </c>
      <c r="H1618">
        <v>1329.8339844</v>
      </c>
      <c r="I1618">
        <v>1332.8114014</v>
      </c>
      <c r="J1618">
        <v>1331.9638672000001</v>
      </c>
      <c r="K1618">
        <v>0</v>
      </c>
      <c r="L1618">
        <v>550</v>
      </c>
      <c r="M1618">
        <v>550</v>
      </c>
      <c r="N1618">
        <v>0</v>
      </c>
    </row>
    <row r="1619" spans="1:14" x14ac:dyDescent="0.25">
      <c r="A1619">
        <v>1698.501141</v>
      </c>
      <c r="B1619" s="1">
        <f>DATE(2014,12,24) + TIME(12,1,38)</f>
        <v>41997.501134259262</v>
      </c>
      <c r="C1619">
        <v>80</v>
      </c>
      <c r="D1619">
        <v>74.456054687999995</v>
      </c>
      <c r="E1619">
        <v>50</v>
      </c>
      <c r="F1619">
        <v>49.966808319000002</v>
      </c>
      <c r="G1619">
        <v>1330.1949463000001</v>
      </c>
      <c r="H1619">
        <v>1329.7974853999999</v>
      </c>
      <c r="I1619">
        <v>1332.8112793</v>
      </c>
      <c r="J1619">
        <v>1331.9637451000001</v>
      </c>
      <c r="K1619">
        <v>0</v>
      </c>
      <c r="L1619">
        <v>550</v>
      </c>
      <c r="M1619">
        <v>550</v>
      </c>
      <c r="N1619">
        <v>0</v>
      </c>
    </row>
    <row r="1620" spans="1:14" x14ac:dyDescent="0.25">
      <c r="A1620">
        <v>1701.624677</v>
      </c>
      <c r="B1620" s="1">
        <f>DATE(2014,12,27) + TIME(14,59,32)</f>
        <v>42000.624675925923</v>
      </c>
      <c r="C1620">
        <v>80</v>
      </c>
      <c r="D1620">
        <v>74.066795349000003</v>
      </c>
      <c r="E1620">
        <v>50</v>
      </c>
      <c r="F1620">
        <v>49.966747284</v>
      </c>
      <c r="G1620">
        <v>1330.1668701000001</v>
      </c>
      <c r="H1620">
        <v>1329.7608643000001</v>
      </c>
      <c r="I1620">
        <v>1332.8111572</v>
      </c>
      <c r="J1620">
        <v>1331.9636230000001</v>
      </c>
      <c r="K1620">
        <v>0</v>
      </c>
      <c r="L1620">
        <v>550</v>
      </c>
      <c r="M1620">
        <v>550</v>
      </c>
      <c r="N1620">
        <v>0</v>
      </c>
    </row>
    <row r="1621" spans="1:14" x14ac:dyDescent="0.25">
      <c r="A1621">
        <v>1704.818792</v>
      </c>
      <c r="B1621" s="1">
        <f>DATE(2014,12,30) + TIME(19,39,3)</f>
        <v>42003.818784722222</v>
      </c>
      <c r="C1621">
        <v>80</v>
      </c>
      <c r="D1621">
        <v>73.662399292000003</v>
      </c>
      <c r="E1621">
        <v>50</v>
      </c>
      <c r="F1621">
        <v>49.966686248999999</v>
      </c>
      <c r="G1621">
        <v>1330.1384277</v>
      </c>
      <c r="H1621">
        <v>1329.723999</v>
      </c>
      <c r="I1621">
        <v>1332.8110352000001</v>
      </c>
      <c r="J1621">
        <v>1331.9636230000001</v>
      </c>
      <c r="K1621">
        <v>0</v>
      </c>
      <c r="L1621">
        <v>550</v>
      </c>
      <c r="M1621">
        <v>550</v>
      </c>
      <c r="N1621">
        <v>0</v>
      </c>
    </row>
    <row r="1622" spans="1:14" x14ac:dyDescent="0.25">
      <c r="A1622">
        <v>1706</v>
      </c>
      <c r="B1622" s="1">
        <f>DATE(2015,1,1) + TIME(0,0,0)</f>
        <v>42005</v>
      </c>
      <c r="C1622">
        <v>80</v>
      </c>
      <c r="D1622">
        <v>73.428001404</v>
      </c>
      <c r="E1622">
        <v>50</v>
      </c>
      <c r="F1622">
        <v>49.966663361000002</v>
      </c>
      <c r="G1622">
        <v>1330.1107178</v>
      </c>
      <c r="H1622">
        <v>1329.6885986</v>
      </c>
      <c r="I1622">
        <v>1332.8110352000001</v>
      </c>
      <c r="J1622">
        <v>1331.9637451000001</v>
      </c>
      <c r="K1622">
        <v>0</v>
      </c>
      <c r="L1622">
        <v>550</v>
      </c>
      <c r="M1622">
        <v>550</v>
      </c>
      <c r="N1622">
        <v>0</v>
      </c>
    </row>
    <row r="1623" spans="1:14" x14ac:dyDescent="0.25">
      <c r="A1623">
        <v>1709.31558</v>
      </c>
      <c r="B1623" s="1">
        <f>DATE(2015,1,4) + TIME(7,34,26)</f>
        <v>42008.315578703703</v>
      </c>
      <c r="C1623">
        <v>80</v>
      </c>
      <c r="D1623">
        <v>73.055816649999997</v>
      </c>
      <c r="E1623">
        <v>50</v>
      </c>
      <c r="F1623">
        <v>49.966598511000001</v>
      </c>
      <c r="G1623">
        <v>1330.097168</v>
      </c>
      <c r="H1623">
        <v>1329.668457</v>
      </c>
      <c r="I1623">
        <v>1332.8110352000001</v>
      </c>
      <c r="J1623">
        <v>1331.9638672000001</v>
      </c>
      <c r="K1623">
        <v>0</v>
      </c>
      <c r="L1623">
        <v>550</v>
      </c>
      <c r="M1623">
        <v>550</v>
      </c>
      <c r="N1623">
        <v>0</v>
      </c>
    </row>
    <row r="1624" spans="1:14" x14ac:dyDescent="0.25">
      <c r="A1624">
        <v>1712.887898</v>
      </c>
      <c r="B1624" s="1">
        <f>DATE(2015,1,7) + TIME(21,18,34)</f>
        <v>42011.88789351852</v>
      </c>
      <c r="C1624">
        <v>80</v>
      </c>
      <c r="D1624">
        <v>72.639892578000001</v>
      </c>
      <c r="E1624">
        <v>50</v>
      </c>
      <c r="F1624">
        <v>49.966529846</v>
      </c>
      <c r="G1624">
        <v>1330.0716553</v>
      </c>
      <c r="H1624">
        <v>1329.6363524999999</v>
      </c>
      <c r="I1624">
        <v>1332.8110352000001</v>
      </c>
      <c r="J1624">
        <v>1331.9641113</v>
      </c>
      <c r="K1624">
        <v>0</v>
      </c>
      <c r="L1624">
        <v>550</v>
      </c>
      <c r="M1624">
        <v>550</v>
      </c>
      <c r="N1624">
        <v>0</v>
      </c>
    </row>
    <row r="1625" spans="1:14" x14ac:dyDescent="0.25">
      <c r="A1625">
        <v>1716.589217</v>
      </c>
      <c r="B1625" s="1">
        <f>DATE(2015,1,11) + TIME(14,8,28)</f>
        <v>42015.589212962965</v>
      </c>
      <c r="C1625">
        <v>80</v>
      </c>
      <c r="D1625">
        <v>72.195838928000001</v>
      </c>
      <c r="E1625">
        <v>50</v>
      </c>
      <c r="F1625">
        <v>49.966457366999997</v>
      </c>
      <c r="G1625">
        <v>1330.0449219</v>
      </c>
      <c r="H1625">
        <v>1329.6025391000001</v>
      </c>
      <c r="I1625">
        <v>1332.8110352000001</v>
      </c>
      <c r="J1625">
        <v>1331.9644774999999</v>
      </c>
      <c r="K1625">
        <v>0</v>
      </c>
      <c r="L1625">
        <v>550</v>
      </c>
      <c r="M1625">
        <v>550</v>
      </c>
      <c r="N1625">
        <v>0</v>
      </c>
    </row>
    <row r="1626" spans="1:14" x14ac:dyDescent="0.25">
      <c r="A1626">
        <v>1720.4594540000001</v>
      </c>
      <c r="B1626" s="1">
        <f>DATE(2015,1,15) + TIME(11,1,36)</f>
        <v>42019.459444444445</v>
      </c>
      <c r="C1626">
        <v>80</v>
      </c>
      <c r="D1626">
        <v>71.732467650999993</v>
      </c>
      <c r="E1626">
        <v>50</v>
      </c>
      <c r="F1626">
        <v>49.966381073000001</v>
      </c>
      <c r="G1626">
        <v>1330.0180664</v>
      </c>
      <c r="H1626">
        <v>1329.5681152</v>
      </c>
      <c r="I1626">
        <v>1332.8111572</v>
      </c>
      <c r="J1626">
        <v>1331.9649658000001</v>
      </c>
      <c r="K1626">
        <v>0</v>
      </c>
      <c r="L1626">
        <v>550</v>
      </c>
      <c r="M1626">
        <v>550</v>
      </c>
      <c r="N1626">
        <v>0</v>
      </c>
    </row>
    <row r="1627" spans="1:14" x14ac:dyDescent="0.25">
      <c r="A1627">
        <v>1724.4037659999999</v>
      </c>
      <c r="B1627" s="1">
        <f>DATE(2015,1,19) + TIME(9,41,25)</f>
        <v>42023.403761574074</v>
      </c>
      <c r="C1627">
        <v>80</v>
      </c>
      <c r="D1627">
        <v>71.257118224999999</v>
      </c>
      <c r="E1627">
        <v>50</v>
      </c>
      <c r="F1627">
        <v>49.966304778999998</v>
      </c>
      <c r="G1627">
        <v>1329.9912108999999</v>
      </c>
      <c r="H1627">
        <v>1329.5336914</v>
      </c>
      <c r="I1627">
        <v>1332.8112793</v>
      </c>
      <c r="J1627">
        <v>1331.9655762</v>
      </c>
      <c r="K1627">
        <v>0</v>
      </c>
      <c r="L1627">
        <v>550</v>
      </c>
      <c r="M1627">
        <v>550</v>
      </c>
      <c r="N1627">
        <v>0</v>
      </c>
    </row>
    <row r="1628" spans="1:14" x14ac:dyDescent="0.25">
      <c r="A1628">
        <v>1728.4562209999999</v>
      </c>
      <c r="B1628" s="1">
        <f>DATE(2015,1,23) + TIME(10,56,57)</f>
        <v>42027.45621527778</v>
      </c>
      <c r="C1628">
        <v>80</v>
      </c>
      <c r="D1628">
        <v>70.774246215999995</v>
      </c>
      <c r="E1628">
        <v>50</v>
      </c>
      <c r="F1628">
        <v>49.966224670000003</v>
      </c>
      <c r="G1628">
        <v>1329.9650879000001</v>
      </c>
      <c r="H1628">
        <v>1329.5</v>
      </c>
      <c r="I1628">
        <v>1332.8115233999999</v>
      </c>
      <c r="J1628">
        <v>1331.9661865</v>
      </c>
      <c r="K1628">
        <v>0</v>
      </c>
      <c r="L1628">
        <v>550</v>
      </c>
      <c r="M1628">
        <v>550</v>
      </c>
      <c r="N1628">
        <v>0</v>
      </c>
    </row>
    <row r="1629" spans="1:14" x14ac:dyDescent="0.25">
      <c r="A1629">
        <v>1732.6732770000001</v>
      </c>
      <c r="B1629" s="1">
        <f>DATE(2015,1,27) + TIME(16,9,31)</f>
        <v>42031.673275462963</v>
      </c>
      <c r="C1629">
        <v>80</v>
      </c>
      <c r="D1629">
        <v>70.282615661999998</v>
      </c>
      <c r="E1629">
        <v>50</v>
      </c>
      <c r="F1629">
        <v>49.966140746999997</v>
      </c>
      <c r="G1629">
        <v>1329.9394531</v>
      </c>
      <c r="H1629">
        <v>1329.4671631000001</v>
      </c>
      <c r="I1629">
        <v>1332.8116454999999</v>
      </c>
      <c r="J1629">
        <v>1331.9669189000001</v>
      </c>
      <c r="K1629">
        <v>0</v>
      </c>
      <c r="L1629">
        <v>550</v>
      </c>
      <c r="M1629">
        <v>550</v>
      </c>
      <c r="N1629">
        <v>0</v>
      </c>
    </row>
    <row r="1630" spans="1:14" x14ac:dyDescent="0.25">
      <c r="A1630">
        <v>1737</v>
      </c>
      <c r="B1630" s="1">
        <f>DATE(2015,2,1) + TIME(0,0,0)</f>
        <v>42036</v>
      </c>
      <c r="C1630">
        <v>80</v>
      </c>
      <c r="D1630">
        <v>69.782447814999998</v>
      </c>
      <c r="E1630">
        <v>50</v>
      </c>
      <c r="F1630">
        <v>49.966056823999999</v>
      </c>
      <c r="G1630">
        <v>1329.9143065999999</v>
      </c>
      <c r="H1630">
        <v>1329.4350586</v>
      </c>
      <c r="I1630">
        <v>1332.8118896000001</v>
      </c>
      <c r="J1630">
        <v>1331.9677733999999</v>
      </c>
      <c r="K1630">
        <v>0</v>
      </c>
      <c r="L1630">
        <v>550</v>
      </c>
      <c r="M1630">
        <v>550</v>
      </c>
      <c r="N1630">
        <v>0</v>
      </c>
    </row>
    <row r="1631" spans="1:14" x14ac:dyDescent="0.25">
      <c r="A1631">
        <v>1741.4481029999999</v>
      </c>
      <c r="B1631" s="1">
        <f>DATE(2015,2,5) + TIME(10,45,16)</f>
        <v>42040.448101851849</v>
      </c>
      <c r="C1631">
        <v>80</v>
      </c>
      <c r="D1631">
        <v>69.275413513000004</v>
      </c>
      <c r="E1631">
        <v>50</v>
      </c>
      <c r="F1631">
        <v>49.965969086000001</v>
      </c>
      <c r="G1631">
        <v>1329.8897704999999</v>
      </c>
      <c r="H1631">
        <v>1329.4036865</v>
      </c>
      <c r="I1631">
        <v>1332.8120117000001</v>
      </c>
      <c r="J1631">
        <v>1331.9686279</v>
      </c>
      <c r="K1631">
        <v>0</v>
      </c>
      <c r="L1631">
        <v>550</v>
      </c>
      <c r="M1631">
        <v>550</v>
      </c>
      <c r="N1631">
        <v>0</v>
      </c>
    </row>
    <row r="1632" spans="1:14" x14ac:dyDescent="0.25">
      <c r="A1632">
        <v>1746.183207</v>
      </c>
      <c r="B1632" s="1">
        <f>DATE(2015,2,10) + TIME(4,23,49)</f>
        <v>42045.183206018519</v>
      </c>
      <c r="C1632">
        <v>80</v>
      </c>
      <c r="D1632">
        <v>68.756225585999999</v>
      </c>
      <c r="E1632">
        <v>50</v>
      </c>
      <c r="F1632">
        <v>49.965877532999997</v>
      </c>
      <c r="G1632">
        <v>1329.8658447</v>
      </c>
      <c r="H1632">
        <v>1329.3730469</v>
      </c>
      <c r="I1632">
        <v>1332.8122559000001</v>
      </c>
      <c r="J1632">
        <v>1331.9694824000001</v>
      </c>
      <c r="K1632">
        <v>0</v>
      </c>
      <c r="L1632">
        <v>550</v>
      </c>
      <c r="M1632">
        <v>550</v>
      </c>
      <c r="N1632">
        <v>0</v>
      </c>
    </row>
    <row r="1633" spans="1:14" x14ac:dyDescent="0.25">
      <c r="A1633">
        <v>1751.0419770000001</v>
      </c>
      <c r="B1633" s="1">
        <f>DATE(2015,2,15) + TIME(1,0,26)</f>
        <v>42050.041967592595</v>
      </c>
      <c r="C1633">
        <v>80</v>
      </c>
      <c r="D1633">
        <v>68.223358153999996</v>
      </c>
      <c r="E1633">
        <v>50</v>
      </c>
      <c r="F1633">
        <v>49.965782165999997</v>
      </c>
      <c r="G1633">
        <v>1329.8421631000001</v>
      </c>
      <c r="H1633">
        <v>1329.3428954999999</v>
      </c>
      <c r="I1633">
        <v>1332.8125</v>
      </c>
      <c r="J1633">
        <v>1331.9704589999999</v>
      </c>
      <c r="K1633">
        <v>0</v>
      </c>
      <c r="L1633">
        <v>550</v>
      </c>
      <c r="M1633">
        <v>550</v>
      </c>
      <c r="N1633">
        <v>0</v>
      </c>
    </row>
    <row r="1634" spans="1:14" x14ac:dyDescent="0.25">
      <c r="A1634">
        <v>1756.0910610000001</v>
      </c>
      <c r="B1634" s="1">
        <f>DATE(2015,2,20) + TIME(2,11,7)</f>
        <v>42055.091053240743</v>
      </c>
      <c r="C1634">
        <v>80</v>
      </c>
      <c r="D1634">
        <v>67.680625915999997</v>
      </c>
      <c r="E1634">
        <v>50</v>
      </c>
      <c r="F1634">
        <v>49.965686798</v>
      </c>
      <c r="G1634">
        <v>1329.8188477000001</v>
      </c>
      <c r="H1634">
        <v>1329.3133545000001</v>
      </c>
      <c r="I1634">
        <v>1332.8127440999999</v>
      </c>
      <c r="J1634">
        <v>1331.9715576000001</v>
      </c>
      <c r="K1634">
        <v>0</v>
      </c>
      <c r="L1634">
        <v>550</v>
      </c>
      <c r="M1634">
        <v>550</v>
      </c>
      <c r="N1634">
        <v>0</v>
      </c>
    </row>
    <row r="1635" spans="1:14" x14ac:dyDescent="0.25">
      <c r="A1635">
        <v>1761.4122199999999</v>
      </c>
      <c r="B1635" s="1">
        <f>DATE(2015,2,25) + TIME(9,53,35)</f>
        <v>42060.412210648145</v>
      </c>
      <c r="C1635">
        <v>80</v>
      </c>
      <c r="D1635">
        <v>67.124267578000001</v>
      </c>
      <c r="E1635">
        <v>50</v>
      </c>
      <c r="F1635">
        <v>49.965587616000001</v>
      </c>
      <c r="G1635">
        <v>1329.7960204999999</v>
      </c>
      <c r="H1635">
        <v>1329.2843018000001</v>
      </c>
      <c r="I1635">
        <v>1332.8129882999999</v>
      </c>
      <c r="J1635">
        <v>1331.9726562000001</v>
      </c>
      <c r="K1635">
        <v>0</v>
      </c>
      <c r="L1635">
        <v>550</v>
      </c>
      <c r="M1635">
        <v>550</v>
      </c>
      <c r="N1635">
        <v>0</v>
      </c>
    </row>
    <row r="1636" spans="1:14" x14ac:dyDescent="0.25">
      <c r="A1636">
        <v>1765</v>
      </c>
      <c r="B1636" s="1">
        <f>DATE(2015,3,1) + TIME(0,0,0)</f>
        <v>42064</v>
      </c>
      <c r="C1636">
        <v>80</v>
      </c>
      <c r="D1636">
        <v>66.630332946999999</v>
      </c>
      <c r="E1636">
        <v>50</v>
      </c>
      <c r="F1636">
        <v>49.965511321999998</v>
      </c>
      <c r="G1636">
        <v>1329.7734375</v>
      </c>
      <c r="H1636">
        <v>1329.2561035000001</v>
      </c>
      <c r="I1636">
        <v>1332.8132324000001</v>
      </c>
      <c r="J1636">
        <v>1331.9737548999999</v>
      </c>
      <c r="K1636">
        <v>0</v>
      </c>
      <c r="L1636">
        <v>550</v>
      </c>
      <c r="M1636">
        <v>550</v>
      </c>
      <c r="N1636">
        <v>0</v>
      </c>
    </row>
    <row r="1637" spans="1:14" x14ac:dyDescent="0.25">
      <c r="A1637">
        <v>1770.5264709999999</v>
      </c>
      <c r="B1637" s="1">
        <f>DATE(2015,3,6) + TIME(12,38,7)</f>
        <v>42069.526469907411</v>
      </c>
      <c r="C1637">
        <v>80</v>
      </c>
      <c r="D1637">
        <v>66.138046265</v>
      </c>
      <c r="E1637">
        <v>50</v>
      </c>
      <c r="F1637">
        <v>49.965415954999997</v>
      </c>
      <c r="G1637">
        <v>1329.7565918</v>
      </c>
      <c r="H1637">
        <v>1329.2326660000001</v>
      </c>
      <c r="I1637">
        <v>1332.8134766000001</v>
      </c>
      <c r="J1637">
        <v>1331.9744873</v>
      </c>
      <c r="K1637">
        <v>0</v>
      </c>
      <c r="L1637">
        <v>550</v>
      </c>
      <c r="M1637">
        <v>550</v>
      </c>
      <c r="N1637">
        <v>0</v>
      </c>
    </row>
    <row r="1638" spans="1:14" x14ac:dyDescent="0.25">
      <c r="A1638">
        <v>1776.3437329999999</v>
      </c>
      <c r="B1638" s="1">
        <f>DATE(2015,3,12) + TIME(8,14,58)</f>
        <v>42075.343726851854</v>
      </c>
      <c r="C1638">
        <v>80</v>
      </c>
      <c r="D1638">
        <v>65.577018738000007</v>
      </c>
      <c r="E1638">
        <v>50</v>
      </c>
      <c r="F1638">
        <v>49.965312957999998</v>
      </c>
      <c r="G1638">
        <v>1329.7368164</v>
      </c>
      <c r="H1638">
        <v>1329.2087402</v>
      </c>
      <c r="I1638">
        <v>1332.8137207</v>
      </c>
      <c r="J1638">
        <v>1331.9757079999999</v>
      </c>
      <c r="K1638">
        <v>0</v>
      </c>
      <c r="L1638">
        <v>550</v>
      </c>
      <c r="M1638">
        <v>550</v>
      </c>
      <c r="N1638">
        <v>0</v>
      </c>
    </row>
    <row r="1639" spans="1:14" x14ac:dyDescent="0.25">
      <c r="A1639">
        <v>1782.4519009999999</v>
      </c>
      <c r="B1639" s="1">
        <f>DATE(2015,3,18) + TIME(10,50,44)</f>
        <v>42081.451898148145</v>
      </c>
      <c r="C1639">
        <v>80</v>
      </c>
      <c r="D1639">
        <v>64.983581543</v>
      </c>
      <c r="E1639">
        <v>50</v>
      </c>
      <c r="F1639">
        <v>49.965206146</v>
      </c>
      <c r="G1639">
        <v>1329.7164307</v>
      </c>
      <c r="H1639">
        <v>1329.1833495999999</v>
      </c>
      <c r="I1639">
        <v>1332.8139647999999</v>
      </c>
      <c r="J1639">
        <v>1331.9769286999999</v>
      </c>
      <c r="K1639">
        <v>0</v>
      </c>
      <c r="L1639">
        <v>550</v>
      </c>
      <c r="M1639">
        <v>550</v>
      </c>
      <c r="N1639">
        <v>0</v>
      </c>
    </row>
    <row r="1640" spans="1:14" x14ac:dyDescent="0.25">
      <c r="A1640">
        <v>1788.855857</v>
      </c>
      <c r="B1640" s="1">
        <f>DATE(2015,3,24) + TIME(20,32,26)</f>
        <v>42087.855856481481</v>
      </c>
      <c r="C1640">
        <v>80</v>
      </c>
      <c r="D1640">
        <v>64.367652892999999</v>
      </c>
      <c r="E1640">
        <v>50</v>
      </c>
      <c r="F1640">
        <v>49.965099334999998</v>
      </c>
      <c r="G1640">
        <v>1329.6960449000001</v>
      </c>
      <c r="H1640">
        <v>1329.1578368999999</v>
      </c>
      <c r="I1640">
        <v>1332.8142089999999</v>
      </c>
      <c r="J1640">
        <v>1331.9782714999999</v>
      </c>
      <c r="K1640">
        <v>0</v>
      </c>
      <c r="L1640">
        <v>550</v>
      </c>
      <c r="M1640">
        <v>550</v>
      </c>
      <c r="N1640">
        <v>0</v>
      </c>
    </row>
    <row r="1641" spans="1:14" x14ac:dyDescent="0.25">
      <c r="A1641">
        <v>1795.4744889999999</v>
      </c>
      <c r="B1641" s="1">
        <f>DATE(2015,3,31) + TIME(11,23,15)</f>
        <v>42094.474479166667</v>
      </c>
      <c r="C1641">
        <v>80</v>
      </c>
      <c r="D1641">
        <v>63.734340668000002</v>
      </c>
      <c r="E1641">
        <v>50</v>
      </c>
      <c r="F1641">
        <v>49.964992522999999</v>
      </c>
      <c r="G1641">
        <v>1329.6760254000001</v>
      </c>
      <c r="H1641">
        <v>1329.1328125</v>
      </c>
      <c r="I1641">
        <v>1332.8144531</v>
      </c>
      <c r="J1641">
        <v>1331.9796143000001</v>
      </c>
      <c r="K1641">
        <v>0</v>
      </c>
      <c r="L1641">
        <v>550</v>
      </c>
      <c r="M1641">
        <v>550</v>
      </c>
      <c r="N1641">
        <v>0</v>
      </c>
    </row>
    <row r="1642" spans="1:14" x14ac:dyDescent="0.25">
      <c r="A1642">
        <v>1796</v>
      </c>
      <c r="B1642" s="1">
        <f>DATE(2015,4,1) + TIME(0,0,0)</f>
        <v>42095</v>
      </c>
      <c r="C1642">
        <v>80</v>
      </c>
      <c r="D1642">
        <v>63.572387695000003</v>
      </c>
      <c r="E1642">
        <v>50</v>
      </c>
      <c r="F1642">
        <v>49.964973450000002</v>
      </c>
      <c r="G1642">
        <v>1329.6560059000001</v>
      </c>
      <c r="H1642">
        <v>1329.1097411999999</v>
      </c>
      <c r="I1642">
        <v>1332.8146973</v>
      </c>
      <c r="J1642">
        <v>1331.9808350000001</v>
      </c>
      <c r="K1642">
        <v>0</v>
      </c>
      <c r="L1642">
        <v>550</v>
      </c>
      <c r="M1642">
        <v>550</v>
      </c>
      <c r="N1642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2022-06-27T12:51:21Z</dcterms:created>
  <dcterms:modified xsi:type="dcterms:W3CDTF">2022-06-27T12:51:59Z</dcterms:modified>
</cp:coreProperties>
</file>