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EC41459B-339A-4ED4-9C28-669D15068D14}" xr6:coauthVersionLast="47" xr6:coauthVersionMax="47" xr10:uidLastSave="{00000000-0000-0000-0000-000000000000}"/>
  <bookViews>
    <workbookView xWindow="-28920" yWindow="-120" windowWidth="29040" windowHeight="15840" xr2:uid="{3BB90BC1-3144-4ABA-80E1-6E018BB9107C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82" i="1" l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<sst xmlns="http://schemas.openxmlformats.org/spreadsheetml/2006/main" count="15" uniqueCount="15">
  <si>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MODEL\SCENARIOS\2022\Parameterstudy_perm_storV_dT\perm100_V600_dt30.sr3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</si>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</sst>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AF29E-D7C1-455C-8397-594BE025E3FB}" name="Table1" displayName="Table1" ref="A3:N2282" totalsRowShown="0">
  <autoFilter ref="A3:N2282" xr:uid="{A1EAF29E-D7C1-455C-8397-594BE025E3FB}"/>
  <tableColumns count="14">
    <tableColumn id="1" xr3:uid="{D4144375-1895-42D1-96C2-0AD6006C82FD}" name="Time (day)"/>
    <tableColumn id="2" xr3:uid="{AD964AF2-CC67-4F63-8B20-93DB741BEC27}" name="Date" dataDxfId="0"/>
    <tableColumn id="3" xr3:uid="{14945696-94B4-4411-8F81-12F1228AA837}" name="Hot well INJ-Well bottom hole temperature (C)"/>
    <tableColumn id="4" xr3:uid="{F89FFBF7-F82D-4C63-8B98-CB27FF690327}" name="Hot well PROD-Well bottom hole temperature (C)"/>
    <tableColumn id="5" xr3:uid="{3C9A2969-81B3-4D6A-8576-2CDCFF8F7DE7}" name="Warm well INJ-Well bottom hole temperature (C)"/>
    <tableColumn id="6" xr3:uid="{C4223C3B-8579-4EC9-9A53-CFF4FCECB587}" name="Warm well PROD-Well bottom hole temperature (C)"/>
    <tableColumn id="7" xr3:uid="{0A3122C7-2E11-421C-B196-5B8630C0E7BD}" name="Hot well INJ-Well Bottom-hole Pressure (kPa)"/>
    <tableColumn id="8" xr3:uid="{0C2CA77C-6ACE-45C6-9A6F-A7ED812ED40C}" name="Hot well PROD-Well Bottom-hole Pressure (kPa)"/>
    <tableColumn id="9" xr3:uid="{F7953E56-2564-4305-8965-0B64317E1492}" name="Warm well INJ-Well Bottom-hole Pressure (kPa)"/>
    <tableColumn id="10" xr3:uid="{F7D909DB-97DB-4F67-AC1F-EF2EAE0892EB}" name="Warm well PROD-Well Bottom-hole Pressure (kPa)"/>
    <tableColumn id="11" xr3:uid="{97036FD7-5CBF-4FA0-9EF8-11087B8856BE}" name="Hot well INJ-Fluid Rate SC (m³/day)"/>
    <tableColumn id="12" xr3:uid="{70F6F27C-B9EB-4521-92F3-2C867D8F1362}" name="Hot well PROD-Fluid Rate SC (m³/day)"/>
    <tableColumn id="13" xr3:uid="{A9CC1B24-05F7-460C-8E52-524161790DE4}" name="Warm well INJ-Fluid Rate SC (m³/day)"/>
    <tableColumn id="14" xr3:uid="{5668948E-06BF-48C7-86E9-A09539B12F3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C725-0C38-4AE2-8959-A1E3120FDBEF}">
  <dimension ref="A1:N228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15.000077248</v>
      </c>
      <c r="E4">
        <v>50</v>
      </c>
      <c r="F4">
        <v>14.999973297</v>
      </c>
      <c r="G4">
        <v>1332.3775635</v>
      </c>
      <c r="H4">
        <v>1329.6672363</v>
      </c>
      <c r="I4">
        <v>1329.1531981999999</v>
      </c>
      <c r="J4">
        <v>1326.4421387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15.00028038</v>
      </c>
      <c r="E5">
        <v>50</v>
      </c>
      <c r="F5">
        <v>14.999920845</v>
      </c>
      <c r="G5">
        <v>1332.8894043</v>
      </c>
      <c r="H5">
        <v>1330.1789550999999</v>
      </c>
      <c r="I5">
        <v>1328.6435547000001</v>
      </c>
      <c r="J5">
        <v>1325.9326172000001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15.000809669000001</v>
      </c>
      <c r="E6">
        <v>50</v>
      </c>
      <c r="F6">
        <v>14.999846458</v>
      </c>
      <c r="G6">
        <v>1333.6195068</v>
      </c>
      <c r="H6">
        <v>1330.9090576000001</v>
      </c>
      <c r="I6">
        <v>1327.9165039</v>
      </c>
      <c r="J6">
        <v>1325.2055664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15.002252579</v>
      </c>
      <c r="E7">
        <v>50</v>
      </c>
      <c r="F7">
        <v>14.999765396000001</v>
      </c>
      <c r="G7">
        <v>1334.4129639</v>
      </c>
      <c r="H7">
        <v>1331.7026367000001</v>
      </c>
      <c r="I7">
        <v>1327.1263428</v>
      </c>
      <c r="J7">
        <v>1324.4155272999999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15.006416321</v>
      </c>
      <c r="E8">
        <v>50</v>
      </c>
      <c r="F8">
        <v>14.999684333999999</v>
      </c>
      <c r="G8">
        <v>1335.197876</v>
      </c>
      <c r="H8">
        <v>1332.487793</v>
      </c>
      <c r="I8">
        <v>1326.3444824000001</v>
      </c>
      <c r="J8">
        <v>1323.6336670000001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15.018744469</v>
      </c>
      <c r="E9">
        <v>50</v>
      </c>
      <c r="F9">
        <v>14.999606133</v>
      </c>
      <c r="G9">
        <v>1335.9666748</v>
      </c>
      <c r="H9">
        <v>1333.2574463000001</v>
      </c>
      <c r="I9">
        <v>1325.5777588000001</v>
      </c>
      <c r="J9">
        <v>1322.8670654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15.055542945999999</v>
      </c>
      <c r="E10">
        <v>50</v>
      </c>
      <c r="F10">
        <v>14.999534606999999</v>
      </c>
      <c r="G10">
        <v>1336.6585693</v>
      </c>
      <c r="H10">
        <v>1333.9517822</v>
      </c>
      <c r="I10">
        <v>1324.8858643000001</v>
      </c>
      <c r="J10">
        <v>1322.1750488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15.165616034999999</v>
      </c>
      <c r="E11">
        <v>50</v>
      </c>
      <c r="F11">
        <v>14.999485016</v>
      </c>
      <c r="G11">
        <v>1337.1425781</v>
      </c>
      <c r="H11">
        <v>1334.4432373</v>
      </c>
      <c r="I11">
        <v>1324.3969727000001</v>
      </c>
      <c r="J11">
        <v>1321.6862793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15.494289397999999</v>
      </c>
      <c r="E12">
        <v>50</v>
      </c>
      <c r="F12">
        <v>14.999462127999999</v>
      </c>
      <c r="G12">
        <v>1337.3623047000001</v>
      </c>
      <c r="H12">
        <v>1334.6846923999999</v>
      </c>
      <c r="I12">
        <v>1324.1645507999999</v>
      </c>
      <c r="J12">
        <v>1321.4538574000001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16.468711852999999</v>
      </c>
      <c r="E13">
        <v>50</v>
      </c>
      <c r="F13">
        <v>14.999459267000001</v>
      </c>
      <c r="G13">
        <v>1337.3540039</v>
      </c>
      <c r="H13">
        <v>1334.7391356999999</v>
      </c>
      <c r="I13">
        <v>1324.1098632999999</v>
      </c>
      <c r="J13">
        <v>1321.3991699000001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4.9723999999999997E-2</v>
      </c>
      <c r="B14" s="1">
        <f>DATE(2010,5,1) + TIME(1,11,36)</f>
        <v>40299.049722222226</v>
      </c>
      <c r="C14">
        <v>80</v>
      </c>
      <c r="D14">
        <v>17.460525513</v>
      </c>
      <c r="E14">
        <v>50</v>
      </c>
      <c r="F14">
        <v>14.999461174</v>
      </c>
      <c r="G14">
        <v>1337.3026123</v>
      </c>
      <c r="H14">
        <v>1334.7390137</v>
      </c>
      <c r="I14">
        <v>1324.1069336</v>
      </c>
      <c r="J14">
        <v>1321.3961182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7.009E-2</v>
      </c>
      <c r="B15" s="1">
        <f>DATE(2010,5,1) + TIME(1,40,55)</f>
        <v>40299.070081018515</v>
      </c>
      <c r="C15">
        <v>80</v>
      </c>
      <c r="D15">
        <v>18.452850342000001</v>
      </c>
      <c r="E15">
        <v>50</v>
      </c>
      <c r="F15">
        <v>14.999463081</v>
      </c>
      <c r="G15">
        <v>1337.2482910000001</v>
      </c>
      <c r="H15">
        <v>1334.7324219</v>
      </c>
      <c r="I15">
        <v>1324.1076660000001</v>
      </c>
      <c r="J15">
        <v>1321.3968506000001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9.0614E-2</v>
      </c>
      <c r="B16" s="1">
        <f>DATE(2010,5,1) + TIME(2,10,29)</f>
        <v>40299.090613425928</v>
      </c>
      <c r="C16">
        <v>80</v>
      </c>
      <c r="D16">
        <v>19.445428847999999</v>
      </c>
      <c r="E16">
        <v>50</v>
      </c>
      <c r="F16">
        <v>14.999465942</v>
      </c>
      <c r="G16">
        <v>1337.1986084</v>
      </c>
      <c r="H16">
        <v>1334.7270507999999</v>
      </c>
      <c r="I16">
        <v>1324.1083983999999</v>
      </c>
      <c r="J16">
        <v>1321.3974608999999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0.111291</v>
      </c>
      <c r="B17" s="1">
        <f>DATE(2010,5,1) + TIME(2,40,15)</f>
        <v>40299.111284722225</v>
      </c>
      <c r="C17">
        <v>80</v>
      </c>
      <c r="D17">
        <v>20.438629150000001</v>
      </c>
      <c r="E17">
        <v>50</v>
      </c>
      <c r="F17">
        <v>14.99946785</v>
      </c>
      <c r="G17">
        <v>1337.1545410000001</v>
      </c>
      <c r="H17">
        <v>1334.7244873</v>
      </c>
      <c r="I17">
        <v>1324.1088867000001</v>
      </c>
      <c r="J17">
        <v>1321.3979492000001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0.13211000000000001</v>
      </c>
      <c r="B18" s="1">
        <f>DATE(2010,5,1) + TIME(3,10,14)</f>
        <v>40299.132106481484</v>
      </c>
      <c r="C18">
        <v>80</v>
      </c>
      <c r="D18">
        <v>21.432165145999999</v>
      </c>
      <c r="E18">
        <v>50</v>
      </c>
      <c r="F18">
        <v>14.999470711000001</v>
      </c>
      <c r="G18">
        <v>1337.1162108999999</v>
      </c>
      <c r="H18">
        <v>1334.7246094</v>
      </c>
      <c r="I18">
        <v>1324.109375</v>
      </c>
      <c r="J18">
        <v>1321.3983154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0.15306500000000001</v>
      </c>
      <c r="B19" s="1">
        <f>DATE(2010,5,1) + TIME(3,40,24)</f>
        <v>40299.153055555558</v>
      </c>
      <c r="C19">
        <v>80</v>
      </c>
      <c r="D19">
        <v>22.425409317</v>
      </c>
      <c r="E19">
        <v>50</v>
      </c>
      <c r="F19">
        <v>14.999472618</v>
      </c>
      <c r="G19">
        <v>1337.0832519999999</v>
      </c>
      <c r="H19">
        <v>1334.7274170000001</v>
      </c>
      <c r="I19">
        <v>1324.1098632999999</v>
      </c>
      <c r="J19">
        <v>1321.3986815999999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0.17416200000000001</v>
      </c>
      <c r="B20" s="1">
        <f>DATE(2010,5,1) + TIME(4,10,47)</f>
        <v>40299.174155092594</v>
      </c>
      <c r="C20">
        <v>80</v>
      </c>
      <c r="D20">
        <v>23.418809890999999</v>
      </c>
      <c r="E20">
        <v>50</v>
      </c>
      <c r="F20">
        <v>14.999474525</v>
      </c>
      <c r="G20">
        <v>1337.0554199000001</v>
      </c>
      <c r="H20">
        <v>1334.7327881000001</v>
      </c>
      <c r="I20">
        <v>1324.1103516000001</v>
      </c>
      <c r="J20">
        <v>1321.3990478999999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0.19539899999999999</v>
      </c>
      <c r="B21" s="1">
        <f>DATE(2010,5,1) + TIME(4,41,22)</f>
        <v>40299.195393518516</v>
      </c>
      <c r="C21">
        <v>80</v>
      </c>
      <c r="D21">
        <v>24.412342072000001</v>
      </c>
      <c r="E21">
        <v>50</v>
      </c>
      <c r="F21">
        <v>14.999477386000001</v>
      </c>
      <c r="G21">
        <v>1337.0324707</v>
      </c>
      <c r="H21">
        <v>1334.7407227000001</v>
      </c>
      <c r="I21">
        <v>1324.1108397999999</v>
      </c>
      <c r="J21">
        <v>1321.3992920000001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0.21677399999999999</v>
      </c>
      <c r="B22" s="1">
        <f>DATE(2010,5,1) + TIME(5,12,9)</f>
        <v>40299.216770833336</v>
      </c>
      <c r="C22">
        <v>80</v>
      </c>
      <c r="D22">
        <v>25.40625</v>
      </c>
      <c r="E22">
        <v>50</v>
      </c>
      <c r="F22">
        <v>14.999479294</v>
      </c>
      <c r="G22">
        <v>1337.0141602000001</v>
      </c>
      <c r="H22">
        <v>1334.7510986</v>
      </c>
      <c r="I22">
        <v>1324.1112060999999</v>
      </c>
      <c r="J22">
        <v>1321.3996582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0.23827999999999999</v>
      </c>
      <c r="B23" s="1">
        <f>DATE(2010,5,1) + TIME(5,43,7)</f>
        <v>40299.238275462965</v>
      </c>
      <c r="C23">
        <v>80</v>
      </c>
      <c r="D23">
        <v>26.400363922</v>
      </c>
      <c r="E23">
        <v>50</v>
      </c>
      <c r="F23">
        <v>14.999481201</v>
      </c>
      <c r="G23">
        <v>1337.0002440999999</v>
      </c>
      <c r="H23">
        <v>1334.7637939000001</v>
      </c>
      <c r="I23">
        <v>1324.1116943</v>
      </c>
      <c r="J23">
        <v>1321.3999022999999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0.25991399999999998</v>
      </c>
      <c r="B24" s="1">
        <f>DATE(2010,5,1) + TIME(6,14,16)</f>
        <v>40299.25990740741</v>
      </c>
      <c r="C24">
        <v>80</v>
      </c>
      <c r="D24">
        <v>27.394132614</v>
      </c>
      <c r="E24">
        <v>50</v>
      </c>
      <c r="F24">
        <v>14.999484062000001</v>
      </c>
      <c r="G24">
        <v>1336.9904785000001</v>
      </c>
      <c r="H24">
        <v>1334.7785644999999</v>
      </c>
      <c r="I24">
        <v>1324.1120605000001</v>
      </c>
      <c r="J24">
        <v>1321.4001464999999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0.28168300000000002</v>
      </c>
      <c r="B25" s="1">
        <f>DATE(2010,5,1) + TIME(6,45,37)</f>
        <v>40299.281678240739</v>
      </c>
      <c r="C25">
        <v>80</v>
      </c>
      <c r="D25">
        <v>28.387901306</v>
      </c>
      <c r="E25">
        <v>50</v>
      </c>
      <c r="F25">
        <v>14.99948597</v>
      </c>
      <c r="G25">
        <v>1336.9846190999999</v>
      </c>
      <c r="H25">
        <v>1334.7955322</v>
      </c>
      <c r="I25">
        <v>1324.1124268000001</v>
      </c>
      <c r="J25">
        <v>1321.4003906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0.303589</v>
      </c>
      <c r="B26" s="1">
        <f>DATE(2010,5,1) + TIME(7,17,10)</f>
        <v>40299.303587962961</v>
      </c>
      <c r="C26">
        <v>80</v>
      </c>
      <c r="D26">
        <v>29.381639481000001</v>
      </c>
      <c r="E26">
        <v>50</v>
      </c>
      <c r="F26">
        <v>14.999487877</v>
      </c>
      <c r="G26">
        <v>1336.9825439000001</v>
      </c>
      <c r="H26">
        <v>1334.8144531</v>
      </c>
      <c r="I26">
        <v>1324.112793</v>
      </c>
      <c r="J26">
        <v>1321.4006348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0.32563300000000001</v>
      </c>
      <c r="B27" s="1">
        <f>DATE(2010,5,1) + TIME(7,48,54)</f>
        <v>40299.325624999998</v>
      </c>
      <c r="C27">
        <v>80</v>
      </c>
      <c r="D27">
        <v>30.375396728999998</v>
      </c>
      <c r="E27">
        <v>50</v>
      </c>
      <c r="F27">
        <v>14.999490738</v>
      </c>
      <c r="G27">
        <v>1336.9838867000001</v>
      </c>
      <c r="H27">
        <v>1334.8353271000001</v>
      </c>
      <c r="I27">
        <v>1324.1132812000001</v>
      </c>
      <c r="J27">
        <v>1321.4008789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0.34781499999999999</v>
      </c>
      <c r="B28" s="1">
        <f>DATE(2010,5,1) + TIME(8,20,51)</f>
        <v>40299.347812499997</v>
      </c>
      <c r="C28">
        <v>80</v>
      </c>
      <c r="D28">
        <v>31.369110107000001</v>
      </c>
      <c r="E28">
        <v>50</v>
      </c>
      <c r="F28">
        <v>14.999492645</v>
      </c>
      <c r="G28">
        <v>1336.9885254000001</v>
      </c>
      <c r="H28">
        <v>1334.8579102000001</v>
      </c>
      <c r="I28">
        <v>1324.1136475000001</v>
      </c>
      <c r="J28">
        <v>1321.4011230000001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0.37013800000000002</v>
      </c>
      <c r="B29" s="1">
        <f>DATE(2010,5,1) + TIME(8,52,59)</f>
        <v>40299.370127314818</v>
      </c>
      <c r="C29">
        <v>80</v>
      </c>
      <c r="D29">
        <v>32.362552643000001</v>
      </c>
      <c r="E29">
        <v>50</v>
      </c>
      <c r="F29">
        <v>14.999494553</v>
      </c>
      <c r="G29">
        <v>1336.9963379000001</v>
      </c>
      <c r="H29">
        <v>1334.8822021000001</v>
      </c>
      <c r="I29">
        <v>1324.1140137</v>
      </c>
      <c r="J29">
        <v>1321.4013672000001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0.39260800000000001</v>
      </c>
      <c r="B30" s="1">
        <f>DATE(2010,5,1) + TIME(9,25,21)</f>
        <v>40299.392604166664</v>
      </c>
      <c r="C30">
        <v>80</v>
      </c>
      <c r="D30">
        <v>33.355815886999999</v>
      </c>
      <c r="E30">
        <v>50</v>
      </c>
      <c r="F30">
        <v>14.99949646</v>
      </c>
      <c r="G30">
        <v>1337.0072021000001</v>
      </c>
      <c r="H30">
        <v>1334.9082031</v>
      </c>
      <c r="I30">
        <v>1324.1143798999999</v>
      </c>
      <c r="J30">
        <v>1321.4014893000001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0.41522999999999999</v>
      </c>
      <c r="B31" s="1">
        <f>DATE(2010,5,1) + TIME(9,57,55)</f>
        <v>40299.415219907409</v>
      </c>
      <c r="C31">
        <v>80</v>
      </c>
      <c r="D31">
        <v>34.348865508999999</v>
      </c>
      <c r="E31">
        <v>50</v>
      </c>
      <c r="F31">
        <v>14.999499321</v>
      </c>
      <c r="G31">
        <v>1337.0207519999999</v>
      </c>
      <c r="H31">
        <v>1334.9357910000001</v>
      </c>
      <c r="I31">
        <v>1324.1147461</v>
      </c>
      <c r="J31">
        <v>1321.4017334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0.43801099999999998</v>
      </c>
      <c r="B32" s="1">
        <f>DATE(2010,5,1) + TIME(10,30,44)</f>
        <v>40299.438009259262</v>
      </c>
      <c r="C32">
        <v>80</v>
      </c>
      <c r="D32">
        <v>35.341667174999998</v>
      </c>
      <c r="E32">
        <v>50</v>
      </c>
      <c r="F32">
        <v>14.999501228</v>
      </c>
      <c r="G32">
        <v>1337.0369873</v>
      </c>
      <c r="H32">
        <v>1334.9647216999999</v>
      </c>
      <c r="I32">
        <v>1324.1151123</v>
      </c>
      <c r="J32">
        <v>1321.4018555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0.46095700000000001</v>
      </c>
      <c r="B33" s="1">
        <f>DATE(2010,5,1) + TIME(11,3,46)</f>
        <v>40299.460949074077</v>
      </c>
      <c r="C33">
        <v>80</v>
      </c>
      <c r="D33">
        <v>36.334178925000003</v>
      </c>
      <c r="E33">
        <v>50</v>
      </c>
      <c r="F33">
        <v>14.999503136</v>
      </c>
      <c r="G33">
        <v>1337.0557861</v>
      </c>
      <c r="H33">
        <v>1334.9952393000001</v>
      </c>
      <c r="I33">
        <v>1324.1154785000001</v>
      </c>
      <c r="J33">
        <v>1321.4020995999999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0.48407600000000001</v>
      </c>
      <c r="B34" s="1">
        <f>DATE(2010,5,1) + TIME(11,37,4)</f>
        <v>40299.484074074076</v>
      </c>
      <c r="C34">
        <v>80</v>
      </c>
      <c r="D34">
        <v>37.326362609999997</v>
      </c>
      <c r="E34">
        <v>50</v>
      </c>
      <c r="F34">
        <v>14.999505042999999</v>
      </c>
      <c r="G34">
        <v>1337.0767822</v>
      </c>
      <c r="H34">
        <v>1335.0268555</v>
      </c>
      <c r="I34">
        <v>1324.1157227000001</v>
      </c>
      <c r="J34">
        <v>1321.4022216999999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0.50737699999999997</v>
      </c>
      <c r="B35" s="1">
        <f>DATE(2010,5,1) + TIME(12,10,37)</f>
        <v>40299.507372685184</v>
      </c>
      <c r="C35">
        <v>80</v>
      </c>
      <c r="D35">
        <v>38.318183898999997</v>
      </c>
      <c r="E35">
        <v>50</v>
      </c>
      <c r="F35">
        <v>14.999506950000001</v>
      </c>
      <c r="G35">
        <v>1337.1000977000001</v>
      </c>
      <c r="H35">
        <v>1335.0599365</v>
      </c>
      <c r="I35">
        <v>1324.1160889</v>
      </c>
      <c r="J35">
        <v>1321.4023437999999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0.53087099999999998</v>
      </c>
      <c r="B36" s="1">
        <f>DATE(2010,5,1) + TIME(12,44,27)</f>
        <v>40299.530868055554</v>
      </c>
      <c r="C36">
        <v>80</v>
      </c>
      <c r="D36">
        <v>39.309597015000001</v>
      </c>
      <c r="E36">
        <v>50</v>
      </c>
      <c r="F36">
        <v>14.999508858</v>
      </c>
      <c r="G36">
        <v>1337.1256103999999</v>
      </c>
      <c r="H36">
        <v>1335.0941161999999</v>
      </c>
      <c r="I36">
        <v>1324.1164550999999</v>
      </c>
      <c r="J36">
        <v>1321.4024658000001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0.55456799999999995</v>
      </c>
      <c r="B37" s="1">
        <f>DATE(2010,5,1) + TIME(13,18,34)</f>
        <v>40299.554560185185</v>
      </c>
      <c r="C37">
        <v>80</v>
      </c>
      <c r="D37">
        <v>40.300636292</v>
      </c>
      <c r="E37">
        <v>50</v>
      </c>
      <c r="F37">
        <v>14.999511718999999</v>
      </c>
      <c r="G37">
        <v>1337.1530762</v>
      </c>
      <c r="H37">
        <v>1335.1293945</v>
      </c>
      <c r="I37">
        <v>1324.1168213000001</v>
      </c>
      <c r="J37">
        <v>1321.4025879000001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0.57847899999999997</v>
      </c>
      <c r="B38" s="1">
        <f>DATE(2010,5,1) + TIME(13,53,0)</f>
        <v>40299.578472222223</v>
      </c>
      <c r="C38">
        <v>80</v>
      </c>
      <c r="D38">
        <v>41.291282654</v>
      </c>
      <c r="E38">
        <v>50</v>
      </c>
      <c r="F38">
        <v>14.999513626000001</v>
      </c>
      <c r="G38">
        <v>1337.1823730000001</v>
      </c>
      <c r="H38">
        <v>1335.1657714999999</v>
      </c>
      <c r="I38">
        <v>1324.1170654</v>
      </c>
      <c r="J38">
        <v>1321.4027100000001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0.60261500000000001</v>
      </c>
      <c r="B39" s="1">
        <f>DATE(2010,5,1) + TIME(14,27,45)</f>
        <v>40299.60260416667</v>
      </c>
      <c r="C39">
        <v>80</v>
      </c>
      <c r="D39">
        <v>42.28125</v>
      </c>
      <c r="E39">
        <v>50</v>
      </c>
      <c r="F39">
        <v>14.999515533</v>
      </c>
      <c r="G39">
        <v>1337.213501</v>
      </c>
      <c r="H39">
        <v>1335.2032471</v>
      </c>
      <c r="I39">
        <v>1324.1174315999999</v>
      </c>
      <c r="J39">
        <v>1321.402832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0.62699700000000003</v>
      </c>
      <c r="B40" s="1">
        <f>DATE(2010,5,1) + TIME(15,2,52)</f>
        <v>40299.62699074074</v>
      </c>
      <c r="C40">
        <v>80</v>
      </c>
      <c r="D40">
        <v>43.270641327</v>
      </c>
      <c r="E40">
        <v>50</v>
      </c>
      <c r="F40">
        <v>14.999517441</v>
      </c>
      <c r="G40">
        <v>1337.2463379000001</v>
      </c>
      <c r="H40">
        <v>1335.2415771000001</v>
      </c>
      <c r="I40">
        <v>1324.1177978999999</v>
      </c>
      <c r="J40">
        <v>1321.4029541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0.65164</v>
      </c>
      <c r="B41" s="1">
        <f>DATE(2010,5,1) + TIME(15,38,21)</f>
        <v>40299.651631944442</v>
      </c>
      <c r="C41">
        <v>80</v>
      </c>
      <c r="D41">
        <v>44.259418488000001</v>
      </c>
      <c r="E41">
        <v>50</v>
      </c>
      <c r="F41">
        <v>14.999519348</v>
      </c>
      <c r="G41">
        <v>1337.2807617000001</v>
      </c>
      <c r="H41">
        <v>1335.2808838000001</v>
      </c>
      <c r="I41">
        <v>1324.1181641000001</v>
      </c>
      <c r="J41">
        <v>1321.4030762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0.676562</v>
      </c>
      <c r="B42" s="1">
        <f>DATE(2010,5,1) + TIME(16,14,14)</f>
        <v>40299.676550925928</v>
      </c>
      <c r="C42">
        <v>80</v>
      </c>
      <c r="D42">
        <v>45.247528076000002</v>
      </c>
      <c r="E42">
        <v>50</v>
      </c>
      <c r="F42">
        <v>14.999521254999999</v>
      </c>
      <c r="G42">
        <v>1337.3167725000001</v>
      </c>
      <c r="H42">
        <v>1335.3210449000001</v>
      </c>
      <c r="I42">
        <v>1324.1184082</v>
      </c>
      <c r="J42">
        <v>1321.4031981999999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0.70178499999999999</v>
      </c>
      <c r="B43" s="1">
        <f>DATE(2010,5,1) + TIME(16,50,34)</f>
        <v>40299.701782407406</v>
      </c>
      <c r="C43">
        <v>80</v>
      </c>
      <c r="D43">
        <v>46.234924315999997</v>
      </c>
      <c r="E43">
        <v>50</v>
      </c>
      <c r="F43">
        <v>14.999523162999999</v>
      </c>
      <c r="G43">
        <v>1337.354126</v>
      </c>
      <c r="H43">
        <v>1335.3620605000001</v>
      </c>
      <c r="I43">
        <v>1324.1187743999999</v>
      </c>
      <c r="J43">
        <v>1321.4031981999999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0.727329</v>
      </c>
      <c r="B44" s="1">
        <f>DATE(2010,5,1) + TIME(17,27,21)</f>
        <v>40299.727326388886</v>
      </c>
      <c r="C44">
        <v>80</v>
      </c>
      <c r="D44">
        <v>47.221553802000003</v>
      </c>
      <c r="E44">
        <v>50</v>
      </c>
      <c r="F44">
        <v>14.999525070000001</v>
      </c>
      <c r="G44">
        <v>1337.3929443</v>
      </c>
      <c r="H44">
        <v>1335.4038086</v>
      </c>
      <c r="I44">
        <v>1324.1190185999999</v>
      </c>
      <c r="J44">
        <v>1321.4033202999999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0.75322</v>
      </c>
      <c r="B45" s="1">
        <f>DATE(2010,5,1) + TIME(18,4,38)</f>
        <v>40299.753217592595</v>
      </c>
      <c r="C45">
        <v>80</v>
      </c>
      <c r="D45">
        <v>48.207366942999997</v>
      </c>
      <c r="E45">
        <v>50</v>
      </c>
      <c r="F45">
        <v>14.999526978</v>
      </c>
      <c r="G45">
        <v>1337.4331055</v>
      </c>
      <c r="H45">
        <v>1335.4464111</v>
      </c>
      <c r="I45">
        <v>1324.1193848</v>
      </c>
      <c r="J45">
        <v>1321.4034423999999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0.77948300000000004</v>
      </c>
      <c r="B46" s="1">
        <f>DATE(2010,5,1) + TIME(18,42,27)</f>
        <v>40299.779479166667</v>
      </c>
      <c r="C46">
        <v>80</v>
      </c>
      <c r="D46">
        <v>49.192302703999999</v>
      </c>
      <c r="E46">
        <v>50</v>
      </c>
      <c r="F46">
        <v>14.999528885</v>
      </c>
      <c r="G46">
        <v>1337.4744873</v>
      </c>
      <c r="H46">
        <v>1335.489624</v>
      </c>
      <c r="I46">
        <v>1324.119751</v>
      </c>
      <c r="J46">
        <v>1321.4035644999999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0.80614799999999998</v>
      </c>
      <c r="B47" s="1">
        <f>DATE(2010,5,1) + TIME(19,20,51)</f>
        <v>40299.806145833332</v>
      </c>
      <c r="C47">
        <v>80</v>
      </c>
      <c r="D47">
        <v>50.176212311</v>
      </c>
      <c r="E47">
        <v>50</v>
      </c>
      <c r="F47">
        <v>14.999530792</v>
      </c>
      <c r="G47">
        <v>1337.5170897999999</v>
      </c>
      <c r="H47">
        <v>1335.5335693</v>
      </c>
      <c r="I47">
        <v>1324.1199951000001</v>
      </c>
      <c r="J47">
        <v>1321.4035644999999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0.83324900000000002</v>
      </c>
      <c r="B48" s="1">
        <f>DATE(2010,5,1) + TIME(19,59,52)</f>
        <v>40299.833240740743</v>
      </c>
      <c r="C48">
        <v>80</v>
      </c>
      <c r="D48">
        <v>51.158805846999996</v>
      </c>
      <c r="E48">
        <v>50</v>
      </c>
      <c r="F48">
        <v>14.9995327</v>
      </c>
      <c r="G48">
        <v>1337.5609131000001</v>
      </c>
      <c r="H48">
        <v>1335.578125</v>
      </c>
      <c r="I48">
        <v>1324.1203613</v>
      </c>
      <c r="J48">
        <v>1321.4036865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0.86082999999999998</v>
      </c>
      <c r="B49" s="1">
        <f>DATE(2010,5,1) + TIME(20,39,35)</f>
        <v>40299.860821759263</v>
      </c>
      <c r="C49">
        <v>80</v>
      </c>
      <c r="D49">
        <v>52.140682220000002</v>
      </c>
      <c r="E49">
        <v>50</v>
      </c>
      <c r="F49">
        <v>14.999534606999999</v>
      </c>
      <c r="G49">
        <v>1337.6058350000001</v>
      </c>
      <c r="H49">
        <v>1335.6232910000001</v>
      </c>
      <c r="I49">
        <v>1324.1206055</v>
      </c>
      <c r="J49">
        <v>1321.4036865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0.88892000000000004</v>
      </c>
      <c r="B50" s="1">
        <f>DATE(2010,5,1) + TIME(21,20,2)</f>
        <v>40299.888912037037</v>
      </c>
      <c r="C50">
        <v>80</v>
      </c>
      <c r="D50">
        <v>53.121402740000001</v>
      </c>
      <c r="E50">
        <v>50</v>
      </c>
      <c r="F50">
        <v>14.999536514000001</v>
      </c>
      <c r="G50">
        <v>1337.6518555</v>
      </c>
      <c r="H50">
        <v>1335.6690673999999</v>
      </c>
      <c r="I50">
        <v>1324.1209716999999</v>
      </c>
      <c r="J50">
        <v>1321.4038086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0.91756199999999999</v>
      </c>
      <c r="B51" s="1">
        <f>DATE(2010,5,1) + TIME(22,1,17)</f>
        <v>40299.917557870373</v>
      </c>
      <c r="C51">
        <v>80</v>
      </c>
      <c r="D51">
        <v>54.100883484000001</v>
      </c>
      <c r="E51">
        <v>50</v>
      </c>
      <c r="F51">
        <v>14.999538422000001</v>
      </c>
      <c r="G51">
        <v>1337.6988524999999</v>
      </c>
      <c r="H51">
        <v>1335.715332</v>
      </c>
      <c r="I51">
        <v>1324.1213379000001</v>
      </c>
      <c r="J51">
        <v>1321.4038086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0.94680500000000001</v>
      </c>
      <c r="B52" s="1">
        <f>DATE(2010,5,1) + TIME(22,43,23)</f>
        <v>40299.946793981479</v>
      </c>
      <c r="C52">
        <v>80</v>
      </c>
      <c r="D52">
        <v>55.079029083000002</v>
      </c>
      <c r="E52">
        <v>50</v>
      </c>
      <c r="F52">
        <v>14.999541282999999</v>
      </c>
      <c r="G52">
        <v>1337.7469481999999</v>
      </c>
      <c r="H52">
        <v>1335.762207</v>
      </c>
      <c r="I52">
        <v>1324.121582</v>
      </c>
      <c r="J52">
        <v>1321.4039307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0.97670100000000004</v>
      </c>
      <c r="B53" s="1">
        <f>DATE(2010,5,1) + TIME(23,26,26)</f>
        <v>40299.976689814815</v>
      </c>
      <c r="C53">
        <v>80</v>
      </c>
      <c r="D53">
        <v>56.055736541999998</v>
      </c>
      <c r="E53">
        <v>50</v>
      </c>
      <c r="F53">
        <v>14.999543190000001</v>
      </c>
      <c r="G53">
        <v>1337.7960204999999</v>
      </c>
      <c r="H53">
        <v>1335.8095702999999</v>
      </c>
      <c r="I53">
        <v>1324.1219481999999</v>
      </c>
      <c r="J53">
        <v>1321.4040527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1.007309</v>
      </c>
      <c r="B54" s="1">
        <f>DATE(2010,5,2) + TIME(0,10,31)</f>
        <v>40300.007303240738</v>
      </c>
      <c r="C54">
        <v>80</v>
      </c>
      <c r="D54">
        <v>57.030891418000003</v>
      </c>
      <c r="E54">
        <v>50</v>
      </c>
      <c r="F54">
        <v>14.999545097</v>
      </c>
      <c r="G54">
        <v>1337.8460693</v>
      </c>
      <c r="H54">
        <v>1335.8575439000001</v>
      </c>
      <c r="I54">
        <v>1324.1223144999999</v>
      </c>
      <c r="J54">
        <v>1321.4040527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1.0386979999999999</v>
      </c>
      <c r="B55" s="1">
        <f>DATE(2010,5,2) + TIME(0,55,43)</f>
        <v>40300.03869212963</v>
      </c>
      <c r="C55">
        <v>80</v>
      </c>
      <c r="D55">
        <v>58.004371642999999</v>
      </c>
      <c r="E55">
        <v>50</v>
      </c>
      <c r="F55">
        <v>14.999547005</v>
      </c>
      <c r="G55">
        <v>1337.8970947</v>
      </c>
      <c r="H55">
        <v>1335.9058838000001</v>
      </c>
      <c r="I55">
        <v>1324.1225586</v>
      </c>
      <c r="J55">
        <v>1321.4041748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1.0709409999999999</v>
      </c>
      <c r="B56" s="1">
        <f>DATE(2010,5,2) + TIME(1,42,9)</f>
        <v>40300.070937500001</v>
      </c>
      <c r="C56">
        <v>80</v>
      </c>
      <c r="D56">
        <v>58.976036071999999</v>
      </c>
      <c r="E56">
        <v>50</v>
      </c>
      <c r="F56">
        <v>14.999548912</v>
      </c>
      <c r="G56">
        <v>1337.9489745999999</v>
      </c>
      <c r="H56">
        <v>1335.9547118999999</v>
      </c>
      <c r="I56">
        <v>1324.1229248</v>
      </c>
      <c r="J56">
        <v>1321.4041748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1.104125</v>
      </c>
      <c r="B57" s="1">
        <f>DATE(2010,5,2) + TIME(2,29,56)</f>
        <v>40300.104120370372</v>
      </c>
      <c r="C57">
        <v>80</v>
      </c>
      <c r="D57">
        <v>59.945724487</v>
      </c>
      <c r="E57">
        <v>50</v>
      </c>
      <c r="F57">
        <v>14.999550819</v>
      </c>
      <c r="G57">
        <v>1338.0018310999999</v>
      </c>
      <c r="H57">
        <v>1336.0041504000001</v>
      </c>
      <c r="I57">
        <v>1324.1232910000001</v>
      </c>
      <c r="J57">
        <v>1321.4041748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1.138347</v>
      </c>
      <c r="B58" s="1">
        <f>DATE(2010,5,2) + TIME(3,19,13)</f>
        <v>40300.138344907406</v>
      </c>
      <c r="C58">
        <v>80</v>
      </c>
      <c r="D58">
        <v>60.912593842</v>
      </c>
      <c r="E58">
        <v>50</v>
      </c>
      <c r="F58">
        <v>14.999552726999999</v>
      </c>
      <c r="G58">
        <v>1338.0556641000001</v>
      </c>
      <c r="H58">
        <v>1336.0538329999999</v>
      </c>
      <c r="I58">
        <v>1324.1236572</v>
      </c>
      <c r="J58">
        <v>1321.4042969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1.17374</v>
      </c>
      <c r="B59" s="1">
        <f>DATE(2010,5,2) + TIME(4,10,11)</f>
        <v>40300.173738425925</v>
      </c>
      <c r="C59">
        <v>80</v>
      </c>
      <c r="D59">
        <v>61.877658844000003</v>
      </c>
      <c r="E59">
        <v>50</v>
      </c>
      <c r="F59">
        <v>14.999555588</v>
      </c>
      <c r="G59">
        <v>1338.1103516000001</v>
      </c>
      <c r="H59">
        <v>1336.1040039</v>
      </c>
      <c r="I59">
        <v>1324.1240233999999</v>
      </c>
      <c r="J59">
        <v>1321.4042969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1.2104159999999999</v>
      </c>
      <c r="B60" s="1">
        <f>DATE(2010,5,2) + TIME(5,2,59)</f>
        <v>40300.210405092592</v>
      </c>
      <c r="C60">
        <v>80</v>
      </c>
      <c r="D60">
        <v>62.840175629000001</v>
      </c>
      <c r="E60">
        <v>50</v>
      </c>
      <c r="F60">
        <v>14.999557494999999</v>
      </c>
      <c r="G60">
        <v>1338.1660156</v>
      </c>
      <c r="H60">
        <v>1336.1547852000001</v>
      </c>
      <c r="I60">
        <v>1324.1242675999999</v>
      </c>
      <c r="J60">
        <v>1321.4044189000001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1.2485189999999999</v>
      </c>
      <c r="B61" s="1">
        <f>DATE(2010,5,2) + TIME(5,57,52)</f>
        <v>40300.248518518521</v>
      </c>
      <c r="C61">
        <v>80</v>
      </c>
      <c r="D61">
        <v>63.799827575999998</v>
      </c>
      <c r="E61">
        <v>50</v>
      </c>
      <c r="F61">
        <v>14.999559401999999</v>
      </c>
      <c r="G61">
        <v>1338.2225341999999</v>
      </c>
      <c r="H61">
        <v>1336.2058105000001</v>
      </c>
      <c r="I61">
        <v>1324.1246338000001</v>
      </c>
      <c r="J61">
        <v>1321.4045410000001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1.288224</v>
      </c>
      <c r="B62" s="1">
        <f>DATE(2010,5,2) + TIME(6,55,2)</f>
        <v>40300.288217592592</v>
      </c>
      <c r="C62">
        <v>80</v>
      </c>
      <c r="D62">
        <v>64.756301879999995</v>
      </c>
      <c r="E62">
        <v>50</v>
      </c>
      <c r="F62">
        <v>14.999561310000001</v>
      </c>
      <c r="G62">
        <v>1338.2801514</v>
      </c>
      <c r="H62">
        <v>1336.2573242000001</v>
      </c>
      <c r="I62">
        <v>1324.1251221</v>
      </c>
      <c r="J62">
        <v>1321.4045410000001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1.329736</v>
      </c>
      <c r="B63" s="1">
        <f>DATE(2010,5,2) + TIME(7,54,49)</f>
        <v>40300.329733796294</v>
      </c>
      <c r="C63">
        <v>80</v>
      </c>
      <c r="D63">
        <v>65.709419249999996</v>
      </c>
      <c r="E63">
        <v>50</v>
      </c>
      <c r="F63">
        <v>14.999564170999999</v>
      </c>
      <c r="G63">
        <v>1338.3386230000001</v>
      </c>
      <c r="H63">
        <v>1336.3093262</v>
      </c>
      <c r="I63">
        <v>1324.1254882999999</v>
      </c>
      <c r="J63">
        <v>1321.4046631000001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1.373291</v>
      </c>
      <c r="B64" s="1">
        <f>DATE(2010,5,2) + TIME(8,57,32)</f>
        <v>40300.373287037037</v>
      </c>
      <c r="C64">
        <v>80</v>
      </c>
      <c r="D64">
        <v>66.658470154</v>
      </c>
      <c r="E64">
        <v>50</v>
      </c>
      <c r="F64">
        <v>14.999566078000001</v>
      </c>
      <c r="G64">
        <v>1338.3981934000001</v>
      </c>
      <c r="H64">
        <v>1336.3616943</v>
      </c>
      <c r="I64">
        <v>1324.1258545000001</v>
      </c>
      <c r="J64">
        <v>1321.4046631000001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1.3954690000000001</v>
      </c>
      <c r="B65" s="1">
        <f>DATE(2010,5,2) + TIME(9,29,28)</f>
        <v>40300.395462962966</v>
      </c>
      <c r="C65">
        <v>80</v>
      </c>
      <c r="D65">
        <v>67.132293700999995</v>
      </c>
      <c r="E65">
        <v>50</v>
      </c>
      <c r="F65">
        <v>14.999567032</v>
      </c>
      <c r="G65">
        <v>1338.4686279</v>
      </c>
      <c r="H65">
        <v>1336.4123535000001</v>
      </c>
      <c r="I65">
        <v>1324.1262207</v>
      </c>
      <c r="J65">
        <v>1321.4047852000001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1.4176470000000001</v>
      </c>
      <c r="B66" s="1">
        <f>DATE(2010,5,2) + TIME(10,1,24)</f>
        <v>40300.417638888888</v>
      </c>
      <c r="C66">
        <v>80</v>
      </c>
      <c r="D66">
        <v>67.592895507999998</v>
      </c>
      <c r="E66">
        <v>50</v>
      </c>
      <c r="F66">
        <v>14.999568939</v>
      </c>
      <c r="G66">
        <v>1338.4992675999999</v>
      </c>
      <c r="H66">
        <v>1336.4388428</v>
      </c>
      <c r="I66">
        <v>1324.1264647999999</v>
      </c>
      <c r="J66">
        <v>1321.4047852000001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1.4398249999999999</v>
      </c>
      <c r="B67" s="1">
        <f>DATE(2010,5,2) + TIME(10,33,20)</f>
        <v>40300.439814814818</v>
      </c>
      <c r="C67">
        <v>80</v>
      </c>
      <c r="D67">
        <v>68.040428161999998</v>
      </c>
      <c r="E67">
        <v>50</v>
      </c>
      <c r="F67">
        <v>14.999569893</v>
      </c>
      <c r="G67">
        <v>1338.5295410000001</v>
      </c>
      <c r="H67">
        <v>1336.4647216999999</v>
      </c>
      <c r="I67">
        <v>1324.1265868999999</v>
      </c>
      <c r="J67">
        <v>1321.4049072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1.461873</v>
      </c>
      <c r="B68" s="1">
        <f>DATE(2010,5,2) + TIME(11,5,5)</f>
        <v>40300.461863425924</v>
      </c>
      <c r="C68">
        <v>80</v>
      </c>
      <c r="D68">
        <v>68.472610474000007</v>
      </c>
      <c r="E68">
        <v>50</v>
      </c>
      <c r="F68">
        <v>14.999570846999999</v>
      </c>
      <c r="G68">
        <v>1338.5592041</v>
      </c>
      <c r="H68">
        <v>1336.4901123</v>
      </c>
      <c r="I68">
        <v>1324.1268310999999</v>
      </c>
      <c r="J68">
        <v>1321.4049072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1.4837750000000001</v>
      </c>
      <c r="B69" s="1">
        <f>DATE(2010,5,2) + TIME(11,36,38)</f>
        <v>40300.483773148146</v>
      </c>
      <c r="C69">
        <v>80</v>
      </c>
      <c r="D69">
        <v>68.889495850000003</v>
      </c>
      <c r="E69">
        <v>50</v>
      </c>
      <c r="F69">
        <v>14.9995718</v>
      </c>
      <c r="G69">
        <v>1338.5882568</v>
      </c>
      <c r="H69">
        <v>1336.5146483999999</v>
      </c>
      <c r="I69">
        <v>1324.1270752</v>
      </c>
      <c r="J69">
        <v>1321.4049072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1.5055460000000001</v>
      </c>
      <c r="B70" s="1">
        <f>DATE(2010,5,2) + TIME(12,7,59)</f>
        <v>40300.505543981482</v>
      </c>
      <c r="C70">
        <v>80</v>
      </c>
      <c r="D70">
        <v>69.291786193999997</v>
      </c>
      <c r="E70">
        <v>50</v>
      </c>
      <c r="F70">
        <v>14.999572754000001</v>
      </c>
      <c r="G70">
        <v>1338.6165771000001</v>
      </c>
      <c r="H70">
        <v>1336.5385742000001</v>
      </c>
      <c r="I70">
        <v>1324.1271973</v>
      </c>
      <c r="J70">
        <v>1321.4049072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1.5271999999999999</v>
      </c>
      <c r="B71" s="1">
        <f>DATE(2010,5,2) + TIME(12,39,10)</f>
        <v>40300.527199074073</v>
      </c>
      <c r="C71">
        <v>80</v>
      </c>
      <c r="D71">
        <v>69.680130004999995</v>
      </c>
      <c r="E71">
        <v>50</v>
      </c>
      <c r="F71">
        <v>14.999573708</v>
      </c>
      <c r="G71">
        <v>1338.6441649999999</v>
      </c>
      <c r="H71">
        <v>1336.5617675999999</v>
      </c>
      <c r="I71">
        <v>1324.1274414</v>
      </c>
      <c r="J71">
        <v>1321.4050293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1.548753</v>
      </c>
      <c r="B72" s="1">
        <f>DATE(2010,5,2) + TIME(13,10,12)</f>
        <v>40300.548750000002</v>
      </c>
      <c r="C72">
        <v>80</v>
      </c>
      <c r="D72">
        <v>70.055099487000007</v>
      </c>
      <c r="E72">
        <v>50</v>
      </c>
      <c r="F72">
        <v>14.999575614999999</v>
      </c>
      <c r="G72">
        <v>1338.6711425999999</v>
      </c>
      <c r="H72">
        <v>1336.5843506000001</v>
      </c>
      <c r="I72">
        <v>1324.1275635</v>
      </c>
      <c r="J72">
        <v>1321.4050293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1.570219</v>
      </c>
      <c r="B73" s="1">
        <f>DATE(2010,5,2) + TIME(13,41,6)</f>
        <v>40300.570208333331</v>
      </c>
      <c r="C73">
        <v>80</v>
      </c>
      <c r="D73">
        <v>70.417076111</v>
      </c>
      <c r="E73">
        <v>50</v>
      </c>
      <c r="F73">
        <v>14.999576569</v>
      </c>
      <c r="G73">
        <v>1338.6973877</v>
      </c>
      <c r="H73">
        <v>1336.6062012</v>
      </c>
      <c r="I73">
        <v>1324.1278076000001</v>
      </c>
      <c r="J73">
        <v>1321.4050293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1.5916090000000001</v>
      </c>
      <c r="B74" s="1">
        <f>DATE(2010,5,2) + TIME(14,11,54)</f>
        <v>40300.591597222221</v>
      </c>
      <c r="C74">
        <v>80</v>
      </c>
      <c r="D74">
        <v>70.766815186000002</v>
      </c>
      <c r="E74">
        <v>50</v>
      </c>
      <c r="F74">
        <v>14.999577521999999</v>
      </c>
      <c r="G74">
        <v>1338.7231445</v>
      </c>
      <c r="H74">
        <v>1336.6275635</v>
      </c>
      <c r="I74">
        <v>1324.1279297000001</v>
      </c>
      <c r="J74">
        <v>1321.4051514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1.6129359999999999</v>
      </c>
      <c r="B75" s="1">
        <f>DATE(2010,5,2) + TIME(14,42,37)</f>
        <v>40300.612928240742</v>
      </c>
      <c r="C75">
        <v>80</v>
      </c>
      <c r="D75">
        <v>71.104812621999997</v>
      </c>
      <c r="E75">
        <v>50</v>
      </c>
      <c r="F75">
        <v>14.999578476</v>
      </c>
      <c r="G75">
        <v>1338.7481689000001</v>
      </c>
      <c r="H75">
        <v>1336.6483154</v>
      </c>
      <c r="I75">
        <v>1324.1281738</v>
      </c>
      <c r="J75">
        <v>1321.4051514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1.6342129999999999</v>
      </c>
      <c r="B76" s="1">
        <f>DATE(2010,5,2) + TIME(15,13,16)</f>
        <v>40300.634212962963</v>
      </c>
      <c r="C76">
        <v>80</v>
      </c>
      <c r="D76">
        <v>71.431541443</v>
      </c>
      <c r="E76">
        <v>50</v>
      </c>
      <c r="F76">
        <v>14.999579430000001</v>
      </c>
      <c r="G76">
        <v>1338.7727050999999</v>
      </c>
      <c r="H76">
        <v>1336.668457</v>
      </c>
      <c r="I76">
        <v>1324.1282959</v>
      </c>
      <c r="J76">
        <v>1321.4051514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1.655451</v>
      </c>
      <c r="B77" s="1">
        <f>DATE(2010,5,2) + TIME(15,43,50)</f>
        <v>40300.655439814815</v>
      </c>
      <c r="C77">
        <v>80</v>
      </c>
      <c r="D77">
        <v>71.747436523000005</v>
      </c>
      <c r="E77">
        <v>50</v>
      </c>
      <c r="F77">
        <v>14.999580383</v>
      </c>
      <c r="G77">
        <v>1338.7966309000001</v>
      </c>
      <c r="H77">
        <v>1336.6879882999999</v>
      </c>
      <c r="I77">
        <v>1324.1285399999999</v>
      </c>
      <c r="J77">
        <v>1321.4052733999999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1.676661</v>
      </c>
      <c r="B78" s="1">
        <f>DATE(2010,5,2) + TIME(16,14,23)</f>
        <v>40300.676655092589</v>
      </c>
      <c r="C78">
        <v>80</v>
      </c>
      <c r="D78">
        <v>72.052909850999995</v>
      </c>
      <c r="E78">
        <v>50</v>
      </c>
      <c r="F78">
        <v>14.999581337</v>
      </c>
      <c r="G78">
        <v>1338.8199463000001</v>
      </c>
      <c r="H78">
        <v>1336.7070312000001</v>
      </c>
      <c r="I78">
        <v>1324.1286620999999</v>
      </c>
      <c r="J78">
        <v>1321.4052733999999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1.6978530000000001</v>
      </c>
      <c r="B79" s="1">
        <f>DATE(2010,5,2) + TIME(16,44,54)</f>
        <v>40300.697847222225</v>
      </c>
      <c r="C79">
        <v>80</v>
      </c>
      <c r="D79">
        <v>72.348358153999996</v>
      </c>
      <c r="E79">
        <v>50</v>
      </c>
      <c r="F79">
        <v>14.999582290999999</v>
      </c>
      <c r="G79">
        <v>1338.8428954999999</v>
      </c>
      <c r="H79">
        <v>1336.7255858999999</v>
      </c>
      <c r="I79">
        <v>1324.1287841999999</v>
      </c>
      <c r="J79">
        <v>1321.4052733999999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1.719039</v>
      </c>
      <c r="B80" s="1">
        <f>DATE(2010,5,2) + TIME(17,15,24)</f>
        <v>40300.719027777777</v>
      </c>
      <c r="C80">
        <v>80</v>
      </c>
      <c r="D80">
        <v>72.634147643999995</v>
      </c>
      <c r="E80">
        <v>50</v>
      </c>
      <c r="F80">
        <v>14.999583244</v>
      </c>
      <c r="G80">
        <v>1338.8652344</v>
      </c>
      <c r="H80">
        <v>1336.7436522999999</v>
      </c>
      <c r="I80">
        <v>1324.1290283000001</v>
      </c>
      <c r="J80">
        <v>1321.4053954999999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1.7402249999999999</v>
      </c>
      <c r="B81" s="1">
        <f>DATE(2010,5,2) + TIME(17,45,55)</f>
        <v>40300.740219907406</v>
      </c>
      <c r="C81">
        <v>80</v>
      </c>
      <c r="D81">
        <v>72.910583496000001</v>
      </c>
      <c r="E81">
        <v>50</v>
      </c>
      <c r="F81">
        <v>14.999584198000001</v>
      </c>
      <c r="G81">
        <v>1338.8870850000001</v>
      </c>
      <c r="H81">
        <v>1336.7613524999999</v>
      </c>
      <c r="I81">
        <v>1324.1291504000001</v>
      </c>
      <c r="J81">
        <v>1321.4053954999999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1.7614110000000001</v>
      </c>
      <c r="B82" s="1">
        <f>DATE(2010,5,2) + TIME(18,16,25)</f>
        <v>40300.761400462965</v>
      </c>
      <c r="C82">
        <v>80</v>
      </c>
      <c r="D82">
        <v>73.177879333000007</v>
      </c>
      <c r="E82">
        <v>50</v>
      </c>
      <c r="F82">
        <v>14.999585152</v>
      </c>
      <c r="G82">
        <v>1338.9084473</v>
      </c>
      <c r="H82">
        <v>1336.7784423999999</v>
      </c>
      <c r="I82">
        <v>1324.1292725000001</v>
      </c>
      <c r="J82">
        <v>1321.4053954999999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1.7825979999999999</v>
      </c>
      <c r="B83" s="1">
        <f>DATE(2010,5,2) + TIME(18,46,56)</f>
        <v>40300.782592592594</v>
      </c>
      <c r="C83">
        <v>80</v>
      </c>
      <c r="D83">
        <v>73.436241150000001</v>
      </c>
      <c r="E83">
        <v>50</v>
      </c>
      <c r="F83">
        <v>14.999586105000001</v>
      </c>
      <c r="G83">
        <v>1338.9293213000001</v>
      </c>
      <c r="H83">
        <v>1336.7950439000001</v>
      </c>
      <c r="I83">
        <v>1324.1295166</v>
      </c>
      <c r="J83">
        <v>1321.4055175999999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1.8037840000000001</v>
      </c>
      <c r="B84" s="1">
        <f>DATE(2010,5,2) + TIME(19,17,26)</f>
        <v>40300.803773148145</v>
      </c>
      <c r="C84">
        <v>80</v>
      </c>
      <c r="D84">
        <v>73.685897827000005</v>
      </c>
      <c r="E84">
        <v>50</v>
      </c>
      <c r="F84">
        <v>14.999587059</v>
      </c>
      <c r="G84">
        <v>1338.949707</v>
      </c>
      <c r="H84">
        <v>1336.8112793</v>
      </c>
      <c r="I84">
        <v>1324.1296387</v>
      </c>
      <c r="J84">
        <v>1321.4055175999999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1.82497</v>
      </c>
      <c r="B85" s="1">
        <f>DATE(2010,5,2) + TIME(19,47,57)</f>
        <v>40300.824965277781</v>
      </c>
      <c r="C85">
        <v>80</v>
      </c>
      <c r="D85">
        <v>73.927062988000003</v>
      </c>
      <c r="E85">
        <v>50</v>
      </c>
      <c r="F85">
        <v>14.999588013</v>
      </c>
      <c r="G85">
        <v>1338.9697266000001</v>
      </c>
      <c r="H85">
        <v>1336.8270264</v>
      </c>
      <c r="I85">
        <v>1324.1297606999999</v>
      </c>
      <c r="J85">
        <v>1321.4055175999999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1.8461559999999999</v>
      </c>
      <c r="B86" s="1">
        <f>DATE(2010,5,2) + TIME(20,18,27)</f>
        <v>40300.846145833333</v>
      </c>
      <c r="C86">
        <v>80</v>
      </c>
      <c r="D86">
        <v>74.159942627000007</v>
      </c>
      <c r="E86">
        <v>50</v>
      </c>
      <c r="F86">
        <v>14.999588965999999</v>
      </c>
      <c r="G86">
        <v>1338.9892577999999</v>
      </c>
      <c r="H86">
        <v>1336.8424072</v>
      </c>
      <c r="I86">
        <v>1324.1300048999999</v>
      </c>
      <c r="J86">
        <v>1321.4055175999999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1.8673420000000001</v>
      </c>
      <c r="B87" s="1">
        <f>DATE(2010,5,2) + TIME(20,48,58)</f>
        <v>40300.867337962962</v>
      </c>
      <c r="C87">
        <v>80</v>
      </c>
      <c r="D87">
        <v>74.384757996000005</v>
      </c>
      <c r="E87">
        <v>50</v>
      </c>
      <c r="F87">
        <v>14.99958992</v>
      </c>
      <c r="G87">
        <v>1339.0083007999999</v>
      </c>
      <c r="H87">
        <v>1336.8572998</v>
      </c>
      <c r="I87">
        <v>1324.1301269999999</v>
      </c>
      <c r="J87">
        <v>1321.4056396000001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1.888528</v>
      </c>
      <c r="B88" s="1">
        <f>DATE(2010,5,2) + TIME(21,19,28)</f>
        <v>40300.888518518521</v>
      </c>
      <c r="C88">
        <v>80</v>
      </c>
      <c r="D88">
        <v>74.601715088000006</v>
      </c>
      <c r="E88">
        <v>50</v>
      </c>
      <c r="F88">
        <v>14.99958992</v>
      </c>
      <c r="G88">
        <v>1339.0267334</v>
      </c>
      <c r="H88">
        <v>1336.8717041</v>
      </c>
      <c r="I88">
        <v>1324.130249</v>
      </c>
      <c r="J88">
        <v>1321.4056396000001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1.9309000000000001</v>
      </c>
      <c r="B89" s="1">
        <f>DATE(2010,5,2) + TIME(22,20,29)</f>
        <v>40300.930891203701</v>
      </c>
      <c r="C89">
        <v>80</v>
      </c>
      <c r="D89">
        <v>75.004257202000005</v>
      </c>
      <c r="E89">
        <v>50</v>
      </c>
      <c r="F89">
        <v>14.999591827</v>
      </c>
      <c r="G89">
        <v>1339.0407714999999</v>
      </c>
      <c r="H89">
        <v>1336.8870850000001</v>
      </c>
      <c r="I89">
        <v>1324.1304932</v>
      </c>
      <c r="J89">
        <v>1321.4056396000001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1.9732940000000001</v>
      </c>
      <c r="B90" s="1">
        <f>DATE(2010,5,2) + TIME(23,21,32)</f>
        <v>40300.973287037035</v>
      </c>
      <c r="C90">
        <v>80</v>
      </c>
      <c r="D90">
        <v>75.379043578999998</v>
      </c>
      <c r="E90">
        <v>50</v>
      </c>
      <c r="F90">
        <v>14.999593734999999</v>
      </c>
      <c r="G90">
        <v>1339.0753173999999</v>
      </c>
      <c r="H90">
        <v>1336.9132079999999</v>
      </c>
      <c r="I90">
        <v>1324.1307373</v>
      </c>
      <c r="J90">
        <v>1321.4057617000001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2.0161380000000002</v>
      </c>
      <c r="B91" s="1">
        <f>DATE(2010,5,3) + TIME(0,23,14)</f>
        <v>40301.016134259262</v>
      </c>
      <c r="C91">
        <v>80</v>
      </c>
      <c r="D91">
        <v>75.731063843000001</v>
      </c>
      <c r="E91">
        <v>50</v>
      </c>
      <c r="F91">
        <v>14.999595641999999</v>
      </c>
      <c r="G91">
        <v>1339.1081543</v>
      </c>
      <c r="H91">
        <v>1336.9379882999999</v>
      </c>
      <c r="I91">
        <v>1324.1309814000001</v>
      </c>
      <c r="J91">
        <v>1321.4058838000001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2.059491</v>
      </c>
      <c r="B92" s="1">
        <f>DATE(2010,5,3) + TIME(1,25,40)</f>
        <v>40301.059490740743</v>
      </c>
      <c r="C92">
        <v>80</v>
      </c>
      <c r="D92">
        <v>76.061531067000004</v>
      </c>
      <c r="E92">
        <v>50</v>
      </c>
      <c r="F92">
        <v>14.999596596</v>
      </c>
      <c r="G92">
        <v>1339.1396483999999</v>
      </c>
      <c r="H92">
        <v>1336.9615478999999</v>
      </c>
      <c r="I92">
        <v>1324.1313477000001</v>
      </c>
      <c r="J92">
        <v>1321.4058838000001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2.1034269999999999</v>
      </c>
      <c r="B93" s="1">
        <f>DATE(2010,5,3) + TIME(2,28,56)</f>
        <v>40301.103425925925</v>
      </c>
      <c r="C93">
        <v>80</v>
      </c>
      <c r="D93">
        <v>76.371627808</v>
      </c>
      <c r="E93">
        <v>50</v>
      </c>
      <c r="F93">
        <v>14.999598503</v>
      </c>
      <c r="G93">
        <v>1339.1699219</v>
      </c>
      <c r="H93">
        <v>1336.9838867000001</v>
      </c>
      <c r="I93">
        <v>1324.1315918</v>
      </c>
      <c r="J93">
        <v>1321.4060059000001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2.1480199999999998</v>
      </c>
      <c r="B94" s="1">
        <f>DATE(2010,5,3) + TIME(3,33,8)</f>
        <v>40301.148009259261</v>
      </c>
      <c r="C94">
        <v>80</v>
      </c>
      <c r="D94">
        <v>76.662437439000001</v>
      </c>
      <c r="E94">
        <v>50</v>
      </c>
      <c r="F94">
        <v>14.999600409999999</v>
      </c>
      <c r="G94">
        <v>1339.1988524999999</v>
      </c>
      <c r="H94">
        <v>1337.0050048999999</v>
      </c>
      <c r="I94">
        <v>1324.1318358999999</v>
      </c>
      <c r="J94">
        <v>1321.4060059000001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2.1933500000000001</v>
      </c>
      <c r="B95" s="1">
        <f>DATE(2010,5,3) + TIME(4,38,25)</f>
        <v>40301.193344907406</v>
      </c>
      <c r="C95">
        <v>80</v>
      </c>
      <c r="D95">
        <v>76.934974670000003</v>
      </c>
      <c r="E95">
        <v>50</v>
      </c>
      <c r="F95">
        <v>14.999602318000001</v>
      </c>
      <c r="G95">
        <v>1339.2265625</v>
      </c>
      <c r="H95">
        <v>1337.0250243999999</v>
      </c>
      <c r="I95">
        <v>1324.1320800999999</v>
      </c>
      <c r="J95">
        <v>1321.4061279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2.2395</v>
      </c>
      <c r="B96" s="1">
        <f>DATE(2010,5,3) + TIME(5,44,52)</f>
        <v>40301.239490740743</v>
      </c>
      <c r="C96">
        <v>80</v>
      </c>
      <c r="D96">
        <v>77.190177917</v>
      </c>
      <c r="E96">
        <v>50</v>
      </c>
      <c r="F96">
        <v>14.999603271</v>
      </c>
      <c r="G96">
        <v>1339.2519531</v>
      </c>
      <c r="H96">
        <v>1337.0430908000001</v>
      </c>
      <c r="I96">
        <v>1324.1324463000001</v>
      </c>
      <c r="J96">
        <v>1321.40625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2.2865839999999999</v>
      </c>
      <c r="B97" s="1">
        <f>DATE(2010,5,3) + TIME(6,52,40)</f>
        <v>40301.286574074074</v>
      </c>
      <c r="C97">
        <v>80</v>
      </c>
      <c r="D97">
        <v>77.429031371999997</v>
      </c>
      <c r="E97">
        <v>50</v>
      </c>
      <c r="F97">
        <v>14.999605179</v>
      </c>
      <c r="G97">
        <v>1339.2749022999999</v>
      </c>
      <c r="H97">
        <v>1337.0592041</v>
      </c>
      <c r="I97">
        <v>1324.1326904</v>
      </c>
      <c r="J97">
        <v>1321.40625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2.3346849999999999</v>
      </c>
      <c r="B98" s="1">
        <f>DATE(2010,5,3) + TIME(8,1,56)</f>
        <v>40301.334675925929</v>
      </c>
      <c r="C98">
        <v>80</v>
      </c>
      <c r="D98">
        <v>77.652282714999998</v>
      </c>
      <c r="E98">
        <v>50</v>
      </c>
      <c r="F98">
        <v>14.999607085999999</v>
      </c>
      <c r="G98">
        <v>1339.2969971</v>
      </c>
      <c r="H98">
        <v>1337.0743408000001</v>
      </c>
      <c r="I98">
        <v>1324.1329346</v>
      </c>
      <c r="J98">
        <v>1321.4063721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2.3839039999999998</v>
      </c>
      <c r="B99" s="1">
        <f>DATE(2010,5,3) + TIME(9,12,49)</f>
        <v>40301.383900462963</v>
      </c>
      <c r="C99">
        <v>80</v>
      </c>
      <c r="D99">
        <v>77.860717773000005</v>
      </c>
      <c r="E99">
        <v>50</v>
      </c>
      <c r="F99">
        <v>14.99960804</v>
      </c>
      <c r="G99">
        <v>1339.3179932</v>
      </c>
      <c r="H99">
        <v>1337.088501</v>
      </c>
      <c r="I99">
        <v>1324.1331786999999</v>
      </c>
      <c r="J99">
        <v>1321.4064940999999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2.4343520000000001</v>
      </c>
      <c r="B100" s="1">
        <f>DATE(2010,5,3) + TIME(10,25,27)</f>
        <v>40301.434340277781</v>
      </c>
      <c r="C100">
        <v>80</v>
      </c>
      <c r="D100">
        <v>78.055084229000002</v>
      </c>
      <c r="E100">
        <v>50</v>
      </c>
      <c r="F100">
        <v>14.999609947</v>
      </c>
      <c r="G100">
        <v>1339.3381348</v>
      </c>
      <c r="H100">
        <v>1337.1019286999999</v>
      </c>
      <c r="I100">
        <v>1324.1334228999999</v>
      </c>
      <c r="J100">
        <v>1321.4064940999999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2.4861499999999999</v>
      </c>
      <c r="B101" s="1">
        <f>DATE(2010,5,3) + TIME(11,40,3)</f>
        <v>40301.486145833333</v>
      </c>
      <c r="C101">
        <v>80</v>
      </c>
      <c r="D101">
        <v>78.236061096</v>
      </c>
      <c r="E101">
        <v>50</v>
      </c>
      <c r="F101">
        <v>14.999611854999999</v>
      </c>
      <c r="G101">
        <v>1339.3572998</v>
      </c>
      <c r="H101">
        <v>1337.1143798999999</v>
      </c>
      <c r="I101">
        <v>1324.1336670000001</v>
      </c>
      <c r="J101">
        <v>1321.4066161999999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2.539431</v>
      </c>
      <c r="B102" s="1">
        <f>DATE(2010,5,3) + TIME(12,56,46)</f>
        <v>40301.539421296293</v>
      </c>
      <c r="C102">
        <v>80</v>
      </c>
      <c r="D102">
        <v>78.404319763000004</v>
      </c>
      <c r="E102">
        <v>50</v>
      </c>
      <c r="F102">
        <v>14.999612808</v>
      </c>
      <c r="G102">
        <v>1339.3754882999999</v>
      </c>
      <c r="H102">
        <v>1337.1259766000001</v>
      </c>
      <c r="I102">
        <v>1324.1339111</v>
      </c>
      <c r="J102">
        <v>1321.4067382999999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2.5943619999999998</v>
      </c>
      <c r="B103" s="1">
        <f>DATE(2010,5,3) + TIME(14,15,52)</f>
        <v>40301.594351851854</v>
      </c>
      <c r="C103">
        <v>80</v>
      </c>
      <c r="D103">
        <v>78.560531616000006</v>
      </c>
      <c r="E103">
        <v>50</v>
      </c>
      <c r="F103">
        <v>14.999614716</v>
      </c>
      <c r="G103">
        <v>1339.3927002</v>
      </c>
      <c r="H103">
        <v>1337.1367187999999</v>
      </c>
      <c r="I103">
        <v>1324.1341553</v>
      </c>
      <c r="J103">
        <v>1321.4068603999999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2.651116</v>
      </c>
      <c r="B104" s="1">
        <f>DATE(2010,5,3) + TIME(15,37,36)</f>
        <v>40301.65111111111</v>
      </c>
      <c r="C104">
        <v>80</v>
      </c>
      <c r="D104">
        <v>78.705291747999993</v>
      </c>
      <c r="E104">
        <v>50</v>
      </c>
      <c r="F104">
        <v>14.999616623</v>
      </c>
      <c r="G104">
        <v>1339.4089355000001</v>
      </c>
      <c r="H104">
        <v>1337.1466064000001</v>
      </c>
      <c r="I104">
        <v>1324.1343993999999</v>
      </c>
      <c r="J104">
        <v>1321.4068603999999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2.7096239999999998</v>
      </c>
      <c r="B105" s="1">
        <f>DATE(2010,5,3) + TIME(17,1,51)</f>
        <v>40301.709618055553</v>
      </c>
      <c r="C105">
        <v>80</v>
      </c>
      <c r="D105">
        <v>78.838638306000007</v>
      </c>
      <c r="E105">
        <v>50</v>
      </c>
      <c r="F105">
        <v>14.999617577</v>
      </c>
      <c r="G105">
        <v>1339.4243164</v>
      </c>
      <c r="H105">
        <v>1337.1556396000001</v>
      </c>
      <c r="I105">
        <v>1324.1346435999999</v>
      </c>
      <c r="J105">
        <v>1321.4069824000001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2.7697929999999999</v>
      </c>
      <c r="B106" s="1">
        <f>DATE(2010,5,3) + TIME(18,28,30)</f>
        <v>40301.769791666666</v>
      </c>
      <c r="C106">
        <v>80</v>
      </c>
      <c r="D106">
        <v>78.960731506000002</v>
      </c>
      <c r="E106">
        <v>50</v>
      </c>
      <c r="F106">
        <v>14.999619484</v>
      </c>
      <c r="G106">
        <v>1339.4387207</v>
      </c>
      <c r="H106">
        <v>1337.1638184000001</v>
      </c>
      <c r="I106">
        <v>1324.1348877</v>
      </c>
      <c r="J106">
        <v>1321.4071045000001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2.8317320000000001</v>
      </c>
      <c r="B107" s="1">
        <f>DATE(2010,5,3) + TIME(19,57,41)</f>
        <v>40301.831724537034</v>
      </c>
      <c r="C107">
        <v>80</v>
      </c>
      <c r="D107">
        <v>79.072204589999998</v>
      </c>
      <c r="E107">
        <v>50</v>
      </c>
      <c r="F107">
        <v>14.999621391</v>
      </c>
      <c r="G107">
        <v>1339.4520264</v>
      </c>
      <c r="H107">
        <v>1337.1711425999999</v>
      </c>
      <c r="I107">
        <v>1324.1352539</v>
      </c>
      <c r="J107">
        <v>1321.4072266000001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2.8956119999999999</v>
      </c>
      <c r="B108" s="1">
        <f>DATE(2010,5,3) + TIME(21,29,40)</f>
        <v>40301.895601851851</v>
      </c>
      <c r="C108">
        <v>80</v>
      </c>
      <c r="D108">
        <v>79.173751831000004</v>
      </c>
      <c r="E108">
        <v>50</v>
      </c>
      <c r="F108">
        <v>14.999623299</v>
      </c>
      <c r="G108">
        <v>1339.4641113</v>
      </c>
      <c r="H108">
        <v>1337.1772461</v>
      </c>
      <c r="I108">
        <v>1324.1354980000001</v>
      </c>
      <c r="J108">
        <v>1321.4072266000001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2.9616259999999999</v>
      </c>
      <c r="B109" s="1">
        <f>DATE(2010,5,3) + TIME(23,4,44)</f>
        <v>40301.96162037037</v>
      </c>
      <c r="C109">
        <v>80</v>
      </c>
      <c r="D109">
        <v>79.266021729000002</v>
      </c>
      <c r="E109">
        <v>50</v>
      </c>
      <c r="F109">
        <v>14.999625205999999</v>
      </c>
      <c r="G109">
        <v>1339.472168</v>
      </c>
      <c r="H109">
        <v>1337.1802978999999</v>
      </c>
      <c r="I109">
        <v>1324.1357422000001</v>
      </c>
      <c r="J109">
        <v>1321.4073486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3.0300050000000001</v>
      </c>
      <c r="B110" s="1">
        <f>DATE(2010,5,4) + TIME(0,43,12)</f>
        <v>40302.03</v>
      </c>
      <c r="C110">
        <v>80</v>
      </c>
      <c r="D110">
        <v>79.349662781000006</v>
      </c>
      <c r="E110">
        <v>50</v>
      </c>
      <c r="F110">
        <v>14.99962616</v>
      </c>
      <c r="G110">
        <v>1339.4793701000001</v>
      </c>
      <c r="H110">
        <v>1337.1826172000001</v>
      </c>
      <c r="I110">
        <v>1324.1359863</v>
      </c>
      <c r="J110">
        <v>1321.4074707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3.100876</v>
      </c>
      <c r="B111" s="1">
        <f>DATE(2010,5,4) + TIME(2,25,15)</f>
        <v>40302.100868055553</v>
      </c>
      <c r="C111">
        <v>80</v>
      </c>
      <c r="D111">
        <v>79.425148010000001</v>
      </c>
      <c r="E111">
        <v>50</v>
      </c>
      <c r="F111">
        <v>14.999628067</v>
      </c>
      <c r="G111">
        <v>1339.4857178</v>
      </c>
      <c r="H111">
        <v>1337.184082</v>
      </c>
      <c r="I111">
        <v>1324.1362305</v>
      </c>
      <c r="J111">
        <v>1321.4075928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3.1367690000000001</v>
      </c>
      <c r="B112" s="1">
        <f>DATE(2010,5,4) + TIME(3,16,56)</f>
        <v>40302.136759259258</v>
      </c>
      <c r="C112">
        <v>80</v>
      </c>
      <c r="D112">
        <v>79.460777282999999</v>
      </c>
      <c r="E112">
        <v>50</v>
      </c>
      <c r="F112">
        <v>14.999629021000001</v>
      </c>
      <c r="G112">
        <v>1339.4925536999999</v>
      </c>
      <c r="H112">
        <v>1337.1845702999999</v>
      </c>
      <c r="I112">
        <v>1324.1363524999999</v>
      </c>
      <c r="J112">
        <v>1321.4077147999999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3.1726619999999999</v>
      </c>
      <c r="B113" s="1">
        <f>DATE(2010,5,4) + TIME(4,8,38)</f>
        <v>40302.172662037039</v>
      </c>
      <c r="C113">
        <v>80</v>
      </c>
      <c r="D113">
        <v>79.493896484000004</v>
      </c>
      <c r="E113">
        <v>50</v>
      </c>
      <c r="F113">
        <v>14.999629973999999</v>
      </c>
      <c r="G113">
        <v>1339.4951172000001</v>
      </c>
      <c r="H113">
        <v>1337.1848144999999</v>
      </c>
      <c r="I113">
        <v>1324.1364745999999</v>
      </c>
      <c r="J113">
        <v>1321.4077147999999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3.2085560000000002</v>
      </c>
      <c r="B114" s="1">
        <f>DATE(2010,5,4) + TIME(5,0,19)</f>
        <v>40302.208553240744</v>
      </c>
      <c r="C114">
        <v>80</v>
      </c>
      <c r="D114">
        <v>79.524696349999999</v>
      </c>
      <c r="E114">
        <v>50</v>
      </c>
      <c r="F114">
        <v>14.999630928</v>
      </c>
      <c r="G114">
        <v>1339.4973144999999</v>
      </c>
      <c r="H114">
        <v>1337.1848144999999</v>
      </c>
      <c r="I114">
        <v>1324.1365966999999</v>
      </c>
      <c r="J114">
        <v>1321.4078368999999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3.2444489999999999</v>
      </c>
      <c r="B115" s="1">
        <f>DATE(2010,5,4) + TIME(5,52,0)</f>
        <v>40302.244444444441</v>
      </c>
      <c r="C115">
        <v>80</v>
      </c>
      <c r="D115">
        <v>79.553321838000002</v>
      </c>
      <c r="E115">
        <v>50</v>
      </c>
      <c r="F115">
        <v>14.999631881999999</v>
      </c>
      <c r="G115">
        <v>1339.4992675999999</v>
      </c>
      <c r="H115">
        <v>1337.1846923999999</v>
      </c>
      <c r="I115">
        <v>1324.1367187999999</v>
      </c>
      <c r="J115">
        <v>1321.4078368999999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3.2803420000000001</v>
      </c>
      <c r="B116" s="1">
        <f>DATE(2010,5,4) + TIME(6,43,41)</f>
        <v>40302.280335648145</v>
      </c>
      <c r="C116">
        <v>80</v>
      </c>
      <c r="D116">
        <v>79.579933166999993</v>
      </c>
      <c r="E116">
        <v>50</v>
      </c>
      <c r="F116">
        <v>14.999632835</v>
      </c>
      <c r="G116">
        <v>1339.5009766000001</v>
      </c>
      <c r="H116">
        <v>1337.1844481999999</v>
      </c>
      <c r="I116">
        <v>1324.1368408000001</v>
      </c>
      <c r="J116">
        <v>1321.4079589999999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3.3162349999999998</v>
      </c>
      <c r="B117" s="1">
        <f>DATE(2010,5,4) + TIME(7,35,22)</f>
        <v>40302.31622685185</v>
      </c>
      <c r="C117">
        <v>80</v>
      </c>
      <c r="D117">
        <v>79.604675293</v>
      </c>
      <c r="E117">
        <v>50</v>
      </c>
      <c r="F117">
        <v>14.999632835</v>
      </c>
      <c r="G117">
        <v>1339.5024414</v>
      </c>
      <c r="H117">
        <v>1337.1839600000001</v>
      </c>
      <c r="I117">
        <v>1324.1369629000001</v>
      </c>
      <c r="J117">
        <v>1321.4079589999999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3.352128</v>
      </c>
      <c r="B118" s="1">
        <f>DATE(2010,5,4) + TIME(8,27,3)</f>
        <v>40302.352118055554</v>
      </c>
      <c r="C118">
        <v>80</v>
      </c>
      <c r="D118">
        <v>79.627677917</v>
      </c>
      <c r="E118">
        <v>50</v>
      </c>
      <c r="F118">
        <v>14.999633789000001</v>
      </c>
      <c r="G118">
        <v>1339.5037841999999</v>
      </c>
      <c r="H118">
        <v>1337.1833495999999</v>
      </c>
      <c r="I118">
        <v>1324.1370850000001</v>
      </c>
      <c r="J118">
        <v>1321.4080810999999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3.3880210000000002</v>
      </c>
      <c r="B119" s="1">
        <f>DATE(2010,5,4) + TIME(9,18,45)</f>
        <v>40302.388020833336</v>
      </c>
      <c r="C119">
        <v>80</v>
      </c>
      <c r="D119">
        <v>79.649055481000005</v>
      </c>
      <c r="E119">
        <v>50</v>
      </c>
      <c r="F119">
        <v>14.999634743</v>
      </c>
      <c r="G119">
        <v>1339.5048827999999</v>
      </c>
      <c r="H119">
        <v>1337.1826172000001</v>
      </c>
      <c r="I119">
        <v>1324.137207</v>
      </c>
      <c r="J119">
        <v>1321.4080810999999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3.4239139999999999</v>
      </c>
      <c r="B120" s="1">
        <f>DATE(2010,5,4) + TIME(10,10,26)</f>
        <v>40302.42391203704</v>
      </c>
      <c r="C120">
        <v>80</v>
      </c>
      <c r="D120">
        <v>79.668922424000002</v>
      </c>
      <c r="E120">
        <v>50</v>
      </c>
      <c r="F120">
        <v>14.999635696</v>
      </c>
      <c r="G120">
        <v>1339.5057373</v>
      </c>
      <c r="H120">
        <v>1337.1817627</v>
      </c>
      <c r="I120">
        <v>1324.1373291</v>
      </c>
      <c r="J120">
        <v>1321.4082031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3.4598070000000001</v>
      </c>
      <c r="B121" s="1">
        <f>DATE(2010,5,4) + TIME(11,2,7)</f>
        <v>40302.459803240738</v>
      </c>
      <c r="C121">
        <v>80</v>
      </c>
      <c r="D121">
        <v>79.687400818</v>
      </c>
      <c r="E121">
        <v>50</v>
      </c>
      <c r="F121">
        <v>14.999636649999999</v>
      </c>
      <c r="G121">
        <v>1339.5063477000001</v>
      </c>
      <c r="H121">
        <v>1337.1807861</v>
      </c>
      <c r="I121">
        <v>1324.1374512</v>
      </c>
      <c r="J121">
        <v>1321.4082031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3.4956999999999998</v>
      </c>
      <c r="B122" s="1">
        <f>DATE(2010,5,4) + TIME(11,53,48)</f>
        <v>40302.495694444442</v>
      </c>
      <c r="C122">
        <v>80</v>
      </c>
      <c r="D122">
        <v>79.704574585000003</v>
      </c>
      <c r="E122">
        <v>50</v>
      </c>
      <c r="F122">
        <v>14.999637604</v>
      </c>
      <c r="G122">
        <v>1339.5068358999999</v>
      </c>
      <c r="H122">
        <v>1337.1796875</v>
      </c>
      <c r="I122">
        <v>1324.1375731999999</v>
      </c>
      <c r="J122">
        <v>1321.4083252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3.5674860000000002</v>
      </c>
      <c r="B123" s="1">
        <f>DATE(2010,5,4) + TIME(13,37,10)</f>
        <v>40302.567476851851</v>
      </c>
      <c r="C123">
        <v>80</v>
      </c>
      <c r="D123">
        <v>79.734375</v>
      </c>
      <c r="E123">
        <v>50</v>
      </c>
      <c r="F123">
        <v>14.999638557000001</v>
      </c>
      <c r="G123">
        <v>1339.5064697</v>
      </c>
      <c r="H123">
        <v>1337.1787108999999</v>
      </c>
      <c r="I123">
        <v>1324.1376952999999</v>
      </c>
      <c r="J123">
        <v>1321.4083252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3.6393629999999999</v>
      </c>
      <c r="B124" s="1">
        <f>DATE(2010,5,4) + TIME(15,20,40)</f>
        <v>40302.639351851853</v>
      </c>
      <c r="C124">
        <v>80</v>
      </c>
      <c r="D124">
        <v>79.760307311999995</v>
      </c>
      <c r="E124">
        <v>50</v>
      </c>
      <c r="F124">
        <v>14.999640465000001</v>
      </c>
      <c r="G124">
        <v>1339.5065918</v>
      </c>
      <c r="H124">
        <v>1337.1757812000001</v>
      </c>
      <c r="I124">
        <v>1324.1379394999999</v>
      </c>
      <c r="J124">
        <v>1321.4084473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3.7117119999999999</v>
      </c>
      <c r="B125" s="1">
        <f>DATE(2010,5,4) + TIME(17,4,51)</f>
        <v>40302.711701388886</v>
      </c>
      <c r="C125">
        <v>80</v>
      </c>
      <c r="D125">
        <v>79.782974242999998</v>
      </c>
      <c r="E125">
        <v>50</v>
      </c>
      <c r="F125">
        <v>14.999641418</v>
      </c>
      <c r="G125">
        <v>1339.5059814000001</v>
      </c>
      <c r="H125">
        <v>1337.1726074000001</v>
      </c>
      <c r="I125">
        <v>1324.1381836</v>
      </c>
      <c r="J125">
        <v>1321.4085693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3.7846440000000001</v>
      </c>
      <c r="B126" s="1">
        <f>DATE(2010,5,4) + TIME(18,49,53)</f>
        <v>40302.784641203703</v>
      </c>
      <c r="C126">
        <v>80</v>
      </c>
      <c r="D126">
        <v>79.802795410000002</v>
      </c>
      <c r="E126">
        <v>50</v>
      </c>
      <c r="F126">
        <v>14.999643325999999</v>
      </c>
      <c r="G126">
        <v>1339.5048827999999</v>
      </c>
      <c r="H126">
        <v>1337.1690673999999</v>
      </c>
      <c r="I126">
        <v>1324.1384277</v>
      </c>
      <c r="J126">
        <v>1321.4086914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3.8582719999999999</v>
      </c>
      <c r="B127" s="1">
        <f>DATE(2010,5,4) + TIME(20,35,54)</f>
        <v>40302.858263888891</v>
      </c>
      <c r="C127">
        <v>80</v>
      </c>
      <c r="D127">
        <v>79.820152282999999</v>
      </c>
      <c r="E127">
        <v>50</v>
      </c>
      <c r="F127">
        <v>14.999644279</v>
      </c>
      <c r="G127">
        <v>1339.5032959</v>
      </c>
      <c r="H127">
        <v>1337.1650391000001</v>
      </c>
      <c r="I127">
        <v>1324.1385498</v>
      </c>
      <c r="J127">
        <v>1321.4088135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3.9327100000000002</v>
      </c>
      <c r="B128" s="1">
        <f>DATE(2010,5,4) + TIME(22,23,6)</f>
        <v>40302.932708333334</v>
      </c>
      <c r="C128">
        <v>80</v>
      </c>
      <c r="D128">
        <v>79.835350036999998</v>
      </c>
      <c r="E128">
        <v>50</v>
      </c>
      <c r="F128">
        <v>14.999646187</v>
      </c>
      <c r="G128">
        <v>1339.5010986</v>
      </c>
      <c r="H128">
        <v>1337.1607666</v>
      </c>
      <c r="I128">
        <v>1324.1387939000001</v>
      </c>
      <c r="J128">
        <v>1321.4089355000001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4.0080739999999997</v>
      </c>
      <c r="B129" s="1">
        <f>DATE(2010,5,5) + TIME(0,11,37)</f>
        <v>40303.008067129631</v>
      </c>
      <c r="C129">
        <v>80</v>
      </c>
      <c r="D129">
        <v>79.848655700999998</v>
      </c>
      <c r="E129">
        <v>50</v>
      </c>
      <c r="F129">
        <v>14.999647141000001</v>
      </c>
      <c r="G129">
        <v>1339.4985352000001</v>
      </c>
      <c r="H129">
        <v>1337.1563721</v>
      </c>
      <c r="I129">
        <v>1324.1390381000001</v>
      </c>
      <c r="J129">
        <v>1321.4090576000001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4.0844860000000001</v>
      </c>
      <c r="B130" s="1">
        <f>DATE(2010,5,5) + TIME(2,1,39)</f>
        <v>40303.084479166668</v>
      </c>
      <c r="C130">
        <v>80</v>
      </c>
      <c r="D130">
        <v>79.860313415999997</v>
      </c>
      <c r="E130">
        <v>50</v>
      </c>
      <c r="F130">
        <v>14.999648093999999</v>
      </c>
      <c r="G130">
        <v>1339.4954834</v>
      </c>
      <c r="H130">
        <v>1337.1516113</v>
      </c>
      <c r="I130">
        <v>1324.1391602000001</v>
      </c>
      <c r="J130">
        <v>1321.4091797000001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4.1620689999999998</v>
      </c>
      <c r="B131" s="1">
        <f>DATE(2010,5,5) + TIME(3,53,22)</f>
        <v>40303.162060185183</v>
      </c>
      <c r="C131">
        <v>80</v>
      </c>
      <c r="D131">
        <v>79.870521545000003</v>
      </c>
      <c r="E131">
        <v>50</v>
      </c>
      <c r="F131">
        <v>14.999650001999999</v>
      </c>
      <c r="G131">
        <v>1339.4920654</v>
      </c>
      <c r="H131">
        <v>1337.1466064000001</v>
      </c>
      <c r="I131">
        <v>1324.1394043</v>
      </c>
      <c r="J131">
        <v>1321.4093018000001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4.2409559999999997</v>
      </c>
      <c r="B132" s="1">
        <f>DATE(2010,5,5) + TIME(5,46,58)</f>
        <v>40303.240949074076</v>
      </c>
      <c r="C132">
        <v>80</v>
      </c>
      <c r="D132">
        <v>79.879463196000003</v>
      </c>
      <c r="E132">
        <v>50</v>
      </c>
      <c r="F132">
        <v>14.999650955</v>
      </c>
      <c r="G132">
        <v>1339.4882812000001</v>
      </c>
      <c r="H132">
        <v>1337.1413574000001</v>
      </c>
      <c r="I132">
        <v>1324.1396483999999</v>
      </c>
      <c r="J132">
        <v>1321.4094238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4.3212900000000003</v>
      </c>
      <c r="B133" s="1">
        <f>DATE(2010,5,5) + TIME(7,42,39)</f>
        <v>40303.321284722224</v>
      </c>
      <c r="C133">
        <v>80</v>
      </c>
      <c r="D133">
        <v>79.887298584000007</v>
      </c>
      <c r="E133">
        <v>50</v>
      </c>
      <c r="F133">
        <v>14.999652863</v>
      </c>
      <c r="G133">
        <v>1339.4841309000001</v>
      </c>
      <c r="H133">
        <v>1337.1358643000001</v>
      </c>
      <c r="I133">
        <v>1324.1397704999999</v>
      </c>
      <c r="J133">
        <v>1321.4094238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4.4032489999999997</v>
      </c>
      <c r="B134" s="1">
        <f>DATE(2010,5,5) + TIME(9,40,40)</f>
        <v>40303.403240740743</v>
      </c>
      <c r="C134">
        <v>80</v>
      </c>
      <c r="D134">
        <v>79.894149780000006</v>
      </c>
      <c r="E134">
        <v>50</v>
      </c>
      <c r="F134">
        <v>14.999653816</v>
      </c>
      <c r="G134">
        <v>1339.4796143000001</v>
      </c>
      <c r="H134">
        <v>1337.130249</v>
      </c>
      <c r="I134">
        <v>1324.1400146000001</v>
      </c>
      <c r="J134">
        <v>1321.4095459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4.486961</v>
      </c>
      <c r="B135" s="1">
        <f>DATE(2010,5,5) + TIME(11,41,13)</f>
        <v>40303.486956018518</v>
      </c>
      <c r="C135">
        <v>80</v>
      </c>
      <c r="D135">
        <v>79.900146484000004</v>
      </c>
      <c r="E135">
        <v>50</v>
      </c>
      <c r="F135">
        <v>14.999654769999999</v>
      </c>
      <c r="G135">
        <v>1339.4736327999999</v>
      </c>
      <c r="H135">
        <v>1337.1235352000001</v>
      </c>
      <c r="I135">
        <v>1324.1402588000001</v>
      </c>
      <c r="J135">
        <v>1321.409668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4.5726089999999999</v>
      </c>
      <c r="B136" s="1">
        <f>DATE(2010,5,5) + TIME(13,44,33)</f>
        <v>40303.572604166664</v>
      </c>
      <c r="C136">
        <v>80</v>
      </c>
      <c r="D136">
        <v>79.905395507999998</v>
      </c>
      <c r="E136">
        <v>50</v>
      </c>
      <c r="F136">
        <v>14.999656677000001</v>
      </c>
      <c r="G136">
        <v>1339.4664307</v>
      </c>
      <c r="H136">
        <v>1337.1159668</v>
      </c>
      <c r="I136">
        <v>1324.1403809000001</v>
      </c>
      <c r="J136">
        <v>1321.4097899999999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4.6603859999999999</v>
      </c>
      <c r="B137" s="1">
        <f>DATE(2010,5,5) + TIME(15,50,57)</f>
        <v>40303.660381944443</v>
      </c>
      <c r="C137">
        <v>80</v>
      </c>
      <c r="D137">
        <v>79.909973144999995</v>
      </c>
      <c r="E137">
        <v>50</v>
      </c>
      <c r="F137">
        <v>14.999657631</v>
      </c>
      <c r="G137">
        <v>1339.4589844</v>
      </c>
      <c r="H137">
        <v>1337.1081543</v>
      </c>
      <c r="I137">
        <v>1324.140625</v>
      </c>
      <c r="J137">
        <v>1321.4100341999999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4.7504989999999996</v>
      </c>
      <c r="B138" s="1">
        <f>DATE(2010,5,5) + TIME(18,0,43)</f>
        <v>40303.750497685185</v>
      </c>
      <c r="C138">
        <v>80</v>
      </c>
      <c r="D138">
        <v>79.913970946999996</v>
      </c>
      <c r="E138">
        <v>50</v>
      </c>
      <c r="F138">
        <v>14.999659538</v>
      </c>
      <c r="G138">
        <v>1339.4512939000001</v>
      </c>
      <c r="H138">
        <v>1337.1003418</v>
      </c>
      <c r="I138">
        <v>1324.1408690999999</v>
      </c>
      <c r="J138">
        <v>1321.4101562000001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4.8431340000000001</v>
      </c>
      <c r="B139" s="1">
        <f>DATE(2010,5,5) + TIME(20,14,6)</f>
        <v>40303.843124999999</v>
      </c>
      <c r="C139">
        <v>80</v>
      </c>
      <c r="D139">
        <v>79.917457580999994</v>
      </c>
      <c r="E139">
        <v>50</v>
      </c>
      <c r="F139">
        <v>14.999660492</v>
      </c>
      <c r="G139">
        <v>1339.4433594</v>
      </c>
      <c r="H139">
        <v>1337.0921631000001</v>
      </c>
      <c r="I139">
        <v>1324.1409911999999</v>
      </c>
      <c r="J139">
        <v>1321.4102783000001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4.9382400000000004</v>
      </c>
      <c r="B140" s="1">
        <f>DATE(2010,5,5) + TIME(22,31,3)</f>
        <v>40303.93822916667</v>
      </c>
      <c r="C140">
        <v>80</v>
      </c>
      <c r="D140">
        <v>79.920494079999997</v>
      </c>
      <c r="E140">
        <v>50</v>
      </c>
      <c r="F140">
        <v>14.999662399</v>
      </c>
      <c r="G140">
        <v>1339.4350586</v>
      </c>
      <c r="H140">
        <v>1337.0839844</v>
      </c>
      <c r="I140">
        <v>1324.1412353999999</v>
      </c>
      <c r="J140">
        <v>1321.4104004000001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5.0360630000000004</v>
      </c>
      <c r="B141" s="1">
        <f>DATE(2010,5,6) + TIME(0,51,55)</f>
        <v>40304.036053240743</v>
      </c>
      <c r="C141">
        <v>80</v>
      </c>
      <c r="D141">
        <v>79.923126221000004</v>
      </c>
      <c r="E141">
        <v>50</v>
      </c>
      <c r="F141">
        <v>14.999663353000001</v>
      </c>
      <c r="G141">
        <v>1339.4265137</v>
      </c>
      <c r="H141">
        <v>1337.0755615</v>
      </c>
      <c r="I141">
        <v>1324.1414795000001</v>
      </c>
      <c r="J141">
        <v>1321.4105225000001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5.1368689999999999</v>
      </c>
      <c r="B142" s="1">
        <f>DATE(2010,5,6) + TIME(3,17,5)</f>
        <v>40304.136863425927</v>
      </c>
      <c r="C142">
        <v>80</v>
      </c>
      <c r="D142">
        <v>79.925415039000001</v>
      </c>
      <c r="E142">
        <v>50</v>
      </c>
      <c r="F142">
        <v>14.99966526</v>
      </c>
      <c r="G142">
        <v>1339.4177245999999</v>
      </c>
      <c r="H142">
        <v>1337.0670166</v>
      </c>
      <c r="I142">
        <v>1324.1417236</v>
      </c>
      <c r="J142">
        <v>1321.4106445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5.240348</v>
      </c>
      <c r="B143" s="1">
        <f>DATE(2010,5,6) + TIME(5,46,6)</f>
        <v>40304.240347222221</v>
      </c>
      <c r="C143">
        <v>80</v>
      </c>
      <c r="D143">
        <v>79.927391052000004</v>
      </c>
      <c r="E143">
        <v>50</v>
      </c>
      <c r="F143">
        <v>14.999666213999999</v>
      </c>
      <c r="G143">
        <v>1339.4085693</v>
      </c>
      <c r="H143">
        <v>1337.0582274999999</v>
      </c>
      <c r="I143">
        <v>1324.1419678</v>
      </c>
      <c r="J143">
        <v>1321.4107666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5.3459009999999996</v>
      </c>
      <c r="B144" s="1">
        <f>DATE(2010,5,6) + TIME(8,18,5)</f>
        <v>40304.345891203702</v>
      </c>
      <c r="C144">
        <v>80</v>
      </c>
      <c r="D144">
        <v>79.929092406999999</v>
      </c>
      <c r="E144">
        <v>50</v>
      </c>
      <c r="F144">
        <v>14.999667168</v>
      </c>
      <c r="G144">
        <v>1339.3992920000001</v>
      </c>
      <c r="H144">
        <v>1337.0493164</v>
      </c>
      <c r="I144">
        <v>1324.1422118999999</v>
      </c>
      <c r="J144">
        <v>1321.4110106999999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5.398682</v>
      </c>
      <c r="B145" s="1">
        <f>DATE(2010,5,6) + TIME(9,34,6)</f>
        <v>40304.398680555554</v>
      </c>
      <c r="C145">
        <v>80</v>
      </c>
      <c r="D145">
        <v>79.929870605000005</v>
      </c>
      <c r="E145">
        <v>50</v>
      </c>
      <c r="F145">
        <v>14.999668120999999</v>
      </c>
      <c r="G145">
        <v>1339.3897704999999</v>
      </c>
      <c r="H145">
        <v>1337.0400391000001</v>
      </c>
      <c r="I145">
        <v>1324.1423339999999</v>
      </c>
      <c r="J145">
        <v>1321.4111327999999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5.4514639999999996</v>
      </c>
      <c r="B146" s="1">
        <f>DATE(2010,5,6) + TIME(10,50,6)</f>
        <v>40304.451458333337</v>
      </c>
      <c r="C146">
        <v>80</v>
      </c>
      <c r="D146">
        <v>79.930580139</v>
      </c>
      <c r="E146">
        <v>50</v>
      </c>
      <c r="F146">
        <v>14.999669075</v>
      </c>
      <c r="G146">
        <v>1339.3850098</v>
      </c>
      <c r="H146">
        <v>1337.0355225000001</v>
      </c>
      <c r="I146">
        <v>1324.1424560999999</v>
      </c>
      <c r="J146">
        <v>1321.4111327999999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5.5042450000000001</v>
      </c>
      <c r="B147" s="1">
        <f>DATE(2010,5,6) + TIME(12,6,6)</f>
        <v>40304.504236111112</v>
      </c>
      <c r="C147">
        <v>80</v>
      </c>
      <c r="D147">
        <v>79.931228637999993</v>
      </c>
      <c r="E147">
        <v>50</v>
      </c>
      <c r="F147">
        <v>14.999670029000001</v>
      </c>
      <c r="G147">
        <v>1339.3803711</v>
      </c>
      <c r="H147">
        <v>1337.0311279</v>
      </c>
      <c r="I147">
        <v>1324.1425781</v>
      </c>
      <c r="J147">
        <v>1321.4112548999999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5.5570259999999996</v>
      </c>
      <c r="B148" s="1">
        <f>DATE(2010,5,6) + TIME(13,22,7)</f>
        <v>40304.557025462964</v>
      </c>
      <c r="C148">
        <v>80</v>
      </c>
      <c r="D148">
        <v>79.931823730000005</v>
      </c>
      <c r="E148">
        <v>50</v>
      </c>
      <c r="F148">
        <v>14.999670029000001</v>
      </c>
      <c r="G148">
        <v>1339.3756103999999</v>
      </c>
      <c r="H148">
        <v>1337.0267334</v>
      </c>
      <c r="I148">
        <v>1324.1427002</v>
      </c>
      <c r="J148">
        <v>1321.4113769999999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5.6098080000000001</v>
      </c>
      <c r="B149" s="1">
        <f>DATE(2010,5,6) + TIME(14,38,7)</f>
        <v>40304.609803240739</v>
      </c>
      <c r="C149">
        <v>80</v>
      </c>
      <c r="D149">
        <v>79.932365417</v>
      </c>
      <c r="E149">
        <v>50</v>
      </c>
      <c r="F149">
        <v>14.999670982</v>
      </c>
      <c r="G149">
        <v>1339.3709716999999</v>
      </c>
      <c r="H149">
        <v>1337.0223389</v>
      </c>
      <c r="I149">
        <v>1324.1428223</v>
      </c>
      <c r="J149">
        <v>1321.4113769999999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5.6625889999999997</v>
      </c>
      <c r="B150" s="1">
        <f>DATE(2010,5,6) + TIME(15,54,7)</f>
        <v>40304.662581018521</v>
      </c>
      <c r="C150">
        <v>80</v>
      </c>
      <c r="D150">
        <v>79.932868958</v>
      </c>
      <c r="E150">
        <v>50</v>
      </c>
      <c r="F150">
        <v>14.999671936</v>
      </c>
      <c r="G150">
        <v>1339.3662108999999</v>
      </c>
      <c r="H150">
        <v>1337.0179443</v>
      </c>
      <c r="I150">
        <v>1324.1429443</v>
      </c>
      <c r="J150">
        <v>1321.411499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5.7153710000000002</v>
      </c>
      <c r="B151" s="1">
        <f>DATE(2010,5,6) + TIME(17,10,8)</f>
        <v>40304.715370370373</v>
      </c>
      <c r="C151">
        <v>80</v>
      </c>
      <c r="D151">
        <v>79.933334350999999</v>
      </c>
      <c r="E151">
        <v>50</v>
      </c>
      <c r="F151">
        <v>14.999672889999999</v>
      </c>
      <c r="G151">
        <v>1339.3615723</v>
      </c>
      <c r="H151">
        <v>1337.0136719</v>
      </c>
      <c r="I151">
        <v>1324.1430664</v>
      </c>
      <c r="J151">
        <v>1321.411499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5.7681519999999997</v>
      </c>
      <c r="B152" s="1">
        <f>DATE(2010,5,6) + TIME(18,26,8)</f>
        <v>40304.768148148149</v>
      </c>
      <c r="C152">
        <v>80</v>
      </c>
      <c r="D152">
        <v>79.933753967000001</v>
      </c>
      <c r="E152">
        <v>50</v>
      </c>
      <c r="F152">
        <v>14.999672889999999</v>
      </c>
      <c r="G152">
        <v>1339.3569336</v>
      </c>
      <c r="H152">
        <v>1337.0093993999999</v>
      </c>
      <c r="I152">
        <v>1324.1431885</v>
      </c>
      <c r="J152">
        <v>1321.4116211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5.8737149999999998</v>
      </c>
      <c r="B153" s="1">
        <f>DATE(2010,5,6) + TIME(20,58,8)</f>
        <v>40304.873703703706</v>
      </c>
      <c r="C153">
        <v>80</v>
      </c>
      <c r="D153">
        <v>79.934486389</v>
      </c>
      <c r="E153">
        <v>50</v>
      </c>
      <c r="F153">
        <v>14.999674797000001</v>
      </c>
      <c r="G153">
        <v>1339.3522949000001</v>
      </c>
      <c r="H153">
        <v>1337.0053711</v>
      </c>
      <c r="I153">
        <v>1324.1433105000001</v>
      </c>
      <c r="J153">
        <v>1321.4117432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5.9794090000000004</v>
      </c>
      <c r="B154" s="1">
        <f>DATE(2010,5,6) + TIME(23,30,20)</f>
        <v>40304.979398148149</v>
      </c>
      <c r="C154">
        <v>80</v>
      </c>
      <c r="D154">
        <v>79.935104370000005</v>
      </c>
      <c r="E154">
        <v>50</v>
      </c>
      <c r="F154">
        <v>14.999675751</v>
      </c>
      <c r="G154">
        <v>1339.3431396000001</v>
      </c>
      <c r="H154">
        <v>1336.9969481999999</v>
      </c>
      <c r="I154">
        <v>1324.1435547000001</v>
      </c>
      <c r="J154">
        <v>1321.4118652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6.0857020000000004</v>
      </c>
      <c r="B155" s="1">
        <f>DATE(2010,5,7) + TIME(2,3,24)</f>
        <v>40305.085694444446</v>
      </c>
      <c r="C155">
        <v>80</v>
      </c>
      <c r="D155">
        <v>79.935646057</v>
      </c>
      <c r="E155">
        <v>50</v>
      </c>
      <c r="F155">
        <v>14.999676704000001</v>
      </c>
      <c r="G155">
        <v>1339.3338623</v>
      </c>
      <c r="H155">
        <v>1336.9887695</v>
      </c>
      <c r="I155">
        <v>1324.1437988</v>
      </c>
      <c r="J155">
        <v>1321.4119873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6.1927640000000004</v>
      </c>
      <c r="B156" s="1">
        <f>DATE(2010,5,7) + TIME(4,37,34)</f>
        <v>40305.192754629628</v>
      </c>
      <c r="C156">
        <v>80</v>
      </c>
      <c r="D156">
        <v>79.936119079999997</v>
      </c>
      <c r="E156">
        <v>50</v>
      </c>
      <c r="F156">
        <v>14.999678612</v>
      </c>
      <c r="G156">
        <v>1339.324707</v>
      </c>
      <c r="H156">
        <v>1336.9804687999999</v>
      </c>
      <c r="I156">
        <v>1324.144043</v>
      </c>
      <c r="J156">
        <v>1321.4122314000001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6.3007660000000003</v>
      </c>
      <c r="B157" s="1">
        <f>DATE(2010,5,7) + TIME(7,13,6)</f>
        <v>40305.300763888888</v>
      </c>
      <c r="C157">
        <v>80</v>
      </c>
      <c r="D157">
        <v>79.936523437999995</v>
      </c>
      <c r="E157">
        <v>50</v>
      </c>
      <c r="F157">
        <v>14.999679564999999</v>
      </c>
      <c r="G157">
        <v>1339.3154297000001</v>
      </c>
      <c r="H157">
        <v>1336.9722899999999</v>
      </c>
      <c r="I157">
        <v>1324.1442870999999</v>
      </c>
      <c r="J157">
        <v>1321.4123535000001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6.4098810000000004</v>
      </c>
      <c r="B158" s="1">
        <f>DATE(2010,5,7) + TIME(9,50,13)</f>
        <v>40305.409872685188</v>
      </c>
      <c r="C158">
        <v>80</v>
      </c>
      <c r="D158">
        <v>79.936882018999995</v>
      </c>
      <c r="E158">
        <v>50</v>
      </c>
      <c r="F158">
        <v>14.999680519</v>
      </c>
      <c r="G158">
        <v>1339.3062743999999</v>
      </c>
      <c r="H158">
        <v>1336.9642334</v>
      </c>
      <c r="I158">
        <v>1324.1445312000001</v>
      </c>
      <c r="J158">
        <v>1321.4124756000001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6.5202859999999996</v>
      </c>
      <c r="B159" s="1">
        <f>DATE(2010,5,7) + TIME(12,29,12)</f>
        <v>40305.520277777781</v>
      </c>
      <c r="C159">
        <v>80</v>
      </c>
      <c r="D159">
        <v>79.937194824000002</v>
      </c>
      <c r="E159">
        <v>50</v>
      </c>
      <c r="F159">
        <v>14.999681473000001</v>
      </c>
      <c r="G159">
        <v>1339.2971190999999</v>
      </c>
      <c r="H159">
        <v>1336.9561768000001</v>
      </c>
      <c r="I159">
        <v>1324.1447754000001</v>
      </c>
      <c r="J159">
        <v>1321.4127197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6.6321649999999996</v>
      </c>
      <c r="B160" s="1">
        <f>DATE(2010,5,7) + TIME(15,10,19)</f>
        <v>40305.632164351853</v>
      </c>
      <c r="C160">
        <v>80</v>
      </c>
      <c r="D160">
        <v>79.937469481999997</v>
      </c>
      <c r="E160">
        <v>50</v>
      </c>
      <c r="F160">
        <v>14.99968338</v>
      </c>
      <c r="G160">
        <v>1339.2878418</v>
      </c>
      <c r="H160">
        <v>1336.9482422000001</v>
      </c>
      <c r="I160">
        <v>1324.1448975000001</v>
      </c>
      <c r="J160">
        <v>1321.4128418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6.7457089999999997</v>
      </c>
      <c r="B161" s="1">
        <f>DATE(2010,5,7) + TIME(17,53,49)</f>
        <v>40305.745706018519</v>
      </c>
      <c r="C161">
        <v>80</v>
      </c>
      <c r="D161">
        <v>79.937713622999993</v>
      </c>
      <c r="E161">
        <v>50</v>
      </c>
      <c r="F161">
        <v>14.999684333999999</v>
      </c>
      <c r="G161">
        <v>1339.2785644999999</v>
      </c>
      <c r="H161">
        <v>1336.9401855000001</v>
      </c>
      <c r="I161">
        <v>1324.1451416</v>
      </c>
      <c r="J161">
        <v>1321.4129639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6.8611190000000004</v>
      </c>
      <c r="B162" s="1">
        <f>DATE(2010,5,7) + TIME(20,40,0)</f>
        <v>40305.861111111109</v>
      </c>
      <c r="C162">
        <v>80</v>
      </c>
      <c r="D162">
        <v>79.937927246000001</v>
      </c>
      <c r="E162">
        <v>50</v>
      </c>
      <c r="F162">
        <v>14.999685287</v>
      </c>
      <c r="G162">
        <v>1339.2692870999999</v>
      </c>
      <c r="H162">
        <v>1336.932251</v>
      </c>
      <c r="I162">
        <v>1324.1453856999999</v>
      </c>
      <c r="J162">
        <v>1321.4130858999999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6.978637</v>
      </c>
      <c r="B163" s="1">
        <f>DATE(2010,5,7) + TIME(23,29,14)</f>
        <v>40305.978634259256</v>
      </c>
      <c r="C163">
        <v>80</v>
      </c>
      <c r="D163">
        <v>79.938110351999995</v>
      </c>
      <c r="E163">
        <v>50</v>
      </c>
      <c r="F163">
        <v>14.999686240999999</v>
      </c>
      <c r="G163">
        <v>1339.2600098</v>
      </c>
      <c r="H163">
        <v>1336.9243164</v>
      </c>
      <c r="I163">
        <v>1324.1456298999999</v>
      </c>
      <c r="J163">
        <v>1321.4133300999999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7.0984870000000004</v>
      </c>
      <c r="B164" s="1">
        <f>DATE(2010,5,8) + TIME(2,21,49)</f>
        <v>40306.098483796297</v>
      </c>
      <c r="C164">
        <v>80</v>
      </c>
      <c r="D164">
        <v>79.938278198000006</v>
      </c>
      <c r="E164">
        <v>50</v>
      </c>
      <c r="F164">
        <v>14.999688148000001</v>
      </c>
      <c r="G164">
        <v>1339.2506103999999</v>
      </c>
      <c r="H164">
        <v>1336.9163818</v>
      </c>
      <c r="I164">
        <v>1324.145874</v>
      </c>
      <c r="J164">
        <v>1321.4134521000001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7.2208930000000002</v>
      </c>
      <c r="B165" s="1">
        <f>DATE(2010,5,8) + TIME(5,18,5)</f>
        <v>40306.220891203702</v>
      </c>
      <c r="C165">
        <v>80</v>
      </c>
      <c r="D165">
        <v>79.938423157000003</v>
      </c>
      <c r="E165">
        <v>50</v>
      </c>
      <c r="F165">
        <v>14.999689102</v>
      </c>
      <c r="G165">
        <v>1339.2410889</v>
      </c>
      <c r="H165">
        <v>1336.9084473</v>
      </c>
      <c r="I165">
        <v>1324.1462402</v>
      </c>
      <c r="J165">
        <v>1321.4136963000001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7.3461210000000001</v>
      </c>
      <c r="B166" s="1">
        <f>DATE(2010,5,8) + TIME(8,18,24)</f>
        <v>40306.34611111111</v>
      </c>
      <c r="C166">
        <v>80</v>
      </c>
      <c r="D166">
        <v>79.938545227000006</v>
      </c>
      <c r="E166">
        <v>50</v>
      </c>
      <c r="F166">
        <v>14.999690056</v>
      </c>
      <c r="G166">
        <v>1339.2314452999999</v>
      </c>
      <c r="H166">
        <v>1336.9003906</v>
      </c>
      <c r="I166">
        <v>1324.1464844</v>
      </c>
      <c r="J166">
        <v>1321.4138184000001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7.4743899999999996</v>
      </c>
      <c r="B167" s="1">
        <f>DATE(2010,5,8) + TIME(11,23,7)</f>
        <v>40306.474386574075</v>
      </c>
      <c r="C167">
        <v>80</v>
      </c>
      <c r="D167">
        <v>79.938659668</v>
      </c>
      <c r="E167">
        <v>50</v>
      </c>
      <c r="F167">
        <v>14.999691963</v>
      </c>
      <c r="G167">
        <v>1339.2218018000001</v>
      </c>
      <c r="H167">
        <v>1336.8924560999999</v>
      </c>
      <c r="I167">
        <v>1324.1467285000001</v>
      </c>
      <c r="J167">
        <v>1321.4139404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7.6052999999999997</v>
      </c>
      <c r="B168" s="1">
        <f>DATE(2010,5,8) + TIME(14,31,37)</f>
        <v>40306.60528935185</v>
      </c>
      <c r="C168">
        <v>80</v>
      </c>
      <c r="D168">
        <v>79.938751221000004</v>
      </c>
      <c r="E168">
        <v>50</v>
      </c>
      <c r="F168">
        <v>14.999692917000001</v>
      </c>
      <c r="G168">
        <v>1339.2120361</v>
      </c>
      <c r="H168">
        <v>1336.8843993999999</v>
      </c>
      <c r="I168">
        <v>1324.1469727000001</v>
      </c>
      <c r="J168">
        <v>1321.4141846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7.7391399999999999</v>
      </c>
      <c r="B169" s="1">
        <f>DATE(2010,5,8) + TIME(17,44,21)</f>
        <v>40306.739131944443</v>
      </c>
      <c r="C169">
        <v>80</v>
      </c>
      <c r="D169">
        <v>79.938835143999995</v>
      </c>
      <c r="E169">
        <v>50</v>
      </c>
      <c r="F169">
        <v>14.999693871</v>
      </c>
      <c r="G169">
        <v>1339.2021483999999</v>
      </c>
      <c r="H169">
        <v>1336.8763428</v>
      </c>
      <c r="I169">
        <v>1324.1472168</v>
      </c>
      <c r="J169">
        <v>1321.4143065999999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7.876214</v>
      </c>
      <c r="B170" s="1">
        <f>DATE(2010,5,8) + TIME(21,1,44)</f>
        <v>40306.876203703701</v>
      </c>
      <c r="C170">
        <v>80</v>
      </c>
      <c r="D170">
        <v>79.938903808999996</v>
      </c>
      <c r="E170">
        <v>50</v>
      </c>
      <c r="F170">
        <v>14.999695778</v>
      </c>
      <c r="G170">
        <v>1339.1922606999999</v>
      </c>
      <c r="H170">
        <v>1336.8681641000001</v>
      </c>
      <c r="I170">
        <v>1324.1475829999999</v>
      </c>
      <c r="J170">
        <v>1321.4145507999999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7.9452540000000003</v>
      </c>
      <c r="B171" s="1">
        <f>DATE(2010,5,8) + TIME(22,41,9)</f>
        <v>40306.945243055554</v>
      </c>
      <c r="C171">
        <v>80</v>
      </c>
      <c r="D171">
        <v>79.938934325999995</v>
      </c>
      <c r="E171">
        <v>50</v>
      </c>
      <c r="F171">
        <v>14.999695778</v>
      </c>
      <c r="G171">
        <v>1339.1820068</v>
      </c>
      <c r="H171">
        <v>1336.8598632999999</v>
      </c>
      <c r="I171">
        <v>1324.1478271000001</v>
      </c>
      <c r="J171">
        <v>1321.4146728999999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8.0142939999999996</v>
      </c>
      <c r="B172" s="1">
        <f>DATE(2010,5,9) + TIME(0,20,34)</f>
        <v>40307.014282407406</v>
      </c>
      <c r="C172">
        <v>80</v>
      </c>
      <c r="D172">
        <v>79.938957213999998</v>
      </c>
      <c r="E172">
        <v>50</v>
      </c>
      <c r="F172">
        <v>14.999696732</v>
      </c>
      <c r="G172">
        <v>1339.1770019999999</v>
      </c>
      <c r="H172">
        <v>1336.8557129000001</v>
      </c>
      <c r="I172">
        <v>1324.1479492000001</v>
      </c>
      <c r="J172">
        <v>1321.4147949000001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8.0833340000000007</v>
      </c>
      <c r="B173" s="1">
        <f>DATE(2010,5,9) + TIME(2,0,0)</f>
        <v>40307.083333333336</v>
      </c>
      <c r="C173">
        <v>80</v>
      </c>
      <c r="D173">
        <v>79.938980103000006</v>
      </c>
      <c r="E173">
        <v>50</v>
      </c>
      <c r="F173">
        <v>14.999697684999999</v>
      </c>
      <c r="G173">
        <v>1339.1719971</v>
      </c>
      <c r="H173">
        <v>1336.8516846</v>
      </c>
      <c r="I173">
        <v>1324.1480713000001</v>
      </c>
      <c r="J173">
        <v>1321.4149170000001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8.152374</v>
      </c>
      <c r="B174" s="1">
        <f>DATE(2010,5,9) + TIME(3,39,25)</f>
        <v>40307.152372685188</v>
      </c>
      <c r="C174">
        <v>80</v>
      </c>
      <c r="D174">
        <v>79.939002990999995</v>
      </c>
      <c r="E174">
        <v>50</v>
      </c>
      <c r="F174">
        <v>14.999697684999999</v>
      </c>
      <c r="G174">
        <v>1339.1671143000001</v>
      </c>
      <c r="H174">
        <v>1336.8476562000001</v>
      </c>
      <c r="I174">
        <v>1324.1481934000001</v>
      </c>
      <c r="J174">
        <v>1321.4150391000001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8.2214139999999993</v>
      </c>
      <c r="B175" s="1">
        <f>DATE(2010,5,9) + TIME(5,18,50)</f>
        <v>40307.221412037034</v>
      </c>
      <c r="C175">
        <v>80</v>
      </c>
      <c r="D175">
        <v>79.939018250000004</v>
      </c>
      <c r="E175">
        <v>50</v>
      </c>
      <c r="F175">
        <v>14.999698639</v>
      </c>
      <c r="G175">
        <v>1339.1622314000001</v>
      </c>
      <c r="H175">
        <v>1336.84375</v>
      </c>
      <c r="I175">
        <v>1324.1483154</v>
      </c>
      <c r="J175">
        <v>1321.4150391000001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8.2904540000000004</v>
      </c>
      <c r="B176" s="1">
        <f>DATE(2010,5,9) + TIME(6,58,15)</f>
        <v>40307.290451388886</v>
      </c>
      <c r="C176">
        <v>80</v>
      </c>
      <c r="D176">
        <v>79.939033507999994</v>
      </c>
      <c r="E176">
        <v>50</v>
      </c>
      <c r="F176">
        <v>14.999699593000001</v>
      </c>
      <c r="G176">
        <v>1339.1573486</v>
      </c>
      <c r="H176">
        <v>1336.8398437999999</v>
      </c>
      <c r="I176">
        <v>1324.1484375</v>
      </c>
      <c r="J176">
        <v>1321.4151611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8.3594939999999998</v>
      </c>
      <c r="B177" s="1">
        <f>DATE(2010,5,9) + TIME(8,37,40)</f>
        <v>40307.359490740739</v>
      </c>
      <c r="C177">
        <v>80</v>
      </c>
      <c r="D177">
        <v>79.939048767000003</v>
      </c>
      <c r="E177">
        <v>50</v>
      </c>
      <c r="F177">
        <v>14.999699593000001</v>
      </c>
      <c r="G177">
        <v>1339.1524658000001</v>
      </c>
      <c r="H177">
        <v>1336.8359375</v>
      </c>
      <c r="I177">
        <v>1324.1486815999999</v>
      </c>
      <c r="J177">
        <v>1321.4152832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8.4285340000000009</v>
      </c>
      <c r="B178" s="1">
        <f>DATE(2010,5,9) + TIME(10,17,5)</f>
        <v>40307.428530092591</v>
      </c>
      <c r="C178">
        <v>80</v>
      </c>
      <c r="D178">
        <v>79.939064025999997</v>
      </c>
      <c r="E178">
        <v>50</v>
      </c>
      <c r="F178">
        <v>14.999700546</v>
      </c>
      <c r="G178">
        <v>1339.1477050999999</v>
      </c>
      <c r="H178">
        <v>1336.8321533000001</v>
      </c>
      <c r="I178">
        <v>1324.1488036999999</v>
      </c>
      <c r="J178">
        <v>1321.4154053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8.4975740000000002</v>
      </c>
      <c r="B179" s="1">
        <f>DATE(2010,5,9) + TIME(11,56,30)</f>
        <v>40307.497569444444</v>
      </c>
      <c r="C179">
        <v>80</v>
      </c>
      <c r="D179">
        <v>79.939071655000006</v>
      </c>
      <c r="E179">
        <v>50</v>
      </c>
      <c r="F179">
        <v>14.9997015</v>
      </c>
      <c r="G179">
        <v>1339.1429443</v>
      </c>
      <c r="H179">
        <v>1336.8282471</v>
      </c>
      <c r="I179">
        <v>1324.1489257999999</v>
      </c>
      <c r="J179">
        <v>1321.4154053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8.5666139999999995</v>
      </c>
      <c r="B180" s="1">
        <f>DATE(2010,5,9) + TIME(13,35,55)</f>
        <v>40307.566608796296</v>
      </c>
      <c r="C180">
        <v>80</v>
      </c>
      <c r="D180">
        <v>79.939086914000001</v>
      </c>
      <c r="E180">
        <v>50</v>
      </c>
      <c r="F180">
        <v>14.9997015</v>
      </c>
      <c r="G180">
        <v>1339.1381836</v>
      </c>
      <c r="H180">
        <v>1336.8244629000001</v>
      </c>
      <c r="I180">
        <v>1324.1490478999999</v>
      </c>
      <c r="J180">
        <v>1321.4155272999999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8.6356540000000006</v>
      </c>
      <c r="B181" s="1">
        <f>DATE(2010,5,9) + TIME(15,15,20)</f>
        <v>40307.635648148149</v>
      </c>
      <c r="C181">
        <v>80</v>
      </c>
      <c r="D181">
        <v>79.939094542999996</v>
      </c>
      <c r="E181">
        <v>50</v>
      </c>
      <c r="F181">
        <v>14.999702453999999</v>
      </c>
      <c r="G181">
        <v>1339.1334228999999</v>
      </c>
      <c r="H181">
        <v>1336.8208007999999</v>
      </c>
      <c r="I181">
        <v>1324.1491699000001</v>
      </c>
      <c r="J181">
        <v>1321.4156493999999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8.7737339999999993</v>
      </c>
      <c r="B182" s="1">
        <f>DATE(2010,5,9) + TIME(18,34,10)</f>
        <v>40307.773726851854</v>
      </c>
      <c r="C182">
        <v>80</v>
      </c>
      <c r="D182">
        <v>79.939109802000004</v>
      </c>
      <c r="E182">
        <v>50</v>
      </c>
      <c r="F182">
        <v>14.999703407</v>
      </c>
      <c r="G182">
        <v>1339.1289062000001</v>
      </c>
      <c r="H182">
        <v>1336.8172606999999</v>
      </c>
      <c r="I182">
        <v>1324.1494141000001</v>
      </c>
      <c r="J182">
        <v>1321.4157714999999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8.9119530000000005</v>
      </c>
      <c r="B183" s="1">
        <f>DATE(2010,5,9) + TIME(21,53,12)</f>
        <v>40307.911944444444</v>
      </c>
      <c r="C183">
        <v>80</v>
      </c>
      <c r="D183">
        <v>79.939117432000003</v>
      </c>
      <c r="E183">
        <v>50</v>
      </c>
      <c r="F183">
        <v>14.999704360999999</v>
      </c>
      <c r="G183">
        <v>1339.1196289</v>
      </c>
      <c r="H183">
        <v>1336.8099365</v>
      </c>
      <c r="I183">
        <v>1324.1496582</v>
      </c>
      <c r="J183">
        <v>1321.4160156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9.0511970000000002</v>
      </c>
      <c r="B184" s="1">
        <f>DATE(2010,5,10) + TIME(1,13,43)</f>
        <v>40308.051192129627</v>
      </c>
      <c r="C184">
        <v>80</v>
      </c>
      <c r="D184">
        <v>79.939125060999999</v>
      </c>
      <c r="E184">
        <v>50</v>
      </c>
      <c r="F184">
        <v>14.999706268000001</v>
      </c>
      <c r="G184">
        <v>1339.1104736</v>
      </c>
      <c r="H184">
        <v>1336.8027344</v>
      </c>
      <c r="I184">
        <v>1324.1499022999999</v>
      </c>
      <c r="J184">
        <v>1321.4161377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9.1917010000000001</v>
      </c>
      <c r="B185" s="1">
        <f>DATE(2010,5,10) + TIME(4,36,2)</f>
        <v>40308.191689814812</v>
      </c>
      <c r="C185">
        <v>80</v>
      </c>
      <c r="D185">
        <v>79.939125060999999</v>
      </c>
      <c r="E185">
        <v>50</v>
      </c>
      <c r="F185">
        <v>14.999707222</v>
      </c>
      <c r="G185">
        <v>1339.1013184000001</v>
      </c>
      <c r="H185">
        <v>1336.7955322</v>
      </c>
      <c r="I185">
        <v>1324.1502685999999</v>
      </c>
      <c r="J185">
        <v>1321.4163818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9.3337050000000001</v>
      </c>
      <c r="B186" s="1">
        <f>DATE(2010,5,10) + TIME(8,0,32)</f>
        <v>40308.333703703705</v>
      </c>
      <c r="C186">
        <v>80</v>
      </c>
      <c r="D186">
        <v>79.939117432000003</v>
      </c>
      <c r="E186">
        <v>50</v>
      </c>
      <c r="F186">
        <v>14.999708176</v>
      </c>
      <c r="G186">
        <v>1339.0922852000001</v>
      </c>
      <c r="H186">
        <v>1336.7885742000001</v>
      </c>
      <c r="I186">
        <v>1324.1505127</v>
      </c>
      <c r="J186">
        <v>1321.4165039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9.4774589999999996</v>
      </c>
      <c r="B187" s="1">
        <f>DATE(2010,5,10) + TIME(11,27,32)</f>
        <v>40308.477453703701</v>
      </c>
      <c r="C187">
        <v>80</v>
      </c>
      <c r="D187">
        <v>79.939109802000004</v>
      </c>
      <c r="E187">
        <v>50</v>
      </c>
      <c r="F187">
        <v>14.999709128999999</v>
      </c>
      <c r="G187">
        <v>1339.0831298999999</v>
      </c>
      <c r="H187">
        <v>1336.7814940999999</v>
      </c>
      <c r="I187">
        <v>1324.1507568</v>
      </c>
      <c r="J187">
        <v>1321.4167480000001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9.6232229999999994</v>
      </c>
      <c r="B188" s="1">
        <f>DATE(2010,5,10) + TIME(14,57,26)</f>
        <v>40308.623217592591</v>
      </c>
      <c r="C188">
        <v>80</v>
      </c>
      <c r="D188">
        <v>79.939102172999995</v>
      </c>
      <c r="E188">
        <v>50</v>
      </c>
      <c r="F188">
        <v>14.999710083</v>
      </c>
      <c r="G188">
        <v>1339.0740966999999</v>
      </c>
      <c r="H188">
        <v>1336.7745361</v>
      </c>
      <c r="I188">
        <v>1324.1511230000001</v>
      </c>
      <c r="J188">
        <v>1321.4169922000001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9.7712679999999992</v>
      </c>
      <c r="B189" s="1">
        <f>DATE(2010,5,10) + TIME(18,30,37)</f>
        <v>40308.771261574075</v>
      </c>
      <c r="C189">
        <v>80</v>
      </c>
      <c r="D189">
        <v>79.939079285000005</v>
      </c>
      <c r="E189">
        <v>50</v>
      </c>
      <c r="F189">
        <v>14.99971199</v>
      </c>
      <c r="G189">
        <v>1339.0650635</v>
      </c>
      <c r="H189">
        <v>1336.7675781</v>
      </c>
      <c r="I189">
        <v>1324.1513672000001</v>
      </c>
      <c r="J189">
        <v>1321.4171143000001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9.9219150000000003</v>
      </c>
      <c r="B190" s="1">
        <f>DATE(2010,5,10) + TIME(22,7,33)</f>
        <v>40308.921909722223</v>
      </c>
      <c r="C190">
        <v>80</v>
      </c>
      <c r="D190">
        <v>79.939064025999997</v>
      </c>
      <c r="E190">
        <v>50</v>
      </c>
      <c r="F190">
        <v>14.999712944000001</v>
      </c>
      <c r="G190">
        <v>1339.0560303</v>
      </c>
      <c r="H190">
        <v>1336.7606201000001</v>
      </c>
      <c r="I190">
        <v>1324.1517334</v>
      </c>
      <c r="J190">
        <v>1321.4173584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10.075473000000001</v>
      </c>
      <c r="B191" s="1">
        <f>DATE(2010,5,11) + TIME(1,48,40)</f>
        <v>40309.075462962966</v>
      </c>
      <c r="C191">
        <v>80</v>
      </c>
      <c r="D191">
        <v>79.939041137999993</v>
      </c>
      <c r="E191">
        <v>50</v>
      </c>
      <c r="F191">
        <v>14.999713898</v>
      </c>
      <c r="G191">
        <v>1339.046875</v>
      </c>
      <c r="H191">
        <v>1336.7536620999999</v>
      </c>
      <c r="I191">
        <v>1324.1519774999999</v>
      </c>
      <c r="J191">
        <v>1321.4176024999999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10.232239999999999</v>
      </c>
      <c r="B192" s="1">
        <f>DATE(2010,5,11) + TIME(5,34,25)</f>
        <v>40309.232233796298</v>
      </c>
      <c r="C192">
        <v>80</v>
      </c>
      <c r="D192">
        <v>79.939018250000004</v>
      </c>
      <c r="E192">
        <v>50</v>
      </c>
      <c r="F192">
        <v>14.999714851</v>
      </c>
      <c r="G192">
        <v>1339.0377197</v>
      </c>
      <c r="H192">
        <v>1336.7467041</v>
      </c>
      <c r="I192">
        <v>1324.1523437999999</v>
      </c>
      <c r="J192">
        <v>1321.4178466999999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10.392315999999999</v>
      </c>
      <c r="B193" s="1">
        <f>DATE(2010,5,11) + TIME(9,24,56)</f>
        <v>40309.392314814817</v>
      </c>
      <c r="C193">
        <v>80</v>
      </c>
      <c r="D193">
        <v>79.938987732000001</v>
      </c>
      <c r="E193">
        <v>50</v>
      </c>
      <c r="F193">
        <v>14.999715804999999</v>
      </c>
      <c r="G193">
        <v>1339.0284423999999</v>
      </c>
      <c r="H193">
        <v>1336.7397461</v>
      </c>
      <c r="I193">
        <v>1324.1527100000001</v>
      </c>
      <c r="J193">
        <v>1321.4179687999999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10.55514</v>
      </c>
      <c r="B194" s="1">
        <f>DATE(2010,5,11) + TIME(13,19,24)</f>
        <v>40309.555138888885</v>
      </c>
      <c r="C194">
        <v>80</v>
      </c>
      <c r="D194">
        <v>79.938957213999998</v>
      </c>
      <c r="E194">
        <v>50</v>
      </c>
      <c r="F194">
        <v>14.999717712000001</v>
      </c>
      <c r="G194">
        <v>1339.0191649999999</v>
      </c>
      <c r="H194">
        <v>1336.7327881000001</v>
      </c>
      <c r="I194">
        <v>1324.1529541</v>
      </c>
      <c r="J194">
        <v>1321.4182129000001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10.721093</v>
      </c>
      <c r="B195" s="1">
        <f>DATE(2010,5,11) + TIME(17,18,22)</f>
        <v>40309.721087962964</v>
      </c>
      <c r="C195">
        <v>80</v>
      </c>
      <c r="D195">
        <v>79.938926696999999</v>
      </c>
      <c r="E195">
        <v>50</v>
      </c>
      <c r="F195">
        <v>14.999718666</v>
      </c>
      <c r="G195">
        <v>1339.0098877</v>
      </c>
      <c r="H195">
        <v>1336.7258300999999</v>
      </c>
      <c r="I195">
        <v>1324.1533202999999</v>
      </c>
      <c r="J195">
        <v>1321.418457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10.890485</v>
      </c>
      <c r="B196" s="1">
        <f>DATE(2010,5,11) + TIME(21,22,17)</f>
        <v>40309.890474537038</v>
      </c>
      <c r="C196">
        <v>80</v>
      </c>
      <c r="D196">
        <v>79.938896178999997</v>
      </c>
      <c r="E196">
        <v>50</v>
      </c>
      <c r="F196">
        <v>14.99971962</v>
      </c>
      <c r="G196">
        <v>1339.0004882999999</v>
      </c>
      <c r="H196">
        <v>1336.71875</v>
      </c>
      <c r="I196">
        <v>1324.1536865</v>
      </c>
      <c r="J196">
        <v>1321.4187012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10.975942999999999</v>
      </c>
      <c r="B197" s="1">
        <f>DATE(2010,5,11) + TIME(23,25,21)</f>
        <v>40309.975937499999</v>
      </c>
      <c r="C197">
        <v>80</v>
      </c>
      <c r="D197">
        <v>79.938865661999998</v>
      </c>
      <c r="E197">
        <v>50</v>
      </c>
      <c r="F197">
        <v>14.999720572999999</v>
      </c>
      <c r="G197">
        <v>1338.9908447</v>
      </c>
      <c r="H197">
        <v>1336.7115478999999</v>
      </c>
      <c r="I197">
        <v>1324.1539307</v>
      </c>
      <c r="J197">
        <v>1321.4189452999999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11.061400000000001</v>
      </c>
      <c r="B198" s="1">
        <f>DATE(2010,5,12) + TIME(1,28,24)</f>
        <v>40310.061388888891</v>
      </c>
      <c r="C198">
        <v>80</v>
      </c>
      <c r="D198">
        <v>79.938842773000005</v>
      </c>
      <c r="E198">
        <v>50</v>
      </c>
      <c r="F198">
        <v>14.999720572999999</v>
      </c>
      <c r="G198">
        <v>1338.9862060999999</v>
      </c>
      <c r="H198">
        <v>1336.7080077999999</v>
      </c>
      <c r="I198">
        <v>1324.1541748</v>
      </c>
      <c r="J198">
        <v>1321.4189452999999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11.146858</v>
      </c>
      <c r="B199" s="1">
        <f>DATE(2010,5,12) + TIME(3,31,28)</f>
        <v>40310.146851851852</v>
      </c>
      <c r="C199">
        <v>80</v>
      </c>
      <c r="D199">
        <v>79.938819885000001</v>
      </c>
      <c r="E199">
        <v>50</v>
      </c>
      <c r="F199">
        <v>14.999721527</v>
      </c>
      <c r="G199">
        <v>1338.9814452999999</v>
      </c>
      <c r="H199">
        <v>1336.7045897999999</v>
      </c>
      <c r="I199">
        <v>1324.1542969</v>
      </c>
      <c r="J199">
        <v>1321.4190673999999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11.232316000000001</v>
      </c>
      <c r="B200" s="1">
        <f>DATE(2010,5,12) + TIME(5,34,32)</f>
        <v>40310.232314814813</v>
      </c>
      <c r="C200">
        <v>80</v>
      </c>
      <c r="D200">
        <v>79.938796996999997</v>
      </c>
      <c r="E200">
        <v>50</v>
      </c>
      <c r="F200">
        <v>14.999722480999999</v>
      </c>
      <c r="G200">
        <v>1338.9768065999999</v>
      </c>
      <c r="H200">
        <v>1336.7011719</v>
      </c>
      <c r="I200">
        <v>1324.1545410000001</v>
      </c>
      <c r="J200">
        <v>1321.4191894999999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11.317773000000001</v>
      </c>
      <c r="B201" s="1">
        <f>DATE(2010,5,12) + TIME(7,37,35)</f>
        <v>40310.317766203705</v>
      </c>
      <c r="C201">
        <v>80</v>
      </c>
      <c r="D201">
        <v>79.938774108999993</v>
      </c>
      <c r="E201">
        <v>50</v>
      </c>
      <c r="F201">
        <v>14.999722480999999</v>
      </c>
      <c r="G201">
        <v>1338.9722899999999</v>
      </c>
      <c r="H201">
        <v>1336.6977539</v>
      </c>
      <c r="I201">
        <v>1324.1546631000001</v>
      </c>
      <c r="J201">
        <v>1321.4193115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11.403231</v>
      </c>
      <c r="B202" s="1">
        <f>DATE(2010,5,12) + TIME(9,40,39)</f>
        <v>40310.403229166666</v>
      </c>
      <c r="C202">
        <v>80</v>
      </c>
      <c r="D202">
        <v>79.938758849999999</v>
      </c>
      <c r="E202">
        <v>50</v>
      </c>
      <c r="F202">
        <v>14.999723434</v>
      </c>
      <c r="G202">
        <v>1338.9676514</v>
      </c>
      <c r="H202">
        <v>1336.6943358999999</v>
      </c>
      <c r="I202">
        <v>1324.1549072</v>
      </c>
      <c r="J202">
        <v>1321.4194336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11.488689000000001</v>
      </c>
      <c r="B203" s="1">
        <f>DATE(2010,5,12) + TIME(11,43,42)</f>
        <v>40310.488680555558</v>
      </c>
      <c r="C203">
        <v>80</v>
      </c>
      <c r="D203">
        <v>79.938735961999996</v>
      </c>
      <c r="E203">
        <v>50</v>
      </c>
      <c r="F203">
        <v>14.999724388000001</v>
      </c>
      <c r="G203">
        <v>1338.9631348</v>
      </c>
      <c r="H203">
        <v>1336.6910399999999</v>
      </c>
      <c r="I203">
        <v>1324.1550293</v>
      </c>
      <c r="J203">
        <v>1321.4195557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11.574146000000001</v>
      </c>
      <c r="B204" s="1">
        <f>DATE(2010,5,12) + TIME(13,46,46)</f>
        <v>40310.574143518519</v>
      </c>
      <c r="C204">
        <v>80</v>
      </c>
      <c r="D204">
        <v>79.938713074000006</v>
      </c>
      <c r="E204">
        <v>50</v>
      </c>
      <c r="F204">
        <v>14.999724388000001</v>
      </c>
      <c r="G204">
        <v>1338.9586182</v>
      </c>
      <c r="H204">
        <v>1336.6877440999999</v>
      </c>
      <c r="I204">
        <v>1324.1552733999999</v>
      </c>
      <c r="J204">
        <v>1321.4196777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11.659604</v>
      </c>
      <c r="B205" s="1">
        <f>DATE(2010,5,12) + TIME(15,49,49)</f>
        <v>40310.659594907411</v>
      </c>
      <c r="C205">
        <v>80</v>
      </c>
      <c r="D205">
        <v>79.938690186000002</v>
      </c>
      <c r="E205">
        <v>50</v>
      </c>
      <c r="F205">
        <v>14.999725342</v>
      </c>
      <c r="G205">
        <v>1338.9541016000001</v>
      </c>
      <c r="H205">
        <v>1336.6844481999999</v>
      </c>
      <c r="I205">
        <v>1324.1553954999999</v>
      </c>
      <c r="J205">
        <v>1321.4197998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11.745062000000001</v>
      </c>
      <c r="B206" s="1">
        <f>DATE(2010,5,12) + TIME(17,52,53)</f>
        <v>40310.745057870372</v>
      </c>
      <c r="C206">
        <v>80</v>
      </c>
      <c r="D206">
        <v>79.938667296999995</v>
      </c>
      <c r="E206">
        <v>50</v>
      </c>
      <c r="F206">
        <v>14.999725342</v>
      </c>
      <c r="G206">
        <v>1338.949707</v>
      </c>
      <c r="H206">
        <v>1336.6812743999999</v>
      </c>
      <c r="I206">
        <v>1324.1555175999999</v>
      </c>
      <c r="J206">
        <v>1321.4199219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11.830519000000001</v>
      </c>
      <c r="B207" s="1">
        <f>DATE(2010,5,12) + TIME(19,55,56)</f>
        <v>40310.830509259256</v>
      </c>
      <c r="C207">
        <v>80</v>
      </c>
      <c r="D207">
        <v>79.938644409000005</v>
      </c>
      <c r="E207">
        <v>50</v>
      </c>
      <c r="F207">
        <v>14.999726295</v>
      </c>
      <c r="G207">
        <v>1338.9453125</v>
      </c>
      <c r="H207">
        <v>1336.6779785000001</v>
      </c>
      <c r="I207">
        <v>1324.1557617000001</v>
      </c>
      <c r="J207">
        <v>1321.4200439000001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11.915977</v>
      </c>
      <c r="B208" s="1">
        <f>DATE(2010,5,12) + TIME(21,59,0)</f>
        <v>40310.915972222225</v>
      </c>
      <c r="C208">
        <v>80</v>
      </c>
      <c r="D208">
        <v>79.938621521000002</v>
      </c>
      <c r="E208">
        <v>50</v>
      </c>
      <c r="F208">
        <v>14.999727248999999</v>
      </c>
      <c r="G208">
        <v>1338.940918</v>
      </c>
      <c r="H208">
        <v>1336.6748047000001</v>
      </c>
      <c r="I208">
        <v>1324.1558838000001</v>
      </c>
      <c r="J208">
        <v>1321.4201660000001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12.001435000000001</v>
      </c>
      <c r="B209" s="1">
        <f>DATE(2010,5,13) + TIME(0,2,3)</f>
        <v>40311.001423611109</v>
      </c>
      <c r="C209">
        <v>80</v>
      </c>
      <c r="D209">
        <v>79.938598632999998</v>
      </c>
      <c r="E209">
        <v>50</v>
      </c>
      <c r="F209">
        <v>14.999727248999999</v>
      </c>
      <c r="G209">
        <v>1338.9365233999999</v>
      </c>
      <c r="H209">
        <v>1336.6716309000001</v>
      </c>
      <c r="I209">
        <v>1324.1561279</v>
      </c>
      <c r="J209">
        <v>1321.4202881000001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12.17235</v>
      </c>
      <c r="B210" s="1">
        <f>DATE(2010,5,13) + TIME(4,8,11)</f>
        <v>40311.172349537039</v>
      </c>
      <c r="C210">
        <v>80</v>
      </c>
      <c r="D210">
        <v>79.938560486</v>
      </c>
      <c r="E210">
        <v>50</v>
      </c>
      <c r="F210">
        <v>14.999728203</v>
      </c>
      <c r="G210">
        <v>1338.9323730000001</v>
      </c>
      <c r="H210">
        <v>1336.6687012</v>
      </c>
      <c r="I210">
        <v>1324.15625</v>
      </c>
      <c r="J210">
        <v>1321.4204102000001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12.343384</v>
      </c>
      <c r="B211" s="1">
        <f>DATE(2010,5,13) + TIME(8,14,28)</f>
        <v>40311.34337962963</v>
      </c>
      <c r="C211">
        <v>80</v>
      </c>
      <c r="D211">
        <v>79.938522339000002</v>
      </c>
      <c r="E211">
        <v>50</v>
      </c>
      <c r="F211">
        <v>14.99973011</v>
      </c>
      <c r="G211">
        <v>1338.9238281</v>
      </c>
      <c r="H211">
        <v>1336.6624756000001</v>
      </c>
      <c r="I211">
        <v>1324.1566161999999</v>
      </c>
      <c r="J211">
        <v>1321.4206543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12.515936</v>
      </c>
      <c r="B212" s="1">
        <f>DATE(2010,5,13) + TIME(12,22,56)</f>
        <v>40311.515925925924</v>
      </c>
      <c r="C212">
        <v>80</v>
      </c>
      <c r="D212">
        <v>79.938484192000004</v>
      </c>
      <c r="E212">
        <v>50</v>
      </c>
      <c r="F212">
        <v>14.999731064000001</v>
      </c>
      <c r="G212">
        <v>1338.9152832</v>
      </c>
      <c r="H212">
        <v>1336.6563721</v>
      </c>
      <c r="I212">
        <v>1324.1569824000001</v>
      </c>
      <c r="J212">
        <v>1321.4208983999999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12.690321000000001</v>
      </c>
      <c r="B213" s="1">
        <f>DATE(2010,5,13) + TIME(16,34,3)</f>
        <v>40311.690312500003</v>
      </c>
      <c r="C213">
        <v>80</v>
      </c>
      <c r="D213">
        <v>79.938446045000006</v>
      </c>
      <c r="E213">
        <v>50</v>
      </c>
      <c r="F213">
        <v>14.999732018</v>
      </c>
      <c r="G213">
        <v>1338.9068603999999</v>
      </c>
      <c r="H213">
        <v>1336.6502685999999</v>
      </c>
      <c r="I213">
        <v>1324.1573486</v>
      </c>
      <c r="J213">
        <v>1321.4211425999999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12.866868</v>
      </c>
      <c r="B214" s="1">
        <f>DATE(2010,5,13) + TIME(20,48,17)</f>
        <v>40311.866863425923</v>
      </c>
      <c r="C214">
        <v>80</v>
      </c>
      <c r="D214">
        <v>79.938400268999999</v>
      </c>
      <c r="E214">
        <v>50</v>
      </c>
      <c r="F214">
        <v>14.999732971</v>
      </c>
      <c r="G214">
        <v>1338.8984375</v>
      </c>
      <c r="H214">
        <v>1336.6441649999999</v>
      </c>
      <c r="I214">
        <v>1324.1577147999999</v>
      </c>
      <c r="J214">
        <v>1321.4213867000001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13.045921999999999</v>
      </c>
      <c r="B215" s="1">
        <f>DATE(2010,5,14) + TIME(1,6,7)</f>
        <v>40312.045914351853</v>
      </c>
      <c r="C215">
        <v>80</v>
      </c>
      <c r="D215">
        <v>79.938354492000002</v>
      </c>
      <c r="E215">
        <v>50</v>
      </c>
      <c r="F215">
        <v>14.999733924999999</v>
      </c>
      <c r="G215">
        <v>1338.8900146000001</v>
      </c>
      <c r="H215">
        <v>1336.6381836</v>
      </c>
      <c r="I215">
        <v>1324.1580810999999</v>
      </c>
      <c r="J215">
        <v>1321.4216309000001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13.227847000000001</v>
      </c>
      <c r="B216" s="1">
        <f>DATE(2010,5,14) + TIME(5,28,5)</f>
        <v>40312.227835648147</v>
      </c>
      <c r="C216">
        <v>80</v>
      </c>
      <c r="D216">
        <v>79.938308715999995</v>
      </c>
      <c r="E216">
        <v>50</v>
      </c>
      <c r="F216">
        <v>14.999734879</v>
      </c>
      <c r="G216">
        <v>1338.8815918</v>
      </c>
      <c r="H216">
        <v>1336.6320800999999</v>
      </c>
      <c r="I216">
        <v>1324.1584473</v>
      </c>
      <c r="J216">
        <v>1321.421875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13.41309</v>
      </c>
      <c r="B217" s="1">
        <f>DATE(2010,5,14) + TIME(9,54,50)</f>
        <v>40312.413078703707</v>
      </c>
      <c r="C217">
        <v>80</v>
      </c>
      <c r="D217">
        <v>79.938262938999998</v>
      </c>
      <c r="E217">
        <v>50</v>
      </c>
      <c r="F217">
        <v>14.999735832000001</v>
      </c>
      <c r="G217">
        <v>1338.8731689000001</v>
      </c>
      <c r="H217">
        <v>1336.6260986</v>
      </c>
      <c r="I217">
        <v>1324.1588135</v>
      </c>
      <c r="J217">
        <v>1321.4221190999999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13.602023000000001</v>
      </c>
      <c r="B218" s="1">
        <f>DATE(2010,5,14) + TIME(14,26,54)</f>
        <v>40312.602013888885</v>
      </c>
      <c r="C218">
        <v>80</v>
      </c>
      <c r="D218">
        <v>79.938209533999995</v>
      </c>
      <c r="E218">
        <v>50</v>
      </c>
      <c r="F218">
        <v>14.999736786</v>
      </c>
      <c r="G218">
        <v>1338.864624</v>
      </c>
      <c r="H218">
        <v>1336.6199951000001</v>
      </c>
      <c r="I218">
        <v>1324.1591797000001</v>
      </c>
      <c r="J218">
        <v>1321.4223632999999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13.795069</v>
      </c>
      <c r="B219" s="1">
        <f>DATE(2010,5,14) + TIME(19,4,53)</f>
        <v>40312.795057870368</v>
      </c>
      <c r="C219">
        <v>80</v>
      </c>
      <c r="D219">
        <v>79.938163756999998</v>
      </c>
      <c r="E219">
        <v>50</v>
      </c>
      <c r="F219">
        <v>14.999738692999999</v>
      </c>
      <c r="G219">
        <v>1338.8560791</v>
      </c>
      <c r="H219">
        <v>1336.6140137</v>
      </c>
      <c r="I219">
        <v>1324.159668</v>
      </c>
      <c r="J219">
        <v>1321.4227295000001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13.990945</v>
      </c>
      <c r="B220" s="1">
        <f>DATE(2010,5,14) + TIME(23,46,57)</f>
        <v>40312.990937499999</v>
      </c>
      <c r="C220">
        <v>80</v>
      </c>
      <c r="D220">
        <v>79.938110351999995</v>
      </c>
      <c r="E220">
        <v>50</v>
      </c>
      <c r="F220">
        <v>14.999739647</v>
      </c>
      <c r="G220">
        <v>1338.8474120999999</v>
      </c>
      <c r="H220">
        <v>1336.6079102000001</v>
      </c>
      <c r="I220">
        <v>1324.1600341999999</v>
      </c>
      <c r="J220">
        <v>1321.4229736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14.189648999999999</v>
      </c>
      <c r="B221" s="1">
        <f>DATE(2010,5,15) + TIME(4,33,5)</f>
        <v>40313.189641203702</v>
      </c>
      <c r="C221">
        <v>80</v>
      </c>
      <c r="D221">
        <v>79.938064574999999</v>
      </c>
      <c r="E221">
        <v>50</v>
      </c>
      <c r="F221">
        <v>14.999740600999999</v>
      </c>
      <c r="G221">
        <v>1338.8387451000001</v>
      </c>
      <c r="H221">
        <v>1336.6018065999999</v>
      </c>
      <c r="I221">
        <v>1324.1604004000001</v>
      </c>
      <c r="J221">
        <v>1321.4232178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14.290625</v>
      </c>
      <c r="B222" s="1">
        <f>DATE(2010,5,15) + TIME(6,58,29)</f>
        <v>40313.290613425925</v>
      </c>
      <c r="C222">
        <v>80</v>
      </c>
      <c r="D222">
        <v>79.938026428000001</v>
      </c>
      <c r="E222">
        <v>50</v>
      </c>
      <c r="F222">
        <v>14.999741554</v>
      </c>
      <c r="G222">
        <v>1338.8300781</v>
      </c>
      <c r="H222">
        <v>1336.5955810999999</v>
      </c>
      <c r="I222">
        <v>1324.1607666</v>
      </c>
      <c r="J222">
        <v>1321.4234618999999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14.391601</v>
      </c>
      <c r="B223" s="1">
        <f>DATE(2010,5,15) + TIME(9,23,54)</f>
        <v>40313.391597222224</v>
      </c>
      <c r="C223">
        <v>80</v>
      </c>
      <c r="D223">
        <v>79.937995911000002</v>
      </c>
      <c r="E223">
        <v>50</v>
      </c>
      <c r="F223">
        <v>14.999741554</v>
      </c>
      <c r="G223">
        <v>1338.8256836</v>
      </c>
      <c r="H223">
        <v>1336.5925293</v>
      </c>
      <c r="I223">
        <v>1324.1610106999999</v>
      </c>
      <c r="J223">
        <v>1321.4235839999999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14.492577000000001</v>
      </c>
      <c r="B224" s="1">
        <f>DATE(2010,5,15) + TIME(11,49,18)</f>
        <v>40313.492569444446</v>
      </c>
      <c r="C224">
        <v>80</v>
      </c>
      <c r="D224">
        <v>79.937965392999999</v>
      </c>
      <c r="E224">
        <v>50</v>
      </c>
      <c r="F224">
        <v>14.999742508000001</v>
      </c>
      <c r="G224">
        <v>1338.8214111</v>
      </c>
      <c r="H224">
        <v>1336.5894774999999</v>
      </c>
      <c r="I224">
        <v>1324.1612548999999</v>
      </c>
      <c r="J224">
        <v>1321.4237060999999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14.593553</v>
      </c>
      <c r="B225" s="1">
        <f>DATE(2010,5,15) + TIME(14,14,42)</f>
        <v>40313.593541666669</v>
      </c>
      <c r="C225">
        <v>80</v>
      </c>
      <c r="D225">
        <v>79.937934874999996</v>
      </c>
      <c r="E225">
        <v>50</v>
      </c>
      <c r="F225">
        <v>14.999742508000001</v>
      </c>
      <c r="G225">
        <v>1338.8171387</v>
      </c>
      <c r="H225">
        <v>1336.5864257999999</v>
      </c>
      <c r="I225">
        <v>1324.1613769999999</v>
      </c>
      <c r="J225">
        <v>1321.4238281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14.694528999999999</v>
      </c>
      <c r="B226" s="1">
        <f>DATE(2010,5,15) + TIME(16,40,7)</f>
        <v>40313.694525462961</v>
      </c>
      <c r="C226">
        <v>80</v>
      </c>
      <c r="D226">
        <v>79.937911987000007</v>
      </c>
      <c r="E226">
        <v>50</v>
      </c>
      <c r="F226">
        <v>14.999743462</v>
      </c>
      <c r="G226">
        <v>1338.8128661999999</v>
      </c>
      <c r="H226">
        <v>1336.5834961</v>
      </c>
      <c r="I226">
        <v>1324.1616211</v>
      </c>
      <c r="J226">
        <v>1321.4239502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14.795505</v>
      </c>
      <c r="B227" s="1">
        <f>DATE(2010,5,15) + TIME(19,5,31)</f>
        <v>40313.795497685183</v>
      </c>
      <c r="C227">
        <v>80</v>
      </c>
      <c r="D227">
        <v>79.937881469999994</v>
      </c>
      <c r="E227">
        <v>50</v>
      </c>
      <c r="F227">
        <v>14.999744415</v>
      </c>
      <c r="G227">
        <v>1338.8085937999999</v>
      </c>
      <c r="H227">
        <v>1336.5804443</v>
      </c>
      <c r="I227">
        <v>1324.1618652</v>
      </c>
      <c r="J227">
        <v>1321.4241943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14.896481</v>
      </c>
      <c r="B228" s="1">
        <f>DATE(2010,5,15) + TIME(21,30,55)</f>
        <v>40313.896469907406</v>
      </c>
      <c r="C228">
        <v>80</v>
      </c>
      <c r="D228">
        <v>79.937850952000005</v>
      </c>
      <c r="E228">
        <v>50</v>
      </c>
      <c r="F228">
        <v>14.999744415</v>
      </c>
      <c r="G228">
        <v>1338.8044434000001</v>
      </c>
      <c r="H228">
        <v>1336.5775146000001</v>
      </c>
      <c r="I228">
        <v>1324.1621094</v>
      </c>
      <c r="J228">
        <v>1321.4243164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14.997457000000001</v>
      </c>
      <c r="B229" s="1">
        <f>DATE(2010,5,15) + TIME(23,56,20)</f>
        <v>40313.997453703705</v>
      </c>
      <c r="C229">
        <v>80</v>
      </c>
      <c r="D229">
        <v>79.937828064000001</v>
      </c>
      <c r="E229">
        <v>50</v>
      </c>
      <c r="F229">
        <v>14.999745368999999</v>
      </c>
      <c r="G229">
        <v>1338.8001709</v>
      </c>
      <c r="H229">
        <v>1336.574707</v>
      </c>
      <c r="I229">
        <v>1324.1622314000001</v>
      </c>
      <c r="J229">
        <v>1321.4244385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15.098433</v>
      </c>
      <c r="B230" s="1">
        <f>DATE(2010,5,16) + TIME(2,21,44)</f>
        <v>40314.098425925928</v>
      </c>
      <c r="C230">
        <v>80</v>
      </c>
      <c r="D230">
        <v>79.937797545999999</v>
      </c>
      <c r="E230">
        <v>50</v>
      </c>
      <c r="F230">
        <v>14.999745368999999</v>
      </c>
      <c r="G230">
        <v>1338.7961425999999</v>
      </c>
      <c r="H230">
        <v>1336.5717772999999</v>
      </c>
      <c r="I230">
        <v>1324.1624756000001</v>
      </c>
      <c r="J230">
        <v>1321.4245605000001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15.199408999999999</v>
      </c>
      <c r="B231" s="1">
        <f>DATE(2010,5,16) + TIME(4,47,8)</f>
        <v>40314.19939814815</v>
      </c>
      <c r="C231">
        <v>80</v>
      </c>
      <c r="D231">
        <v>79.937774657999995</v>
      </c>
      <c r="E231">
        <v>50</v>
      </c>
      <c r="F231">
        <v>14.999746323</v>
      </c>
      <c r="G231">
        <v>1338.7919922000001</v>
      </c>
      <c r="H231">
        <v>1336.5689697</v>
      </c>
      <c r="I231">
        <v>1324.1627197</v>
      </c>
      <c r="J231">
        <v>1321.4246826000001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15.300385</v>
      </c>
      <c r="B232" s="1">
        <f>DATE(2010,5,16) + TIME(7,12,33)</f>
        <v>40314.300381944442</v>
      </c>
      <c r="C232">
        <v>80</v>
      </c>
      <c r="D232">
        <v>79.937744140999996</v>
      </c>
      <c r="E232">
        <v>50</v>
      </c>
      <c r="F232">
        <v>14.999747276000001</v>
      </c>
      <c r="G232">
        <v>1338.7878418</v>
      </c>
      <c r="H232">
        <v>1336.5660399999999</v>
      </c>
      <c r="I232">
        <v>1324.1629639</v>
      </c>
      <c r="J232">
        <v>1321.4248047000001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15.401361</v>
      </c>
      <c r="B233" s="1">
        <f>DATE(2010,5,16) + TIME(9,37,57)</f>
        <v>40314.401354166665</v>
      </c>
      <c r="C233">
        <v>80</v>
      </c>
      <c r="D233">
        <v>79.937721252000003</v>
      </c>
      <c r="E233">
        <v>50</v>
      </c>
      <c r="F233">
        <v>14.999747276000001</v>
      </c>
      <c r="G233">
        <v>1338.7838135</v>
      </c>
      <c r="H233">
        <v>1336.5632324000001</v>
      </c>
      <c r="I233">
        <v>1324.1630858999999</v>
      </c>
      <c r="J233">
        <v>1321.4250488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15.502337000000001</v>
      </c>
      <c r="B234" s="1">
        <f>DATE(2010,5,16) + TIME(12,3,21)</f>
        <v>40314.502326388887</v>
      </c>
      <c r="C234">
        <v>80</v>
      </c>
      <c r="D234">
        <v>79.937690735000004</v>
      </c>
      <c r="E234">
        <v>50</v>
      </c>
      <c r="F234">
        <v>14.99974823</v>
      </c>
      <c r="G234">
        <v>1338.7797852000001</v>
      </c>
      <c r="H234">
        <v>1336.5604248</v>
      </c>
      <c r="I234">
        <v>1324.1633300999999</v>
      </c>
      <c r="J234">
        <v>1321.4251709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15.603313</v>
      </c>
      <c r="B235" s="1">
        <f>DATE(2010,5,16) + TIME(14,28,46)</f>
        <v>40314.603310185186</v>
      </c>
      <c r="C235">
        <v>80</v>
      </c>
      <c r="D235">
        <v>79.937667847</v>
      </c>
      <c r="E235">
        <v>50</v>
      </c>
      <c r="F235">
        <v>14.99974823</v>
      </c>
      <c r="G235">
        <v>1338.7757568</v>
      </c>
      <c r="H235">
        <v>1336.5577393000001</v>
      </c>
      <c r="I235">
        <v>1324.1635742000001</v>
      </c>
      <c r="J235">
        <v>1321.425293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15.805265</v>
      </c>
      <c r="B236" s="1">
        <f>DATE(2010,5,16) + TIME(19,19,34)</f>
        <v>40314.805254629631</v>
      </c>
      <c r="C236">
        <v>80</v>
      </c>
      <c r="D236">
        <v>79.937629700000002</v>
      </c>
      <c r="E236">
        <v>50</v>
      </c>
      <c r="F236">
        <v>14.999749184000001</v>
      </c>
      <c r="G236">
        <v>1338.7718506000001</v>
      </c>
      <c r="H236">
        <v>1336.5550536999999</v>
      </c>
      <c r="I236">
        <v>1324.1638184000001</v>
      </c>
      <c r="J236">
        <v>1321.4254149999999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16.007514</v>
      </c>
      <c r="B237" s="1">
        <f>DATE(2010,5,17) + TIME(0,10,49)</f>
        <v>40315.007511574076</v>
      </c>
      <c r="C237">
        <v>80</v>
      </c>
      <c r="D237">
        <v>79.937583923000005</v>
      </c>
      <c r="E237">
        <v>50</v>
      </c>
      <c r="F237">
        <v>14.999750136999999</v>
      </c>
      <c r="G237">
        <v>1338.7640381000001</v>
      </c>
      <c r="H237">
        <v>1336.5496826000001</v>
      </c>
      <c r="I237">
        <v>1324.1641846</v>
      </c>
      <c r="J237">
        <v>1321.4257812000001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16.211565</v>
      </c>
      <c r="B238" s="1">
        <f>DATE(2010,5,17) + TIME(5,4,39)</f>
        <v>40315.211562500001</v>
      </c>
      <c r="C238">
        <v>80</v>
      </c>
      <c r="D238">
        <v>79.937538146999998</v>
      </c>
      <c r="E238">
        <v>50</v>
      </c>
      <c r="F238">
        <v>14.999752044999999</v>
      </c>
      <c r="G238">
        <v>1338.7562256000001</v>
      </c>
      <c r="H238">
        <v>1336.5443115</v>
      </c>
      <c r="I238">
        <v>1324.1646728999999</v>
      </c>
      <c r="J238">
        <v>1321.4260254000001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16.417805999999999</v>
      </c>
      <c r="B239" s="1">
        <f>DATE(2010,5,17) + TIME(10,1,38)</f>
        <v>40315.417800925927</v>
      </c>
      <c r="C239">
        <v>80</v>
      </c>
      <c r="D239">
        <v>79.937492371000005</v>
      </c>
      <c r="E239">
        <v>50</v>
      </c>
      <c r="F239">
        <v>14.999752998</v>
      </c>
      <c r="G239">
        <v>1338.7484131000001</v>
      </c>
      <c r="H239">
        <v>1336.5389404</v>
      </c>
      <c r="I239">
        <v>1324.1650391000001</v>
      </c>
      <c r="J239">
        <v>1321.4262695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16.626666</v>
      </c>
      <c r="B240" s="1">
        <f>DATE(2010,5,17) + TIME(15,2,23)</f>
        <v>40315.626655092594</v>
      </c>
      <c r="C240">
        <v>80</v>
      </c>
      <c r="D240">
        <v>79.937446593999994</v>
      </c>
      <c r="E240">
        <v>50</v>
      </c>
      <c r="F240">
        <v>14.999753952000001</v>
      </c>
      <c r="G240">
        <v>1338.7406006000001</v>
      </c>
      <c r="H240">
        <v>1336.5336914</v>
      </c>
      <c r="I240">
        <v>1324.1655272999999</v>
      </c>
      <c r="J240">
        <v>1321.4266356999999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16.838595000000002</v>
      </c>
      <c r="B241" s="1">
        <f>DATE(2010,5,17) + TIME(20,7,34)</f>
        <v>40315.838587962964</v>
      </c>
      <c r="C241">
        <v>80</v>
      </c>
      <c r="D241">
        <v>79.937393188000001</v>
      </c>
      <c r="E241">
        <v>50</v>
      </c>
      <c r="F241">
        <v>14.999754906</v>
      </c>
      <c r="G241">
        <v>1338.7329102000001</v>
      </c>
      <c r="H241">
        <v>1336.5283202999999</v>
      </c>
      <c r="I241">
        <v>1324.1660156</v>
      </c>
      <c r="J241">
        <v>1321.4268798999999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17.054078000000001</v>
      </c>
      <c r="B242" s="1">
        <f>DATE(2010,5,18) + TIME(1,17,52)</f>
        <v>40316.054074074076</v>
      </c>
      <c r="C242">
        <v>80</v>
      </c>
      <c r="D242">
        <v>79.937347411999994</v>
      </c>
      <c r="E242">
        <v>50</v>
      </c>
      <c r="F242">
        <v>14.999755859</v>
      </c>
      <c r="G242">
        <v>1338.7250977000001</v>
      </c>
      <c r="H242">
        <v>1336.5229492000001</v>
      </c>
      <c r="I242">
        <v>1324.1663818</v>
      </c>
      <c r="J242">
        <v>1321.4272461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17.273693999999999</v>
      </c>
      <c r="B243" s="1">
        <f>DATE(2010,5,18) + TIME(6,34,7)</f>
        <v>40316.273692129631</v>
      </c>
      <c r="C243">
        <v>80</v>
      </c>
      <c r="D243">
        <v>79.937294006000002</v>
      </c>
      <c r="E243">
        <v>50</v>
      </c>
      <c r="F243">
        <v>14.999756812999999</v>
      </c>
      <c r="G243">
        <v>1338.7172852000001</v>
      </c>
      <c r="H243">
        <v>1336.5177002</v>
      </c>
      <c r="I243">
        <v>1324.1668701000001</v>
      </c>
      <c r="J243">
        <v>1321.4274902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17.497900000000001</v>
      </c>
      <c r="B244" s="1">
        <f>DATE(2010,5,18) + TIME(11,56,58)</f>
        <v>40316.497893518521</v>
      </c>
      <c r="C244">
        <v>80</v>
      </c>
      <c r="D244">
        <v>79.937248229999994</v>
      </c>
      <c r="E244">
        <v>50</v>
      </c>
      <c r="F244">
        <v>14.999757767</v>
      </c>
      <c r="G244">
        <v>1338.7093506000001</v>
      </c>
      <c r="H244">
        <v>1336.5123291</v>
      </c>
      <c r="I244">
        <v>1324.1673584</v>
      </c>
      <c r="J244">
        <v>1321.4278564000001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17.724978</v>
      </c>
      <c r="B245" s="1">
        <f>DATE(2010,5,18) + TIME(17,23,58)</f>
        <v>40316.724976851852</v>
      </c>
      <c r="C245">
        <v>80</v>
      </c>
      <c r="D245">
        <v>79.937194824000002</v>
      </c>
      <c r="E245">
        <v>50</v>
      </c>
      <c r="F245">
        <v>14.999758720000001</v>
      </c>
      <c r="G245">
        <v>1338.7014160000001</v>
      </c>
      <c r="H245">
        <v>1336.5069579999999</v>
      </c>
      <c r="I245">
        <v>1324.1678466999999</v>
      </c>
      <c r="J245">
        <v>1321.4281006000001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17.954636000000001</v>
      </c>
      <c r="B246" s="1">
        <f>DATE(2010,5,18) + TIME(22,54,40)</f>
        <v>40316.954629629632</v>
      </c>
      <c r="C246">
        <v>80</v>
      </c>
      <c r="D246">
        <v>79.937141417999996</v>
      </c>
      <c r="E246">
        <v>50</v>
      </c>
      <c r="F246">
        <v>14.999759674</v>
      </c>
      <c r="G246">
        <v>1338.6934814000001</v>
      </c>
      <c r="H246">
        <v>1336.5015868999999</v>
      </c>
      <c r="I246">
        <v>1324.1683350000001</v>
      </c>
      <c r="J246">
        <v>1321.4284668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18.070464000000001</v>
      </c>
      <c r="B247" s="1">
        <f>DATE(2010,5,19) + TIME(1,41,28)</f>
        <v>40317.070462962962</v>
      </c>
      <c r="C247">
        <v>80</v>
      </c>
      <c r="D247">
        <v>79.937110900999997</v>
      </c>
      <c r="E247">
        <v>50</v>
      </c>
      <c r="F247">
        <v>14.999760628000001</v>
      </c>
      <c r="G247">
        <v>1338.6855469</v>
      </c>
      <c r="H247">
        <v>1336.4960937999999</v>
      </c>
      <c r="I247">
        <v>1324.1688231999999</v>
      </c>
      <c r="J247">
        <v>1321.4287108999999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18.186291000000001</v>
      </c>
      <c r="B248" s="1">
        <f>DATE(2010,5,19) + TIME(4,28,15)</f>
        <v>40317.186284722222</v>
      </c>
      <c r="C248">
        <v>80</v>
      </c>
      <c r="D248">
        <v>79.937080382999994</v>
      </c>
      <c r="E248">
        <v>50</v>
      </c>
      <c r="F248">
        <v>14.999760628000001</v>
      </c>
      <c r="G248">
        <v>1338.6815185999999</v>
      </c>
      <c r="H248">
        <v>1336.4934082</v>
      </c>
      <c r="I248">
        <v>1324.1690673999999</v>
      </c>
      <c r="J248">
        <v>1321.4289550999999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18.302119000000001</v>
      </c>
      <c r="B249" s="1">
        <f>DATE(2010,5,19) + TIME(7,15,3)</f>
        <v>40317.302118055559</v>
      </c>
      <c r="C249">
        <v>80</v>
      </c>
      <c r="D249">
        <v>79.937049865999995</v>
      </c>
      <c r="E249">
        <v>50</v>
      </c>
      <c r="F249">
        <v>14.999761581</v>
      </c>
      <c r="G249">
        <v>1338.6776123</v>
      </c>
      <c r="H249">
        <v>1336.4907227000001</v>
      </c>
      <c r="I249">
        <v>1324.1693115</v>
      </c>
      <c r="J249">
        <v>1321.4290771000001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18.417947000000002</v>
      </c>
      <c r="B250" s="1">
        <f>DATE(2010,5,19) + TIME(10,1,50)</f>
        <v>40317.417939814812</v>
      </c>
      <c r="C250">
        <v>80</v>
      </c>
      <c r="D250">
        <v>79.937019348000007</v>
      </c>
      <c r="E250">
        <v>50</v>
      </c>
      <c r="F250">
        <v>14.999762535</v>
      </c>
      <c r="G250">
        <v>1338.6737060999999</v>
      </c>
      <c r="H250">
        <v>1336.4880370999999</v>
      </c>
      <c r="I250">
        <v>1324.1695557</v>
      </c>
      <c r="J250">
        <v>1321.4291992000001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18.533774999999999</v>
      </c>
      <c r="B251" s="1">
        <f>DATE(2010,5,19) + TIME(12,48,38)</f>
        <v>40317.533773148149</v>
      </c>
      <c r="C251">
        <v>80</v>
      </c>
      <c r="D251">
        <v>79.936988830999994</v>
      </c>
      <c r="E251">
        <v>50</v>
      </c>
      <c r="F251">
        <v>14.999762535</v>
      </c>
      <c r="G251">
        <v>1338.6697998</v>
      </c>
      <c r="H251">
        <v>1336.4853516000001</v>
      </c>
      <c r="I251">
        <v>1324.1697998</v>
      </c>
      <c r="J251">
        <v>1321.4294434000001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18.649602999999999</v>
      </c>
      <c r="B252" s="1">
        <f>DATE(2010,5,19) + TIME(15,35,25)</f>
        <v>40317.649594907409</v>
      </c>
      <c r="C252">
        <v>80</v>
      </c>
      <c r="D252">
        <v>79.936965942</v>
      </c>
      <c r="E252">
        <v>50</v>
      </c>
      <c r="F252">
        <v>14.999763488999999</v>
      </c>
      <c r="G252">
        <v>1338.6660156</v>
      </c>
      <c r="H252">
        <v>1336.4827881000001</v>
      </c>
      <c r="I252">
        <v>1324.1700439000001</v>
      </c>
      <c r="J252">
        <v>1321.4295654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18.765431</v>
      </c>
      <c r="B253" s="1">
        <f>DATE(2010,5,19) + TIME(18,22,13)</f>
        <v>40317.765428240738</v>
      </c>
      <c r="C253">
        <v>80</v>
      </c>
      <c r="D253">
        <v>79.936935425000001</v>
      </c>
      <c r="E253">
        <v>50</v>
      </c>
      <c r="F253">
        <v>14.999763488999999</v>
      </c>
      <c r="G253">
        <v>1338.6621094</v>
      </c>
      <c r="H253">
        <v>1336.4802245999999</v>
      </c>
      <c r="I253">
        <v>1324.1702881000001</v>
      </c>
      <c r="J253">
        <v>1321.4296875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18.881259</v>
      </c>
      <c r="B254" s="1">
        <f>DATE(2010,5,19) + TIME(21,9,0)</f>
        <v>40317.881249999999</v>
      </c>
      <c r="C254">
        <v>80</v>
      </c>
      <c r="D254">
        <v>79.936912536999998</v>
      </c>
      <c r="E254">
        <v>50</v>
      </c>
      <c r="F254">
        <v>14.999764442</v>
      </c>
      <c r="G254">
        <v>1338.6583252</v>
      </c>
      <c r="H254">
        <v>1336.4776611</v>
      </c>
      <c r="I254">
        <v>1324.1705322</v>
      </c>
      <c r="J254">
        <v>1321.4299315999999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18.997087000000001</v>
      </c>
      <c r="B255" s="1">
        <f>DATE(2010,5,19) + TIME(23,55,48)</f>
        <v>40317.997083333335</v>
      </c>
      <c r="C255">
        <v>80</v>
      </c>
      <c r="D255">
        <v>79.936882018999995</v>
      </c>
      <c r="E255">
        <v>50</v>
      </c>
      <c r="F255">
        <v>14.999765396000001</v>
      </c>
      <c r="G255">
        <v>1338.6545410000001</v>
      </c>
      <c r="H255">
        <v>1336.4750977000001</v>
      </c>
      <c r="I255">
        <v>1324.1707764</v>
      </c>
      <c r="J255">
        <v>1321.4300536999999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19.112915000000001</v>
      </c>
      <c r="B256" s="1">
        <f>DATE(2010,5,20) + TIME(2,42,35)</f>
        <v>40318.112905092596</v>
      </c>
      <c r="C256">
        <v>80</v>
      </c>
      <c r="D256">
        <v>79.936859131000006</v>
      </c>
      <c r="E256">
        <v>50</v>
      </c>
      <c r="F256">
        <v>14.999765396000001</v>
      </c>
      <c r="G256">
        <v>1338.6507568</v>
      </c>
      <c r="H256">
        <v>1336.4725341999999</v>
      </c>
      <c r="I256">
        <v>1324.1710204999999</v>
      </c>
      <c r="J256">
        <v>1321.4301757999999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19.228743000000001</v>
      </c>
      <c r="B257" s="1">
        <f>DATE(2010,5,20) + TIME(5,29,23)</f>
        <v>40318.228738425925</v>
      </c>
      <c r="C257">
        <v>80</v>
      </c>
      <c r="D257">
        <v>79.936836243000002</v>
      </c>
      <c r="E257">
        <v>50</v>
      </c>
      <c r="F257">
        <v>14.99976635</v>
      </c>
      <c r="G257">
        <v>1338.6470947</v>
      </c>
      <c r="H257">
        <v>1336.4699707</v>
      </c>
      <c r="I257">
        <v>1324.1712646000001</v>
      </c>
      <c r="J257">
        <v>1321.4304199000001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19.344570000000001</v>
      </c>
      <c r="B258" s="1">
        <f>DATE(2010,5,20) + TIME(8,16,10)</f>
        <v>40318.344560185185</v>
      </c>
      <c r="C258">
        <v>80</v>
      </c>
      <c r="D258">
        <v>79.936813353999995</v>
      </c>
      <c r="E258">
        <v>50</v>
      </c>
      <c r="F258">
        <v>14.99976635</v>
      </c>
      <c r="G258">
        <v>1338.6433105000001</v>
      </c>
      <c r="H258">
        <v>1336.4674072</v>
      </c>
      <c r="I258">
        <v>1324.1716309000001</v>
      </c>
      <c r="J258">
        <v>1321.4305420000001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19.460398000000001</v>
      </c>
      <c r="B259" s="1">
        <f>DATE(2010,5,20) + TIME(11,2,58)</f>
        <v>40318.460393518515</v>
      </c>
      <c r="C259">
        <v>80</v>
      </c>
      <c r="D259">
        <v>79.936782836999996</v>
      </c>
      <c r="E259">
        <v>50</v>
      </c>
      <c r="F259">
        <v>14.999767303</v>
      </c>
      <c r="G259">
        <v>1338.6396483999999</v>
      </c>
      <c r="H259">
        <v>1336.4649658000001</v>
      </c>
      <c r="I259">
        <v>1324.171875</v>
      </c>
      <c r="J259">
        <v>1321.4307861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19.576225999999998</v>
      </c>
      <c r="B260" s="1">
        <f>DATE(2010,5,20) + TIME(13,49,45)</f>
        <v>40318.576215277775</v>
      </c>
      <c r="C260">
        <v>80</v>
      </c>
      <c r="D260">
        <v>79.936759949000006</v>
      </c>
      <c r="E260">
        <v>50</v>
      </c>
      <c r="F260">
        <v>14.999767303</v>
      </c>
      <c r="G260">
        <v>1338.6359863</v>
      </c>
      <c r="H260">
        <v>1336.4625243999999</v>
      </c>
      <c r="I260">
        <v>1324.1721190999999</v>
      </c>
      <c r="J260">
        <v>1321.4309082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19.807881999999999</v>
      </c>
      <c r="B261" s="1">
        <f>DATE(2010,5,20) + TIME(19,23,21)</f>
        <v>40318.807881944442</v>
      </c>
      <c r="C261">
        <v>80</v>
      </c>
      <c r="D261">
        <v>79.936729431000003</v>
      </c>
      <c r="E261">
        <v>50</v>
      </c>
      <c r="F261">
        <v>14.999768256999999</v>
      </c>
      <c r="G261">
        <v>1338.6324463000001</v>
      </c>
      <c r="H261">
        <v>1336.4602050999999</v>
      </c>
      <c r="I261">
        <v>1324.1723632999999</v>
      </c>
      <c r="J261">
        <v>1321.4311522999999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20.040018</v>
      </c>
      <c r="B262" s="1">
        <f>DATE(2010,5,21) + TIME(0,57,37)</f>
        <v>40319.040011574078</v>
      </c>
      <c r="C262">
        <v>80</v>
      </c>
      <c r="D262">
        <v>79.936683654999996</v>
      </c>
      <c r="E262">
        <v>50</v>
      </c>
      <c r="F262">
        <v>14.999769211</v>
      </c>
      <c r="G262">
        <v>1338.6252440999999</v>
      </c>
      <c r="H262">
        <v>1336.4553223</v>
      </c>
      <c r="I262">
        <v>1324.1728516000001</v>
      </c>
      <c r="J262">
        <v>1321.4313964999999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20.274539000000001</v>
      </c>
      <c r="B263" s="1">
        <f>DATE(2010,5,21) + TIME(6,35,20)</f>
        <v>40319.274537037039</v>
      </c>
      <c r="C263">
        <v>80</v>
      </c>
      <c r="D263">
        <v>79.936645507999998</v>
      </c>
      <c r="E263">
        <v>50</v>
      </c>
      <c r="F263">
        <v>14.999770163999999</v>
      </c>
      <c r="G263">
        <v>1338.6180420000001</v>
      </c>
      <c r="H263">
        <v>1336.4505615</v>
      </c>
      <c r="I263">
        <v>1324.1733397999999</v>
      </c>
      <c r="J263">
        <v>1321.4317627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20.511887000000002</v>
      </c>
      <c r="B264" s="1">
        <f>DATE(2010,5,21) + TIME(12,17,7)</f>
        <v>40319.511886574073</v>
      </c>
      <c r="C264">
        <v>80</v>
      </c>
      <c r="D264">
        <v>79.936599731000001</v>
      </c>
      <c r="E264">
        <v>50</v>
      </c>
      <c r="F264">
        <v>14.999771118</v>
      </c>
      <c r="G264">
        <v>1338.6108397999999</v>
      </c>
      <c r="H264">
        <v>1336.4456786999999</v>
      </c>
      <c r="I264">
        <v>1324.1739502</v>
      </c>
      <c r="J264">
        <v>1321.4321289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20.752534000000001</v>
      </c>
      <c r="B265" s="1">
        <f>DATE(2010,5,21) + TIME(18,3,38)</f>
        <v>40319.752523148149</v>
      </c>
      <c r="C265">
        <v>80</v>
      </c>
      <c r="D265">
        <v>79.936553954999994</v>
      </c>
      <c r="E265">
        <v>50</v>
      </c>
      <c r="F265">
        <v>14.999772072000001</v>
      </c>
      <c r="G265">
        <v>1338.6036377</v>
      </c>
      <c r="H265">
        <v>1336.440918</v>
      </c>
      <c r="I265">
        <v>1324.1744385</v>
      </c>
      <c r="J265">
        <v>1321.4324951000001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20.996980000000001</v>
      </c>
      <c r="B266" s="1">
        <f>DATE(2010,5,21) + TIME(23,55,39)</f>
        <v>40319.996979166666</v>
      </c>
      <c r="C266">
        <v>80</v>
      </c>
      <c r="D266">
        <v>79.936508179</v>
      </c>
      <c r="E266">
        <v>50</v>
      </c>
      <c r="F266">
        <v>14.999773026</v>
      </c>
      <c r="G266">
        <v>1338.5964355000001</v>
      </c>
      <c r="H266">
        <v>1336.4361572</v>
      </c>
      <c r="I266">
        <v>1324.1749268000001</v>
      </c>
      <c r="J266">
        <v>1321.4328613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21.245840000000001</v>
      </c>
      <c r="B267" s="1">
        <f>DATE(2010,5,22) + TIME(5,54,0)</f>
        <v>40320.245833333334</v>
      </c>
      <c r="C267">
        <v>80</v>
      </c>
      <c r="D267">
        <v>79.936462402000004</v>
      </c>
      <c r="E267">
        <v>50</v>
      </c>
      <c r="F267">
        <v>14.999773979</v>
      </c>
      <c r="G267">
        <v>1338.5892334</v>
      </c>
      <c r="H267">
        <v>1336.4313964999999</v>
      </c>
      <c r="I267">
        <v>1324.1755370999999</v>
      </c>
      <c r="J267">
        <v>1321.4332274999999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21.499725999999999</v>
      </c>
      <c r="B268" s="1">
        <f>DATE(2010,5,22) + TIME(11,59,36)</f>
        <v>40320.499722222223</v>
      </c>
      <c r="C268">
        <v>80</v>
      </c>
      <c r="D268">
        <v>79.936416625999996</v>
      </c>
      <c r="E268">
        <v>50</v>
      </c>
      <c r="F268">
        <v>14.999774932999999</v>
      </c>
      <c r="G268">
        <v>1338.5820312000001</v>
      </c>
      <c r="H268">
        <v>1336.4265137</v>
      </c>
      <c r="I268">
        <v>1324.1760254000001</v>
      </c>
      <c r="J268">
        <v>1321.4335937999999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21.759312999999999</v>
      </c>
      <c r="B269" s="1">
        <f>DATE(2010,5,22) + TIME(18,13,24)</f>
        <v>40320.759305555555</v>
      </c>
      <c r="C269">
        <v>80</v>
      </c>
      <c r="D269">
        <v>79.936370850000003</v>
      </c>
      <c r="E269">
        <v>50</v>
      </c>
      <c r="F269">
        <v>14.999776839999999</v>
      </c>
      <c r="G269">
        <v>1338.574707</v>
      </c>
      <c r="H269">
        <v>1336.4216309000001</v>
      </c>
      <c r="I269">
        <v>1324.1766356999999</v>
      </c>
      <c r="J269">
        <v>1321.4339600000001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22.020886000000001</v>
      </c>
      <c r="B270" s="1">
        <f>DATE(2010,5,23) + TIME(0,30,4)</f>
        <v>40321.020879629628</v>
      </c>
      <c r="C270">
        <v>80</v>
      </c>
      <c r="D270">
        <v>79.936325073000006</v>
      </c>
      <c r="E270">
        <v>50</v>
      </c>
      <c r="F270">
        <v>14.999777794</v>
      </c>
      <c r="G270">
        <v>1338.5673827999999</v>
      </c>
      <c r="H270">
        <v>1336.4167480000001</v>
      </c>
      <c r="I270">
        <v>1324.1772461</v>
      </c>
      <c r="J270">
        <v>1321.4343262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22.152159000000001</v>
      </c>
      <c r="B271" s="1">
        <f>DATE(2010,5,23) + TIME(3,39,6)</f>
        <v>40321.15215277778</v>
      </c>
      <c r="C271">
        <v>80</v>
      </c>
      <c r="D271">
        <v>79.936294556000007</v>
      </c>
      <c r="E271">
        <v>50</v>
      </c>
      <c r="F271">
        <v>14.999777794</v>
      </c>
      <c r="G271">
        <v>1338.5598144999999</v>
      </c>
      <c r="H271">
        <v>1336.4117432</v>
      </c>
      <c r="I271">
        <v>1324.1778564000001</v>
      </c>
      <c r="J271">
        <v>1321.4346923999999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22.282792000000001</v>
      </c>
      <c r="B272" s="1">
        <f>DATE(2010,5,23) + TIME(6,47,13)</f>
        <v>40321.282789351855</v>
      </c>
      <c r="C272">
        <v>80</v>
      </c>
      <c r="D272">
        <v>79.936264038000004</v>
      </c>
      <c r="E272">
        <v>50</v>
      </c>
      <c r="F272">
        <v>14.999778748000001</v>
      </c>
      <c r="G272">
        <v>1338.5561522999999</v>
      </c>
      <c r="H272">
        <v>1336.4093018000001</v>
      </c>
      <c r="I272">
        <v>1324.1781006000001</v>
      </c>
      <c r="J272">
        <v>1321.4348144999999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22.413136000000002</v>
      </c>
      <c r="B273" s="1">
        <f>DATE(2010,5,23) + TIME(9,54,54)</f>
        <v>40321.413124999999</v>
      </c>
      <c r="C273">
        <v>80</v>
      </c>
      <c r="D273">
        <v>79.936233521000005</v>
      </c>
      <c r="E273">
        <v>50</v>
      </c>
      <c r="F273">
        <v>14.999778748000001</v>
      </c>
      <c r="G273">
        <v>1338.5526123</v>
      </c>
      <c r="H273">
        <v>1336.4068603999999</v>
      </c>
      <c r="I273">
        <v>1324.1783447</v>
      </c>
      <c r="J273">
        <v>1321.4350586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22.543268000000001</v>
      </c>
      <c r="B274" s="1">
        <f>DATE(2010,5,23) + TIME(13,2,18)</f>
        <v>40321.543263888889</v>
      </c>
      <c r="C274">
        <v>80</v>
      </c>
      <c r="D274">
        <v>79.936210631999998</v>
      </c>
      <c r="E274">
        <v>50</v>
      </c>
      <c r="F274">
        <v>14.999779701</v>
      </c>
      <c r="G274">
        <v>1338.5489502</v>
      </c>
      <c r="H274">
        <v>1336.4044189000001</v>
      </c>
      <c r="I274">
        <v>1324.1787108999999</v>
      </c>
      <c r="J274">
        <v>1321.4351807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22.673258000000001</v>
      </c>
      <c r="B275" s="1">
        <f>DATE(2010,5,23) + TIME(16,9,29)</f>
        <v>40321.673252314817</v>
      </c>
      <c r="C275">
        <v>80</v>
      </c>
      <c r="D275">
        <v>79.936187743999994</v>
      </c>
      <c r="E275">
        <v>50</v>
      </c>
      <c r="F275">
        <v>14.999780655</v>
      </c>
      <c r="G275">
        <v>1338.5454102000001</v>
      </c>
      <c r="H275">
        <v>1336.4020995999999</v>
      </c>
      <c r="I275">
        <v>1324.1789550999999</v>
      </c>
      <c r="J275">
        <v>1321.4354248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22.803162</v>
      </c>
      <c r="B276" s="1">
        <f>DATE(2010,5,23) + TIME(19,16,33)</f>
        <v>40321.803159722222</v>
      </c>
      <c r="C276">
        <v>80</v>
      </c>
      <c r="D276">
        <v>79.936157226999995</v>
      </c>
      <c r="E276">
        <v>50</v>
      </c>
      <c r="F276">
        <v>14.999780655</v>
      </c>
      <c r="G276">
        <v>1338.5418701000001</v>
      </c>
      <c r="H276">
        <v>1336.3996582</v>
      </c>
      <c r="I276">
        <v>1324.1793213000001</v>
      </c>
      <c r="J276">
        <v>1321.4356689000001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22.933050000000001</v>
      </c>
      <c r="B277" s="1">
        <f>DATE(2010,5,23) + TIME(22,23,35)</f>
        <v>40321.93304398148</v>
      </c>
      <c r="C277">
        <v>80</v>
      </c>
      <c r="D277">
        <v>79.936134338000002</v>
      </c>
      <c r="E277">
        <v>50</v>
      </c>
      <c r="F277">
        <v>14.999781608999999</v>
      </c>
      <c r="G277">
        <v>1338.5383300999999</v>
      </c>
      <c r="H277">
        <v>1336.3973389</v>
      </c>
      <c r="I277">
        <v>1324.1795654</v>
      </c>
      <c r="J277">
        <v>1321.4357910000001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23.062937000000002</v>
      </c>
      <c r="B278" s="1">
        <f>DATE(2010,5,24) + TIME(1,30,37)</f>
        <v>40322.062928240739</v>
      </c>
      <c r="C278">
        <v>80</v>
      </c>
      <c r="D278">
        <v>79.936111449999999</v>
      </c>
      <c r="E278">
        <v>50</v>
      </c>
      <c r="F278">
        <v>14.999781608999999</v>
      </c>
      <c r="G278">
        <v>1338.5349120999999</v>
      </c>
      <c r="H278">
        <v>1336.3950195</v>
      </c>
      <c r="I278">
        <v>1324.1799315999999</v>
      </c>
      <c r="J278">
        <v>1321.4360352000001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23.192824999999999</v>
      </c>
      <c r="B279" s="1">
        <f>DATE(2010,5,24) + TIME(4,37,40)</f>
        <v>40322.192824074074</v>
      </c>
      <c r="C279">
        <v>80</v>
      </c>
      <c r="D279">
        <v>79.936088561999995</v>
      </c>
      <c r="E279">
        <v>50</v>
      </c>
      <c r="F279">
        <v>14.999782562</v>
      </c>
      <c r="G279">
        <v>1338.5313721</v>
      </c>
      <c r="H279">
        <v>1336.3927002</v>
      </c>
      <c r="I279">
        <v>1324.1801757999999</v>
      </c>
      <c r="J279">
        <v>1321.4361572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23.322711999999999</v>
      </c>
      <c r="B280" s="1">
        <f>DATE(2010,5,24) + TIME(7,44,42)</f>
        <v>40322.322708333333</v>
      </c>
      <c r="C280">
        <v>80</v>
      </c>
      <c r="D280">
        <v>79.936065674000005</v>
      </c>
      <c r="E280">
        <v>50</v>
      </c>
      <c r="F280">
        <v>14.999782562</v>
      </c>
      <c r="G280">
        <v>1338.5279541</v>
      </c>
      <c r="H280">
        <v>1336.3903809000001</v>
      </c>
      <c r="I280">
        <v>1324.1804199000001</v>
      </c>
      <c r="J280">
        <v>1321.4364014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23.4526</v>
      </c>
      <c r="B281" s="1">
        <f>DATE(2010,5,24) + TIME(10,51,44)</f>
        <v>40322.452592592592</v>
      </c>
      <c r="C281">
        <v>80</v>
      </c>
      <c r="D281">
        <v>79.936042786000002</v>
      </c>
      <c r="E281">
        <v>50</v>
      </c>
      <c r="F281">
        <v>14.999783516000001</v>
      </c>
      <c r="G281">
        <v>1338.5244141000001</v>
      </c>
      <c r="H281">
        <v>1336.3880615</v>
      </c>
      <c r="I281">
        <v>1324.1807861</v>
      </c>
      <c r="J281">
        <v>1321.4365233999999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23.712374000000001</v>
      </c>
      <c r="B282" s="1">
        <f>DATE(2010,5,24) + TIME(17,5,49)</f>
        <v>40322.712372685186</v>
      </c>
      <c r="C282">
        <v>80</v>
      </c>
      <c r="D282">
        <v>79.936012267999999</v>
      </c>
      <c r="E282">
        <v>50</v>
      </c>
      <c r="F282">
        <v>14.99978447</v>
      </c>
      <c r="G282">
        <v>1338.5211182</v>
      </c>
      <c r="H282">
        <v>1336.3858643000001</v>
      </c>
      <c r="I282">
        <v>1324.1811522999999</v>
      </c>
      <c r="J282">
        <v>1321.4367675999999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23.972525000000001</v>
      </c>
      <c r="B283" s="1">
        <f>DATE(2010,5,24) + TIME(23,20,26)</f>
        <v>40322.97252314815</v>
      </c>
      <c r="C283">
        <v>80</v>
      </c>
      <c r="D283">
        <v>79.935981749999996</v>
      </c>
      <c r="E283">
        <v>50</v>
      </c>
      <c r="F283">
        <v>14.999785423000001</v>
      </c>
      <c r="G283">
        <v>1338.5144043</v>
      </c>
      <c r="H283">
        <v>1336.3814697</v>
      </c>
      <c r="I283">
        <v>1324.1817627</v>
      </c>
      <c r="J283">
        <v>1321.4372559000001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24.234669</v>
      </c>
      <c r="B284" s="1">
        <f>DATE(2010,5,25) + TIME(5,37,55)</f>
        <v>40323.234664351854</v>
      </c>
      <c r="C284">
        <v>80</v>
      </c>
      <c r="D284">
        <v>79.935943604000002</v>
      </c>
      <c r="E284">
        <v>50</v>
      </c>
      <c r="F284">
        <v>14.999786377</v>
      </c>
      <c r="G284">
        <v>1338.5075684000001</v>
      </c>
      <c r="H284">
        <v>1336.3769531</v>
      </c>
      <c r="I284">
        <v>1324.1823730000001</v>
      </c>
      <c r="J284">
        <v>1321.4376221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24.499317000000001</v>
      </c>
      <c r="B285" s="1">
        <f>DATE(2010,5,25) + TIME(11,59,0)</f>
        <v>40323.499305555553</v>
      </c>
      <c r="C285">
        <v>80</v>
      </c>
      <c r="D285">
        <v>79.935905457000004</v>
      </c>
      <c r="E285">
        <v>50</v>
      </c>
      <c r="F285">
        <v>14.999787331</v>
      </c>
      <c r="G285">
        <v>1338.5009766000001</v>
      </c>
      <c r="H285">
        <v>1336.3725586</v>
      </c>
      <c r="I285">
        <v>1324.1829834</v>
      </c>
      <c r="J285">
        <v>1321.4379882999999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24.767004</v>
      </c>
      <c r="B286" s="1">
        <f>DATE(2010,5,25) + TIME(18,24,29)</f>
        <v>40323.767002314817</v>
      </c>
      <c r="C286">
        <v>80</v>
      </c>
      <c r="D286">
        <v>79.935867310000006</v>
      </c>
      <c r="E286">
        <v>50</v>
      </c>
      <c r="F286">
        <v>14.999788283999999</v>
      </c>
      <c r="G286">
        <v>1338.4942627</v>
      </c>
      <c r="H286">
        <v>1336.3680420000001</v>
      </c>
      <c r="I286">
        <v>1324.1835937999999</v>
      </c>
      <c r="J286">
        <v>1321.4383545000001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25.038281999999999</v>
      </c>
      <c r="B287" s="1">
        <f>DATE(2010,5,26) + TIME(0,55,7)</f>
        <v>40324.038275462961</v>
      </c>
      <c r="C287">
        <v>80</v>
      </c>
      <c r="D287">
        <v>79.935829162999994</v>
      </c>
      <c r="E287">
        <v>50</v>
      </c>
      <c r="F287">
        <v>14.999789238</v>
      </c>
      <c r="G287">
        <v>1338.4875488</v>
      </c>
      <c r="H287">
        <v>1336.3636475000001</v>
      </c>
      <c r="I287">
        <v>1324.1842041</v>
      </c>
      <c r="J287">
        <v>1321.4388428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25.313738000000001</v>
      </c>
      <c r="B288" s="1">
        <f>DATE(2010,5,26) + TIME(7,31,46)</f>
        <v>40324.313726851855</v>
      </c>
      <c r="C288">
        <v>80</v>
      </c>
      <c r="D288">
        <v>79.935783385999997</v>
      </c>
      <c r="E288">
        <v>50</v>
      </c>
      <c r="F288">
        <v>14.999790192000001</v>
      </c>
      <c r="G288">
        <v>1338.4808350000001</v>
      </c>
      <c r="H288">
        <v>1336.3591309000001</v>
      </c>
      <c r="I288">
        <v>1324.1848144999999</v>
      </c>
      <c r="J288">
        <v>1321.4392089999999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25.594010000000001</v>
      </c>
      <c r="B289" s="1">
        <f>DATE(2010,5,26) + TIME(14,15,22)</f>
        <v>40324.594004629631</v>
      </c>
      <c r="C289">
        <v>80</v>
      </c>
      <c r="D289">
        <v>79.935745238999999</v>
      </c>
      <c r="E289">
        <v>50</v>
      </c>
      <c r="F289">
        <v>14.999791145</v>
      </c>
      <c r="G289">
        <v>1338.4741211</v>
      </c>
      <c r="H289">
        <v>1336.3547363</v>
      </c>
      <c r="I289">
        <v>1324.1854248</v>
      </c>
      <c r="J289">
        <v>1321.4395752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25.879860999999998</v>
      </c>
      <c r="B290" s="1">
        <f>DATE(2010,5,26) + TIME(21,6,59)</f>
        <v>40324.879849537036</v>
      </c>
      <c r="C290">
        <v>80</v>
      </c>
      <c r="D290">
        <v>79.935707092000001</v>
      </c>
      <c r="E290">
        <v>50</v>
      </c>
      <c r="F290">
        <v>14.999792099</v>
      </c>
      <c r="G290">
        <v>1338.4672852000001</v>
      </c>
      <c r="H290">
        <v>1336.3502197</v>
      </c>
      <c r="I290">
        <v>1324.1861572</v>
      </c>
      <c r="J290">
        <v>1321.4400635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26.025348000000001</v>
      </c>
      <c r="B291" s="1">
        <f>DATE(2010,5,27) + TIME(0,36,30)</f>
        <v>40325.025347222225</v>
      </c>
      <c r="C291">
        <v>80</v>
      </c>
      <c r="D291">
        <v>79.935676575000002</v>
      </c>
      <c r="E291">
        <v>50</v>
      </c>
      <c r="F291">
        <v>14.999792099</v>
      </c>
      <c r="G291">
        <v>1338.4603271000001</v>
      </c>
      <c r="H291">
        <v>1336.3455810999999</v>
      </c>
      <c r="I291">
        <v>1324.1867675999999</v>
      </c>
      <c r="J291">
        <v>1321.4404297000001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26.170835</v>
      </c>
      <c r="B292" s="1">
        <f>DATE(2010,5,27) + TIME(4,6,0)</f>
        <v>40325.17083333333</v>
      </c>
      <c r="C292">
        <v>80</v>
      </c>
      <c r="D292">
        <v>79.935653686999999</v>
      </c>
      <c r="E292">
        <v>50</v>
      </c>
      <c r="F292">
        <v>14.999793052999999</v>
      </c>
      <c r="G292">
        <v>1338.4569091999999</v>
      </c>
      <c r="H292">
        <v>1336.3432617000001</v>
      </c>
      <c r="I292">
        <v>1324.1871338000001</v>
      </c>
      <c r="J292">
        <v>1321.4406738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26.316323000000001</v>
      </c>
      <c r="B293" s="1">
        <f>DATE(2010,5,27) + TIME(7,35,30)</f>
        <v>40325.316319444442</v>
      </c>
      <c r="C293">
        <v>80</v>
      </c>
      <c r="D293">
        <v>79.935623168999996</v>
      </c>
      <c r="E293">
        <v>50</v>
      </c>
      <c r="F293">
        <v>14.999794006</v>
      </c>
      <c r="G293">
        <v>1338.4534911999999</v>
      </c>
      <c r="H293">
        <v>1336.3409423999999</v>
      </c>
      <c r="I293">
        <v>1324.1875</v>
      </c>
      <c r="J293">
        <v>1321.440918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26.46181</v>
      </c>
      <c r="B294" s="1">
        <f>DATE(2010,5,27) + TIME(11,5,0)</f>
        <v>40325.461805555555</v>
      </c>
      <c r="C294">
        <v>80</v>
      </c>
      <c r="D294">
        <v>79.935600281000006</v>
      </c>
      <c r="E294">
        <v>50</v>
      </c>
      <c r="F294">
        <v>14.999794006</v>
      </c>
      <c r="G294">
        <v>1338.4500731999999</v>
      </c>
      <c r="H294">
        <v>1336.3387451000001</v>
      </c>
      <c r="I294">
        <v>1324.1878661999999</v>
      </c>
      <c r="J294">
        <v>1321.4411620999999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26.607296999999999</v>
      </c>
      <c r="B295" s="1">
        <f>DATE(2010,5,27) + TIME(14,34,30)</f>
        <v>40325.607291666667</v>
      </c>
      <c r="C295">
        <v>80</v>
      </c>
      <c r="D295">
        <v>79.935577393000003</v>
      </c>
      <c r="E295">
        <v>50</v>
      </c>
      <c r="F295">
        <v>14.999794959999999</v>
      </c>
      <c r="G295">
        <v>1338.4466553</v>
      </c>
      <c r="H295">
        <v>1336.3364257999999</v>
      </c>
      <c r="I295">
        <v>1324.1881103999999</v>
      </c>
      <c r="J295">
        <v>1321.4414062000001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26.752784999999999</v>
      </c>
      <c r="B296" s="1">
        <f>DATE(2010,5,27) + TIME(18,4,0)</f>
        <v>40325.75277777778</v>
      </c>
      <c r="C296">
        <v>80</v>
      </c>
      <c r="D296">
        <v>79.935562133999994</v>
      </c>
      <c r="E296">
        <v>50</v>
      </c>
      <c r="F296">
        <v>14.999794959999999</v>
      </c>
      <c r="G296">
        <v>1338.4432373</v>
      </c>
      <c r="H296">
        <v>1336.3341064000001</v>
      </c>
      <c r="I296">
        <v>1324.1884766000001</v>
      </c>
      <c r="J296">
        <v>1321.4415283000001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26.898271999999999</v>
      </c>
      <c r="B297" s="1">
        <f>DATE(2010,5,27) + TIME(21,33,30)</f>
        <v>40325.898263888892</v>
      </c>
      <c r="C297">
        <v>80</v>
      </c>
      <c r="D297">
        <v>79.935539246000005</v>
      </c>
      <c r="E297">
        <v>50</v>
      </c>
      <c r="F297">
        <v>14.999795914</v>
      </c>
      <c r="G297">
        <v>1338.4399414</v>
      </c>
      <c r="H297">
        <v>1336.3319091999999</v>
      </c>
      <c r="I297">
        <v>1324.1888428</v>
      </c>
      <c r="J297">
        <v>1321.4417725000001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27.043759999999999</v>
      </c>
      <c r="B298" s="1">
        <f>DATE(2010,5,28) + TIME(1,3,0)</f>
        <v>40326.043749999997</v>
      </c>
      <c r="C298">
        <v>80</v>
      </c>
      <c r="D298">
        <v>79.935516356999997</v>
      </c>
      <c r="E298">
        <v>50</v>
      </c>
      <c r="F298">
        <v>14.999795914</v>
      </c>
      <c r="G298">
        <v>1338.4366454999999</v>
      </c>
      <c r="H298">
        <v>1336.3297118999999</v>
      </c>
      <c r="I298">
        <v>1324.1892089999999</v>
      </c>
      <c r="J298">
        <v>1321.4420166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27.189247000000002</v>
      </c>
      <c r="B299" s="1">
        <f>DATE(2010,5,28) + TIME(4,32,30)</f>
        <v>40326.189236111109</v>
      </c>
      <c r="C299">
        <v>80</v>
      </c>
      <c r="D299">
        <v>79.935501099000007</v>
      </c>
      <c r="E299">
        <v>50</v>
      </c>
      <c r="F299">
        <v>14.999796867000001</v>
      </c>
      <c r="G299">
        <v>1338.4332274999999</v>
      </c>
      <c r="H299">
        <v>1336.3275146000001</v>
      </c>
      <c r="I299">
        <v>1324.1895752</v>
      </c>
      <c r="J299">
        <v>1321.4422606999999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27.334734000000001</v>
      </c>
      <c r="B300" s="1">
        <f>DATE(2010,5,28) + TIME(8,2,1)</f>
        <v>40326.334733796299</v>
      </c>
      <c r="C300">
        <v>80</v>
      </c>
      <c r="D300">
        <v>79.935478209999999</v>
      </c>
      <c r="E300">
        <v>50</v>
      </c>
      <c r="F300">
        <v>14.999796867000001</v>
      </c>
      <c r="G300">
        <v>1338.4299315999999</v>
      </c>
      <c r="H300">
        <v>1336.3253173999999</v>
      </c>
      <c r="I300">
        <v>1324.1899414</v>
      </c>
      <c r="J300">
        <v>1321.4425048999999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27.480195999999999</v>
      </c>
      <c r="B301" s="1">
        <f>DATE(2010,5,28) + TIME(11,31,28)</f>
        <v>40326.480185185188</v>
      </c>
      <c r="C301">
        <v>80</v>
      </c>
      <c r="D301">
        <v>79.935462951999995</v>
      </c>
      <c r="E301">
        <v>50</v>
      </c>
      <c r="F301">
        <v>14.999797821</v>
      </c>
      <c r="G301">
        <v>1338.4266356999999</v>
      </c>
      <c r="H301">
        <v>1336.3231201000001</v>
      </c>
      <c r="I301">
        <v>1324.1903076000001</v>
      </c>
      <c r="J301">
        <v>1321.442749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27.625658000000001</v>
      </c>
      <c r="B302" s="1">
        <f>DATE(2010,5,28) + TIME(15,0,56)</f>
        <v>40326.625648148147</v>
      </c>
      <c r="C302">
        <v>80</v>
      </c>
      <c r="D302">
        <v>79.935440063000001</v>
      </c>
      <c r="E302">
        <v>50</v>
      </c>
      <c r="F302">
        <v>14.999797821</v>
      </c>
      <c r="G302">
        <v>1338.4233397999999</v>
      </c>
      <c r="H302">
        <v>1336.3209228999999</v>
      </c>
      <c r="I302">
        <v>1324.1906738</v>
      </c>
      <c r="J302">
        <v>1321.4429932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27.77112</v>
      </c>
      <c r="B303" s="1">
        <f>DATE(2010,5,28) + TIME(18,30,24)</f>
        <v>40326.771111111113</v>
      </c>
      <c r="C303">
        <v>80</v>
      </c>
      <c r="D303">
        <v>79.935424804999997</v>
      </c>
      <c r="E303">
        <v>50</v>
      </c>
      <c r="F303">
        <v>14.999798775</v>
      </c>
      <c r="G303">
        <v>1338.4201660000001</v>
      </c>
      <c r="H303">
        <v>1336.3187256000001</v>
      </c>
      <c r="I303">
        <v>1324.1910399999999</v>
      </c>
      <c r="J303">
        <v>1321.4432373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27.916581999999998</v>
      </c>
      <c r="B304" s="1">
        <f>DATE(2010,5,28) + TIME(21,59,52)</f>
        <v>40326.916574074072</v>
      </c>
      <c r="C304">
        <v>80</v>
      </c>
      <c r="D304">
        <v>79.935401916999993</v>
      </c>
      <c r="E304">
        <v>50</v>
      </c>
      <c r="F304">
        <v>14.999798775</v>
      </c>
      <c r="G304">
        <v>1338.4168701000001</v>
      </c>
      <c r="H304">
        <v>1336.3166504000001</v>
      </c>
      <c r="I304">
        <v>1324.1912841999999</v>
      </c>
      <c r="J304">
        <v>1321.4433594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28.062044</v>
      </c>
      <c r="B305" s="1">
        <f>DATE(2010,5,29) + TIME(1,29,20)</f>
        <v>40327.062037037038</v>
      </c>
      <c r="C305">
        <v>80</v>
      </c>
      <c r="D305">
        <v>79.935386657999999</v>
      </c>
      <c r="E305">
        <v>50</v>
      </c>
      <c r="F305">
        <v>14.999799727999999</v>
      </c>
      <c r="G305">
        <v>1338.4136963000001</v>
      </c>
      <c r="H305">
        <v>1336.3144531</v>
      </c>
      <c r="I305">
        <v>1324.1916504000001</v>
      </c>
      <c r="J305">
        <v>1321.4436035000001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28.207505999999999</v>
      </c>
      <c r="B306" s="1">
        <f>DATE(2010,5,29) + TIME(4,58,48)</f>
        <v>40327.207499999997</v>
      </c>
      <c r="C306">
        <v>80</v>
      </c>
      <c r="D306">
        <v>79.935371399000005</v>
      </c>
      <c r="E306">
        <v>50</v>
      </c>
      <c r="F306">
        <v>14.999799727999999</v>
      </c>
      <c r="G306">
        <v>1338.4105225000001</v>
      </c>
      <c r="H306">
        <v>1336.3123779</v>
      </c>
      <c r="I306">
        <v>1324.1920166</v>
      </c>
      <c r="J306">
        <v>1321.4438477000001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28.352968000000001</v>
      </c>
      <c r="B307" s="1">
        <f>DATE(2010,5,29) + TIME(8,28,16)</f>
        <v>40327.352962962963</v>
      </c>
      <c r="C307">
        <v>80</v>
      </c>
      <c r="D307">
        <v>79.935348511000001</v>
      </c>
      <c r="E307">
        <v>50</v>
      </c>
      <c r="F307">
        <v>14.999800682</v>
      </c>
      <c r="G307">
        <v>1338.4073486</v>
      </c>
      <c r="H307">
        <v>1336.3101807</v>
      </c>
      <c r="I307">
        <v>1324.1923827999999</v>
      </c>
      <c r="J307">
        <v>1321.4440918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28.498429999999999</v>
      </c>
      <c r="B308" s="1">
        <f>DATE(2010,5,29) + TIME(11,57,44)</f>
        <v>40327.498425925929</v>
      </c>
      <c r="C308">
        <v>80</v>
      </c>
      <c r="D308">
        <v>79.935333252000007</v>
      </c>
      <c r="E308">
        <v>50</v>
      </c>
      <c r="F308">
        <v>14.999801636000001</v>
      </c>
      <c r="G308">
        <v>1338.4041748</v>
      </c>
      <c r="H308">
        <v>1336.3081055</v>
      </c>
      <c r="I308">
        <v>1324.192749</v>
      </c>
      <c r="J308">
        <v>1321.4443358999999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28.789352999999998</v>
      </c>
      <c r="B309" s="1">
        <f>DATE(2010,5,29) + TIME(18,56,40)</f>
        <v>40327.789351851854</v>
      </c>
      <c r="C309">
        <v>80</v>
      </c>
      <c r="D309">
        <v>79.935310364000003</v>
      </c>
      <c r="E309">
        <v>50</v>
      </c>
      <c r="F309">
        <v>14.999801636000001</v>
      </c>
      <c r="G309">
        <v>1338.4011230000001</v>
      </c>
      <c r="H309">
        <v>1336.3060303</v>
      </c>
      <c r="I309">
        <v>1324.1931152</v>
      </c>
      <c r="J309">
        <v>1321.4445800999999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29.080736999999999</v>
      </c>
      <c r="B310" s="1">
        <f>DATE(2010,5,30) + TIME(1,56,15)</f>
        <v>40328.080729166664</v>
      </c>
      <c r="C310">
        <v>80</v>
      </c>
      <c r="D310">
        <v>79.935287475999999</v>
      </c>
      <c r="E310">
        <v>50</v>
      </c>
      <c r="F310">
        <v>14.999802589</v>
      </c>
      <c r="G310">
        <v>1338.3947754000001</v>
      </c>
      <c r="H310">
        <v>1336.3020019999999</v>
      </c>
      <c r="I310">
        <v>1324.1938477000001</v>
      </c>
      <c r="J310">
        <v>1321.4450684000001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29.37593</v>
      </c>
      <c r="B311" s="1">
        <f>DATE(2010,5,30) + TIME(9,1,20)</f>
        <v>40328.375925925924</v>
      </c>
      <c r="C311">
        <v>80</v>
      </c>
      <c r="D311">
        <v>79.935256957999997</v>
      </c>
      <c r="E311">
        <v>50</v>
      </c>
      <c r="F311">
        <v>14.999803543000001</v>
      </c>
      <c r="G311">
        <v>1338.3885498</v>
      </c>
      <c r="H311">
        <v>1336.2978516000001</v>
      </c>
      <c r="I311">
        <v>1324.1945800999999</v>
      </c>
      <c r="J311">
        <v>1321.4455565999999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29.675547000000002</v>
      </c>
      <c r="B312" s="1">
        <f>DATE(2010,5,30) + TIME(16,12,47)</f>
        <v>40328.675543981481</v>
      </c>
      <c r="C312">
        <v>80</v>
      </c>
      <c r="D312">
        <v>79.935226439999994</v>
      </c>
      <c r="E312">
        <v>50</v>
      </c>
      <c r="F312">
        <v>14.999804497</v>
      </c>
      <c r="G312">
        <v>1338.3823242000001</v>
      </c>
      <c r="H312">
        <v>1336.2937012</v>
      </c>
      <c r="I312">
        <v>1324.1953125</v>
      </c>
      <c r="J312">
        <v>1321.4459228999999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29.980274999999999</v>
      </c>
      <c r="B313" s="1">
        <f>DATE(2010,5,30) + TIME(23,31,35)</f>
        <v>40328.980266203704</v>
      </c>
      <c r="C313">
        <v>80</v>
      </c>
      <c r="D313">
        <v>79.935195922999995</v>
      </c>
      <c r="E313">
        <v>50</v>
      </c>
      <c r="F313">
        <v>14.99980545</v>
      </c>
      <c r="G313">
        <v>1338.3760986</v>
      </c>
      <c r="H313">
        <v>1336.2895507999999</v>
      </c>
      <c r="I313">
        <v>1324.1960449000001</v>
      </c>
      <c r="J313">
        <v>1321.4464111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30.290907000000001</v>
      </c>
      <c r="B314" s="1">
        <f>DATE(2010,5,31) + TIME(6,58,54)</f>
        <v>40329.290902777779</v>
      </c>
      <c r="C314">
        <v>80</v>
      </c>
      <c r="D314">
        <v>79.935165405000006</v>
      </c>
      <c r="E314">
        <v>50</v>
      </c>
      <c r="F314">
        <v>14.999806403999999</v>
      </c>
      <c r="G314">
        <v>1338.3698730000001</v>
      </c>
      <c r="H314">
        <v>1336.2854004000001</v>
      </c>
      <c r="I314">
        <v>1324.1968993999999</v>
      </c>
      <c r="J314">
        <v>1321.4468993999999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30.608270999999998</v>
      </c>
      <c r="B315" s="1">
        <f>DATE(2010,5,31) + TIME(14,35,54)</f>
        <v>40329.608263888891</v>
      </c>
      <c r="C315">
        <v>80</v>
      </c>
      <c r="D315">
        <v>79.935127257999994</v>
      </c>
      <c r="E315">
        <v>50</v>
      </c>
      <c r="F315">
        <v>14.999807358</v>
      </c>
      <c r="G315">
        <v>1338.3634033000001</v>
      </c>
      <c r="H315">
        <v>1336.28125</v>
      </c>
      <c r="I315">
        <v>1324.1976318</v>
      </c>
      <c r="J315">
        <v>1321.4473877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30.769351</v>
      </c>
      <c r="B316" s="1">
        <f>DATE(2010,5,31) + TIME(18,27,51)</f>
        <v>40329.76934027778</v>
      </c>
      <c r="C316">
        <v>80</v>
      </c>
      <c r="D316">
        <v>79.935104370000005</v>
      </c>
      <c r="E316">
        <v>50</v>
      </c>
      <c r="F316">
        <v>14.999808311000001</v>
      </c>
      <c r="G316">
        <v>1338.3569336</v>
      </c>
      <c r="H316">
        <v>1336.2768555</v>
      </c>
      <c r="I316">
        <v>1324.1983643000001</v>
      </c>
      <c r="J316">
        <v>1321.447876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31</v>
      </c>
      <c r="B317" s="1">
        <f>DATE(2010,6,1) + TIME(0,0,0)</f>
        <v>40330</v>
      </c>
      <c r="C317">
        <v>80</v>
      </c>
      <c r="D317">
        <v>79.935081482000001</v>
      </c>
      <c r="E317">
        <v>50</v>
      </c>
      <c r="F317">
        <v>14.999809265</v>
      </c>
      <c r="G317">
        <v>1338.3537598</v>
      </c>
      <c r="H317">
        <v>1336.2747803</v>
      </c>
      <c r="I317">
        <v>1324.1988524999999</v>
      </c>
      <c r="J317">
        <v>1321.4482422000001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31.161079000000001</v>
      </c>
      <c r="B318" s="1">
        <f>DATE(2010,6,1) + TIME(3,51,57)</f>
        <v>40330.161076388889</v>
      </c>
      <c r="C318">
        <v>80</v>
      </c>
      <c r="D318">
        <v>79.935058593999997</v>
      </c>
      <c r="E318">
        <v>50</v>
      </c>
      <c r="F318">
        <v>14.999809265</v>
      </c>
      <c r="G318">
        <v>1338.3491211</v>
      </c>
      <c r="H318">
        <v>1336.2716064000001</v>
      </c>
      <c r="I318">
        <v>1324.1994629000001</v>
      </c>
      <c r="J318">
        <v>1321.4486084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31.321280999999999</v>
      </c>
      <c r="B319" s="1">
        <f>DATE(2010,6,1) + TIME(7,42,38)</f>
        <v>40330.321273148147</v>
      </c>
      <c r="C319">
        <v>80</v>
      </c>
      <c r="D319">
        <v>79.935035705999994</v>
      </c>
      <c r="E319">
        <v>50</v>
      </c>
      <c r="F319">
        <v>14.999810219</v>
      </c>
      <c r="G319">
        <v>1338.3459473</v>
      </c>
      <c r="H319">
        <v>1336.2695312000001</v>
      </c>
      <c r="I319">
        <v>1324.1998291</v>
      </c>
      <c r="J319">
        <v>1321.4488524999999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31.481107000000002</v>
      </c>
      <c r="B320" s="1">
        <f>DATE(2010,6,1) + TIME(11,32,47)</f>
        <v>40330.481099537035</v>
      </c>
      <c r="C320">
        <v>80</v>
      </c>
      <c r="D320">
        <v>79.935020446999999</v>
      </c>
      <c r="E320">
        <v>50</v>
      </c>
      <c r="F320">
        <v>14.999810219</v>
      </c>
      <c r="G320">
        <v>1338.3427733999999</v>
      </c>
      <c r="H320">
        <v>1336.2673339999999</v>
      </c>
      <c r="I320">
        <v>1324.2001952999999</v>
      </c>
      <c r="J320">
        <v>1321.4490966999999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31.640654000000001</v>
      </c>
      <c r="B321" s="1">
        <f>DATE(2010,6,1) + TIME(15,22,32)</f>
        <v>40330.640648148146</v>
      </c>
      <c r="C321">
        <v>80</v>
      </c>
      <c r="D321">
        <v>79.934997558999996</v>
      </c>
      <c r="E321">
        <v>50</v>
      </c>
      <c r="F321">
        <v>14.999811171999999</v>
      </c>
      <c r="G321">
        <v>1338.3395995999999</v>
      </c>
      <c r="H321">
        <v>1336.2652588000001</v>
      </c>
      <c r="I321">
        <v>1324.2006836</v>
      </c>
      <c r="J321">
        <v>1321.4493408000001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31.800013</v>
      </c>
      <c r="B322" s="1">
        <f>DATE(2010,6,1) + TIME(19,12,1)</f>
        <v>40330.800011574072</v>
      </c>
      <c r="C322">
        <v>80</v>
      </c>
      <c r="D322">
        <v>79.934982300000001</v>
      </c>
      <c r="E322">
        <v>50</v>
      </c>
      <c r="F322">
        <v>14.999811171999999</v>
      </c>
      <c r="G322">
        <v>1338.3364257999999</v>
      </c>
      <c r="H322">
        <v>1336.2631836</v>
      </c>
      <c r="I322">
        <v>1324.2010498</v>
      </c>
      <c r="J322">
        <v>1321.4495850000001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31.959257999999998</v>
      </c>
      <c r="B323" s="1">
        <f>DATE(2010,6,1) + TIME(23,1,19)</f>
        <v>40330.959247685183</v>
      </c>
      <c r="C323">
        <v>80</v>
      </c>
      <c r="D323">
        <v>79.934967040999993</v>
      </c>
      <c r="E323">
        <v>50</v>
      </c>
      <c r="F323">
        <v>14.999812126</v>
      </c>
      <c r="G323">
        <v>1338.333374</v>
      </c>
      <c r="H323">
        <v>1336.2611084</v>
      </c>
      <c r="I323">
        <v>1324.2015381000001</v>
      </c>
      <c r="J323">
        <v>1321.4498291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32.118473000000002</v>
      </c>
      <c r="B324" s="1">
        <f>DATE(2010,6,2) + TIME(2,50,36)</f>
        <v>40331.118472222224</v>
      </c>
      <c r="C324">
        <v>80</v>
      </c>
      <c r="D324">
        <v>79.934951781999999</v>
      </c>
      <c r="E324">
        <v>50</v>
      </c>
      <c r="F324">
        <v>14.999812126</v>
      </c>
      <c r="G324">
        <v>1338.3303223</v>
      </c>
      <c r="H324">
        <v>1336.2590332</v>
      </c>
      <c r="I324">
        <v>1324.2019043</v>
      </c>
      <c r="J324">
        <v>1321.4500731999999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32.277687</v>
      </c>
      <c r="B325" s="1">
        <f>DATE(2010,6,2) + TIME(6,39,52)</f>
        <v>40331.277685185189</v>
      </c>
      <c r="C325">
        <v>80</v>
      </c>
      <c r="D325">
        <v>79.934936523000005</v>
      </c>
      <c r="E325">
        <v>50</v>
      </c>
      <c r="F325">
        <v>14.999813079999999</v>
      </c>
      <c r="G325">
        <v>1338.3272704999999</v>
      </c>
      <c r="H325">
        <v>1336.2569579999999</v>
      </c>
      <c r="I325">
        <v>1324.2022704999999</v>
      </c>
      <c r="J325">
        <v>1321.4504394999999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32.436902000000003</v>
      </c>
      <c r="B326" s="1">
        <f>DATE(2010,6,2) + TIME(10,29,8)</f>
        <v>40331.436898148146</v>
      </c>
      <c r="C326">
        <v>80</v>
      </c>
      <c r="D326">
        <v>79.934921265</v>
      </c>
      <c r="E326">
        <v>50</v>
      </c>
      <c r="F326">
        <v>14.999813079999999</v>
      </c>
      <c r="G326">
        <v>1338.3242187999999</v>
      </c>
      <c r="H326">
        <v>1336.2550048999999</v>
      </c>
      <c r="I326">
        <v>1324.2027588000001</v>
      </c>
      <c r="J326">
        <v>1321.4506836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32.596117</v>
      </c>
      <c r="B327" s="1">
        <f>DATE(2010,6,2) + TIME(14,18,24)</f>
        <v>40331.59611111111</v>
      </c>
      <c r="C327">
        <v>80</v>
      </c>
      <c r="D327">
        <v>79.934906006000006</v>
      </c>
      <c r="E327">
        <v>50</v>
      </c>
      <c r="F327">
        <v>14.999814034</v>
      </c>
      <c r="G327">
        <v>1338.3211670000001</v>
      </c>
      <c r="H327">
        <v>1336.2529297000001</v>
      </c>
      <c r="I327">
        <v>1324.203125</v>
      </c>
      <c r="J327">
        <v>1321.4509277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32.755330999999998</v>
      </c>
      <c r="B328" s="1">
        <f>DATE(2010,6,2) + TIME(18,7,40)</f>
        <v>40331.755324074074</v>
      </c>
      <c r="C328">
        <v>80</v>
      </c>
      <c r="D328">
        <v>79.934890746999997</v>
      </c>
      <c r="E328">
        <v>50</v>
      </c>
      <c r="F328">
        <v>14.999814987000001</v>
      </c>
      <c r="G328">
        <v>1338.3181152</v>
      </c>
      <c r="H328">
        <v>1336.2508545000001</v>
      </c>
      <c r="I328">
        <v>1324.2036132999999</v>
      </c>
      <c r="J328">
        <v>1321.4511719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32.914546000000001</v>
      </c>
      <c r="B329" s="1">
        <f>DATE(2010,6,2) + TIME(21,56,56)</f>
        <v>40331.914537037039</v>
      </c>
      <c r="C329">
        <v>80</v>
      </c>
      <c r="D329">
        <v>79.934875488000003</v>
      </c>
      <c r="E329">
        <v>50</v>
      </c>
      <c r="F329">
        <v>14.999814987000001</v>
      </c>
      <c r="G329">
        <v>1338.3150635</v>
      </c>
      <c r="H329">
        <v>1336.2489014</v>
      </c>
      <c r="I329">
        <v>1324.2039795000001</v>
      </c>
      <c r="J329">
        <v>1321.4514160000001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33.073760999999998</v>
      </c>
      <c r="B330" s="1">
        <f>DATE(2010,6,3) + TIME(1,46,12)</f>
        <v>40332.073750000003</v>
      </c>
      <c r="C330">
        <v>80</v>
      </c>
      <c r="D330">
        <v>79.934860228999995</v>
      </c>
      <c r="E330">
        <v>50</v>
      </c>
      <c r="F330">
        <v>14.999815941</v>
      </c>
      <c r="G330">
        <v>1338.3121338000001</v>
      </c>
      <c r="H330">
        <v>1336.2468262</v>
      </c>
      <c r="I330">
        <v>1324.2043457</v>
      </c>
      <c r="J330">
        <v>1321.4516602000001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33.392189999999999</v>
      </c>
      <c r="B331" s="1">
        <f>DATE(2010,6,3) + TIME(9,24,45)</f>
        <v>40332.392187500001</v>
      </c>
      <c r="C331">
        <v>80</v>
      </c>
      <c r="D331">
        <v>79.934844971000004</v>
      </c>
      <c r="E331">
        <v>50</v>
      </c>
      <c r="F331">
        <v>14.999815941</v>
      </c>
      <c r="G331">
        <v>1338.3092041</v>
      </c>
      <c r="H331">
        <v>1336.2449951000001</v>
      </c>
      <c r="I331">
        <v>1324.2048339999999</v>
      </c>
      <c r="J331">
        <v>1321.4520264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33.711418999999999</v>
      </c>
      <c r="B332" s="1">
        <f>DATE(2010,6,3) + TIME(17,4,26)</f>
        <v>40332.711412037039</v>
      </c>
      <c r="C332">
        <v>80</v>
      </c>
      <c r="D332">
        <v>79.934829711999996</v>
      </c>
      <c r="E332">
        <v>50</v>
      </c>
      <c r="F332">
        <v>14.999816895</v>
      </c>
      <c r="G332">
        <v>1338.3033447</v>
      </c>
      <c r="H332">
        <v>1336.2409668</v>
      </c>
      <c r="I332">
        <v>1324.2056885</v>
      </c>
      <c r="J332">
        <v>1321.4525146000001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34.034315999999997</v>
      </c>
      <c r="B333" s="1">
        <f>DATE(2010,6,4) + TIME(0,49,24)</f>
        <v>40333.034305555557</v>
      </c>
      <c r="C333">
        <v>80</v>
      </c>
      <c r="D333">
        <v>79.934806824000006</v>
      </c>
      <c r="E333">
        <v>50</v>
      </c>
      <c r="F333">
        <v>14.999817847999999</v>
      </c>
      <c r="G333">
        <v>1338.2973632999999</v>
      </c>
      <c r="H333">
        <v>1336.2370605000001</v>
      </c>
      <c r="I333">
        <v>1324.206543</v>
      </c>
      <c r="J333">
        <v>1321.453125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34.361581999999999</v>
      </c>
      <c r="B334" s="1">
        <f>DATE(2010,6,4) + TIME(8,40,40)</f>
        <v>40333.361574074072</v>
      </c>
      <c r="C334">
        <v>80</v>
      </c>
      <c r="D334">
        <v>79.934783936000002</v>
      </c>
      <c r="E334">
        <v>50</v>
      </c>
      <c r="F334">
        <v>14.999818802</v>
      </c>
      <c r="G334">
        <v>1338.2915039</v>
      </c>
      <c r="H334">
        <v>1336.2330322</v>
      </c>
      <c r="I334">
        <v>1324.2073975000001</v>
      </c>
      <c r="J334">
        <v>1321.4536132999999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34.693975999999999</v>
      </c>
      <c r="B335" s="1">
        <f>DATE(2010,6,4) + TIME(16,39,19)</f>
        <v>40333.693969907406</v>
      </c>
      <c r="C335">
        <v>80</v>
      </c>
      <c r="D335">
        <v>79.934761046999995</v>
      </c>
      <c r="E335">
        <v>50</v>
      </c>
      <c r="F335">
        <v>14.999819756000001</v>
      </c>
      <c r="G335">
        <v>1338.2856445</v>
      </c>
      <c r="H335">
        <v>1336.229126</v>
      </c>
      <c r="I335">
        <v>1324.2082519999999</v>
      </c>
      <c r="J335">
        <v>1321.4542236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35.032307000000003</v>
      </c>
      <c r="B336" s="1">
        <f>DATE(2010,6,5) + TIME(0,46,31)</f>
        <v>40334.03230324074</v>
      </c>
      <c r="C336">
        <v>80</v>
      </c>
      <c r="D336">
        <v>79.934738159000005</v>
      </c>
      <c r="E336">
        <v>50</v>
      </c>
      <c r="F336">
        <v>14.999820709</v>
      </c>
      <c r="G336">
        <v>1338.2796631000001</v>
      </c>
      <c r="H336">
        <v>1336.2250977000001</v>
      </c>
      <c r="I336">
        <v>1324.2092285000001</v>
      </c>
      <c r="J336">
        <v>1321.4547118999999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35.377535000000002</v>
      </c>
      <c r="B337" s="1">
        <f>DATE(2010,6,5) + TIME(9,3,38)</f>
        <v>40334.377523148149</v>
      </c>
      <c r="C337">
        <v>80</v>
      </c>
      <c r="D337">
        <v>79.934707642000006</v>
      </c>
      <c r="E337">
        <v>50</v>
      </c>
      <c r="F337">
        <v>14.999821663000001</v>
      </c>
      <c r="G337">
        <v>1338.2736815999999</v>
      </c>
      <c r="H337">
        <v>1336.2209473</v>
      </c>
      <c r="I337">
        <v>1324.2100829999999</v>
      </c>
      <c r="J337">
        <v>1321.4553223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35.553460000000001</v>
      </c>
      <c r="B338" s="1">
        <f>DATE(2010,6,5) + TIME(13,16,58)</f>
        <v>40334.553449074076</v>
      </c>
      <c r="C338">
        <v>80</v>
      </c>
      <c r="D338">
        <v>79.934692382999998</v>
      </c>
      <c r="E338">
        <v>50</v>
      </c>
      <c r="F338">
        <v>14.999822617</v>
      </c>
      <c r="G338">
        <v>1338.2675781</v>
      </c>
      <c r="H338">
        <v>1336.2167969</v>
      </c>
      <c r="I338">
        <v>1324.2110596</v>
      </c>
      <c r="J338">
        <v>1321.4559326000001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35.729385000000001</v>
      </c>
      <c r="B339" s="1">
        <f>DATE(2010,6,5) + TIME(17,30,18)</f>
        <v>40334.729375000003</v>
      </c>
      <c r="C339">
        <v>80</v>
      </c>
      <c r="D339">
        <v>79.934669494999994</v>
      </c>
      <c r="E339">
        <v>50</v>
      </c>
      <c r="F339">
        <v>14.999822617</v>
      </c>
      <c r="G339">
        <v>1338.2644043</v>
      </c>
      <c r="H339">
        <v>1336.2147216999999</v>
      </c>
      <c r="I339">
        <v>1324.2114257999999</v>
      </c>
      <c r="J339">
        <v>1321.4561768000001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35.904985000000003</v>
      </c>
      <c r="B340" s="1">
        <f>DATE(2010,6,5) + TIME(21,43,10)</f>
        <v>40334.904976851853</v>
      </c>
      <c r="C340">
        <v>80</v>
      </c>
      <c r="D340">
        <v>79.934654236</v>
      </c>
      <c r="E340">
        <v>50</v>
      </c>
      <c r="F340">
        <v>14.99982357</v>
      </c>
      <c r="G340">
        <v>1338.2613524999999</v>
      </c>
      <c r="H340">
        <v>1336.2126464999999</v>
      </c>
      <c r="I340">
        <v>1324.2119141000001</v>
      </c>
      <c r="J340">
        <v>1321.4564209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36.079982000000001</v>
      </c>
      <c r="B341" s="1">
        <f>DATE(2010,6,6) + TIME(1,55,10)</f>
        <v>40335.079976851855</v>
      </c>
      <c r="C341">
        <v>80</v>
      </c>
      <c r="D341">
        <v>79.934638977000006</v>
      </c>
      <c r="E341">
        <v>50</v>
      </c>
      <c r="F341">
        <v>14.999824523999999</v>
      </c>
      <c r="G341">
        <v>1338.2584228999999</v>
      </c>
      <c r="H341">
        <v>1336.2105713000001</v>
      </c>
      <c r="I341">
        <v>1324.2124022999999</v>
      </c>
      <c r="J341">
        <v>1321.4567870999999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36.254486</v>
      </c>
      <c r="B342" s="1">
        <f>DATE(2010,6,6) + TIME(6,6,27)</f>
        <v>40335.254479166666</v>
      </c>
      <c r="C342">
        <v>80</v>
      </c>
      <c r="D342">
        <v>79.934623717999997</v>
      </c>
      <c r="E342">
        <v>50</v>
      </c>
      <c r="F342">
        <v>14.999824523999999</v>
      </c>
      <c r="G342">
        <v>1338.2553711</v>
      </c>
      <c r="H342">
        <v>1336.2084961</v>
      </c>
      <c r="I342">
        <v>1324.2128906</v>
      </c>
      <c r="J342">
        <v>1321.4570312000001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36.428607</v>
      </c>
      <c r="B343" s="1">
        <f>DATE(2010,6,6) + TIME(10,17,11)</f>
        <v>40335.428599537037</v>
      </c>
      <c r="C343">
        <v>80</v>
      </c>
      <c r="D343">
        <v>79.934616089000002</v>
      </c>
      <c r="E343">
        <v>50</v>
      </c>
      <c r="F343">
        <v>14.999825478</v>
      </c>
      <c r="G343">
        <v>1338.2524414</v>
      </c>
      <c r="H343">
        <v>1336.206543</v>
      </c>
      <c r="I343">
        <v>1324.2133789</v>
      </c>
      <c r="J343">
        <v>1321.4573975000001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36.602452</v>
      </c>
      <c r="B344" s="1">
        <f>DATE(2010,6,6) + TIME(14,27,31)</f>
        <v>40335.602442129632</v>
      </c>
      <c r="C344">
        <v>80</v>
      </c>
      <c r="D344">
        <v>79.934600829999994</v>
      </c>
      <c r="E344">
        <v>50</v>
      </c>
      <c r="F344">
        <v>14.999825478</v>
      </c>
      <c r="G344">
        <v>1338.2493896000001</v>
      </c>
      <c r="H344">
        <v>1336.2044678</v>
      </c>
      <c r="I344">
        <v>1324.2138672000001</v>
      </c>
      <c r="J344">
        <v>1321.4576416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36.776124000000003</v>
      </c>
      <c r="B345" s="1">
        <f>DATE(2010,6,6) + TIME(18,37,37)</f>
        <v>40335.776122685187</v>
      </c>
      <c r="C345">
        <v>80</v>
      </c>
      <c r="D345">
        <v>79.934593200999998</v>
      </c>
      <c r="E345">
        <v>50</v>
      </c>
      <c r="F345">
        <v>14.999826431000001</v>
      </c>
      <c r="G345">
        <v>1338.2464600000001</v>
      </c>
      <c r="H345">
        <v>1336.2025146000001</v>
      </c>
      <c r="I345">
        <v>1324.2143555</v>
      </c>
      <c r="J345">
        <v>1321.4580077999999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36.949711000000001</v>
      </c>
      <c r="B346" s="1">
        <f>DATE(2010,6,6) + TIME(22,47,35)</f>
        <v>40335.94971064815</v>
      </c>
      <c r="C346">
        <v>80</v>
      </c>
      <c r="D346">
        <v>79.934577942000004</v>
      </c>
      <c r="E346">
        <v>50</v>
      </c>
      <c r="F346">
        <v>14.999826431000001</v>
      </c>
      <c r="G346">
        <v>1338.2435303</v>
      </c>
      <c r="H346">
        <v>1336.2005615</v>
      </c>
      <c r="I346">
        <v>1324.2148437999999</v>
      </c>
      <c r="J346">
        <v>1321.4582519999999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37.123297000000001</v>
      </c>
      <c r="B347" s="1">
        <f>DATE(2010,6,7) + TIME(2,57,32)</f>
        <v>40336.123287037037</v>
      </c>
      <c r="C347">
        <v>80</v>
      </c>
      <c r="D347">
        <v>79.934570312000005</v>
      </c>
      <c r="E347">
        <v>50</v>
      </c>
      <c r="F347">
        <v>14.999827385</v>
      </c>
      <c r="G347">
        <v>1338.2406006000001</v>
      </c>
      <c r="H347">
        <v>1336.1984863</v>
      </c>
      <c r="I347">
        <v>1324.215332</v>
      </c>
      <c r="J347">
        <v>1321.4586182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37.296883999999999</v>
      </c>
      <c r="B348" s="1">
        <f>DATE(2010,6,7) + TIME(7,7,30)</f>
        <v>40336.296875</v>
      </c>
      <c r="C348">
        <v>80</v>
      </c>
      <c r="D348">
        <v>79.934555054</v>
      </c>
      <c r="E348">
        <v>50</v>
      </c>
      <c r="F348">
        <v>14.999827385</v>
      </c>
      <c r="G348">
        <v>1338.237793</v>
      </c>
      <c r="H348">
        <v>1336.1965332</v>
      </c>
      <c r="I348">
        <v>1324.2158202999999</v>
      </c>
      <c r="J348">
        <v>1321.4588623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37.470469999999999</v>
      </c>
      <c r="B349" s="1">
        <f>DATE(2010,6,7) + TIME(11,17,28)</f>
        <v>40336.470462962963</v>
      </c>
      <c r="C349">
        <v>80</v>
      </c>
      <c r="D349">
        <v>79.934547424000002</v>
      </c>
      <c r="E349">
        <v>50</v>
      </c>
      <c r="F349">
        <v>14.999828339</v>
      </c>
      <c r="G349">
        <v>1338.2348632999999</v>
      </c>
      <c r="H349">
        <v>1336.1945800999999</v>
      </c>
      <c r="I349">
        <v>1324.2163086</v>
      </c>
      <c r="J349">
        <v>1321.4592285000001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37.644056999999997</v>
      </c>
      <c r="B350" s="1">
        <f>DATE(2010,6,7) + TIME(15,27,26)</f>
        <v>40336.644050925926</v>
      </c>
      <c r="C350">
        <v>80</v>
      </c>
      <c r="D350">
        <v>79.934532165999997</v>
      </c>
      <c r="E350">
        <v>50</v>
      </c>
      <c r="F350">
        <v>14.999829291999999</v>
      </c>
      <c r="G350">
        <v>1338.2320557</v>
      </c>
      <c r="H350">
        <v>1336.1926269999999</v>
      </c>
      <c r="I350">
        <v>1324.2167969</v>
      </c>
      <c r="J350">
        <v>1321.4594727000001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37.817642999999997</v>
      </c>
      <c r="B351" s="1">
        <f>DATE(2010,6,7) + TIME(19,37,24)</f>
        <v>40336.81763888889</v>
      </c>
      <c r="C351">
        <v>80</v>
      </c>
      <c r="D351">
        <v>79.934524535999998</v>
      </c>
      <c r="E351">
        <v>50</v>
      </c>
      <c r="F351">
        <v>14.999829291999999</v>
      </c>
      <c r="G351">
        <v>1338.229126</v>
      </c>
      <c r="H351">
        <v>1336.1906738</v>
      </c>
      <c r="I351">
        <v>1324.2172852000001</v>
      </c>
      <c r="J351">
        <v>1321.4598389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37.991230000000002</v>
      </c>
      <c r="B352" s="1">
        <f>DATE(2010,6,7) + TIME(23,47,22)</f>
        <v>40336.991226851853</v>
      </c>
      <c r="C352">
        <v>80</v>
      </c>
      <c r="D352">
        <v>79.934516907000003</v>
      </c>
      <c r="E352">
        <v>50</v>
      </c>
      <c r="F352">
        <v>14.999830246</v>
      </c>
      <c r="G352">
        <v>1338.2263184000001</v>
      </c>
      <c r="H352">
        <v>1336.1888428</v>
      </c>
      <c r="I352">
        <v>1324.2177733999999</v>
      </c>
      <c r="J352">
        <v>1321.4600829999999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38.164816000000002</v>
      </c>
      <c r="B353" s="1">
        <f>DATE(2010,6,8) + TIME(3,57,20)</f>
        <v>40337.164814814816</v>
      </c>
      <c r="C353">
        <v>80</v>
      </c>
      <c r="D353">
        <v>79.934501647999994</v>
      </c>
      <c r="E353">
        <v>50</v>
      </c>
      <c r="F353">
        <v>14.999830246</v>
      </c>
      <c r="G353">
        <v>1338.2235106999999</v>
      </c>
      <c r="H353">
        <v>1336.1868896000001</v>
      </c>
      <c r="I353">
        <v>1324.2182617000001</v>
      </c>
      <c r="J353">
        <v>1321.4604492000001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38.511989</v>
      </c>
      <c r="B354" s="1">
        <f>DATE(2010,6,8) + TIME(12,17,15)</f>
        <v>40337.511979166666</v>
      </c>
      <c r="C354">
        <v>80</v>
      </c>
      <c r="D354">
        <v>79.934494018999999</v>
      </c>
      <c r="E354">
        <v>50</v>
      </c>
      <c r="F354">
        <v>14.999831199999999</v>
      </c>
      <c r="G354">
        <v>1338.2207031</v>
      </c>
      <c r="H354">
        <v>1336.1850586</v>
      </c>
      <c r="I354">
        <v>1324.2188721</v>
      </c>
      <c r="J354">
        <v>1321.4608154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38.860191</v>
      </c>
      <c r="B355" s="1">
        <f>DATE(2010,6,8) + TIME(20,38,40)</f>
        <v>40337.860185185185</v>
      </c>
      <c r="C355">
        <v>80</v>
      </c>
      <c r="D355">
        <v>79.934486389</v>
      </c>
      <c r="E355">
        <v>50</v>
      </c>
      <c r="F355">
        <v>14.999832153</v>
      </c>
      <c r="G355">
        <v>1338.2152100000001</v>
      </c>
      <c r="H355">
        <v>1336.1812743999999</v>
      </c>
      <c r="I355">
        <v>1324.2198486</v>
      </c>
      <c r="J355">
        <v>1321.4614257999999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39.212600000000002</v>
      </c>
      <c r="B356" s="1">
        <f>DATE(2010,6,9) + TIME(5,6,8)</f>
        <v>40338.212592592594</v>
      </c>
      <c r="C356">
        <v>80</v>
      </c>
      <c r="D356">
        <v>79.934471130000006</v>
      </c>
      <c r="E356">
        <v>50</v>
      </c>
      <c r="F356">
        <v>14.999833107000001</v>
      </c>
      <c r="G356">
        <v>1338.2095947</v>
      </c>
      <c r="H356">
        <v>1336.1774902</v>
      </c>
      <c r="I356">
        <v>1324.2208252</v>
      </c>
      <c r="J356">
        <v>1321.4620361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39.569983999999998</v>
      </c>
      <c r="B357" s="1">
        <f>DATE(2010,6,9) + TIME(13,40,46)</f>
        <v>40338.569976851853</v>
      </c>
      <c r="C357">
        <v>80</v>
      </c>
      <c r="D357">
        <v>79.934455872000001</v>
      </c>
      <c r="E357">
        <v>50</v>
      </c>
      <c r="F357">
        <v>14.999834061</v>
      </c>
      <c r="G357">
        <v>1338.2041016000001</v>
      </c>
      <c r="H357">
        <v>1336.1737060999999</v>
      </c>
      <c r="I357">
        <v>1324.2218018000001</v>
      </c>
      <c r="J357">
        <v>1321.4626464999999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39.933179000000003</v>
      </c>
      <c r="B358" s="1">
        <f>DATE(2010,6,9) + TIME(22,23,46)</f>
        <v>40338.933171296296</v>
      </c>
      <c r="C358">
        <v>80</v>
      </c>
      <c r="D358">
        <v>79.934440613000007</v>
      </c>
      <c r="E358">
        <v>50</v>
      </c>
      <c r="F358">
        <v>14.999835014</v>
      </c>
      <c r="G358">
        <v>1338.1984863</v>
      </c>
      <c r="H358">
        <v>1336.1699219</v>
      </c>
      <c r="I358">
        <v>1324.2229004000001</v>
      </c>
      <c r="J358">
        <v>1321.4632568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40.303089</v>
      </c>
      <c r="B359" s="1">
        <f>DATE(2010,6,10) + TIME(7,16,26)</f>
        <v>40339.303078703706</v>
      </c>
      <c r="C359">
        <v>80</v>
      </c>
      <c r="D359">
        <v>79.934425353999998</v>
      </c>
      <c r="E359">
        <v>50</v>
      </c>
      <c r="F359">
        <v>14.999835967999999</v>
      </c>
      <c r="G359">
        <v>1338.1928711</v>
      </c>
      <c r="H359">
        <v>1336.1661377</v>
      </c>
      <c r="I359">
        <v>1324.223999</v>
      </c>
      <c r="J359">
        <v>1321.4639893000001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40.680656999999997</v>
      </c>
      <c r="B360" s="1">
        <f>DATE(2010,6,10) + TIME(16,20,8)</f>
        <v>40339.680648148147</v>
      </c>
      <c r="C360">
        <v>80</v>
      </c>
      <c r="D360">
        <v>79.934402465999995</v>
      </c>
      <c r="E360">
        <v>50</v>
      </c>
      <c r="F360">
        <v>14.999837875000001</v>
      </c>
      <c r="G360">
        <v>1338.1871338000001</v>
      </c>
      <c r="H360">
        <v>1336.1622314000001</v>
      </c>
      <c r="I360">
        <v>1324.2250977000001</v>
      </c>
      <c r="J360">
        <v>1321.4645995999999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40.871085999999998</v>
      </c>
      <c r="B361" s="1">
        <f>DATE(2010,6,10) + TIME(20,54,21)</f>
        <v>40339.871076388888</v>
      </c>
      <c r="C361">
        <v>80</v>
      </c>
      <c r="D361">
        <v>79.934387207</v>
      </c>
      <c r="E361">
        <v>50</v>
      </c>
      <c r="F361">
        <v>14.999837875000001</v>
      </c>
      <c r="G361">
        <v>1338.1813964999999</v>
      </c>
      <c r="H361">
        <v>1336.1582031</v>
      </c>
      <c r="I361">
        <v>1324.2261963000001</v>
      </c>
      <c r="J361">
        <v>1321.465332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41.061515999999997</v>
      </c>
      <c r="B362" s="1">
        <f>DATE(2010,6,11) + TIME(1,28,34)</f>
        <v>40340.06150462963</v>
      </c>
      <c r="C362">
        <v>80</v>
      </c>
      <c r="D362">
        <v>79.934371948000006</v>
      </c>
      <c r="E362">
        <v>50</v>
      </c>
      <c r="F362">
        <v>14.999838829</v>
      </c>
      <c r="G362">
        <v>1338.1784668</v>
      </c>
      <c r="H362">
        <v>1336.15625</v>
      </c>
      <c r="I362">
        <v>1324.2266846</v>
      </c>
      <c r="J362">
        <v>1321.4656981999999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41.251944999999999</v>
      </c>
      <c r="B363" s="1">
        <f>DATE(2010,6,11) + TIME(6,2,48)</f>
        <v>40340.251944444448</v>
      </c>
      <c r="C363">
        <v>80</v>
      </c>
      <c r="D363">
        <v>79.934364318999997</v>
      </c>
      <c r="E363">
        <v>50</v>
      </c>
      <c r="F363">
        <v>14.999839783000001</v>
      </c>
      <c r="G363">
        <v>1338.1756591999999</v>
      </c>
      <c r="H363">
        <v>1336.1542969</v>
      </c>
      <c r="I363">
        <v>1324.2272949000001</v>
      </c>
      <c r="J363">
        <v>1321.4660644999999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41.442374000000001</v>
      </c>
      <c r="B364" s="1">
        <f>DATE(2010,6,11) + TIME(10,37,1)</f>
        <v>40340.442372685182</v>
      </c>
      <c r="C364">
        <v>80</v>
      </c>
      <c r="D364">
        <v>79.934349060000002</v>
      </c>
      <c r="E364">
        <v>50</v>
      </c>
      <c r="F364">
        <v>14.999840735999999</v>
      </c>
      <c r="G364">
        <v>1338.1728516000001</v>
      </c>
      <c r="H364">
        <v>1336.1523437999999</v>
      </c>
      <c r="I364">
        <v>1324.2279053</v>
      </c>
      <c r="J364">
        <v>1321.4663086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41.632710000000003</v>
      </c>
      <c r="B365" s="1">
        <f>DATE(2010,6,11) + TIME(15,11,6)</f>
        <v>40340.632708333331</v>
      </c>
      <c r="C365">
        <v>80</v>
      </c>
      <c r="D365">
        <v>79.934341431000007</v>
      </c>
      <c r="E365">
        <v>50</v>
      </c>
      <c r="F365">
        <v>14.999840735999999</v>
      </c>
      <c r="G365">
        <v>1338.1700439000001</v>
      </c>
      <c r="H365">
        <v>1336.1503906</v>
      </c>
      <c r="I365">
        <v>1324.2283935999999</v>
      </c>
      <c r="J365">
        <v>1321.4666748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41.822662000000001</v>
      </c>
      <c r="B366" s="1">
        <f>DATE(2010,6,11) + TIME(19,44,38)</f>
        <v>40340.822662037041</v>
      </c>
      <c r="C366">
        <v>80</v>
      </c>
      <c r="D366">
        <v>79.934333800999994</v>
      </c>
      <c r="E366">
        <v>50</v>
      </c>
      <c r="F366">
        <v>14.99984169</v>
      </c>
      <c r="G366">
        <v>1338.1671143000001</v>
      </c>
      <c r="H366">
        <v>1336.1485596</v>
      </c>
      <c r="I366">
        <v>1324.2290039</v>
      </c>
      <c r="J366">
        <v>1321.4670410000001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42.012341999999997</v>
      </c>
      <c r="B367" s="1">
        <f>DATE(2010,6,12) + TIME(0,17,46)</f>
        <v>40341.012337962966</v>
      </c>
      <c r="C367">
        <v>80</v>
      </c>
      <c r="D367">
        <v>79.934326171999999</v>
      </c>
      <c r="E367">
        <v>50</v>
      </c>
      <c r="F367">
        <v>14.999842643999999</v>
      </c>
      <c r="G367">
        <v>1338.1644286999999</v>
      </c>
      <c r="H367">
        <v>1336.1466064000001</v>
      </c>
      <c r="I367">
        <v>1324.2296143000001</v>
      </c>
      <c r="J367">
        <v>1321.4674072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42.201863000000003</v>
      </c>
      <c r="B368" s="1">
        <f>DATE(2010,6,12) + TIME(4,50,40)</f>
        <v>40341.201851851853</v>
      </c>
      <c r="C368">
        <v>80</v>
      </c>
      <c r="D368">
        <v>79.934318542</v>
      </c>
      <c r="E368">
        <v>50</v>
      </c>
      <c r="F368">
        <v>14.999843597</v>
      </c>
      <c r="G368">
        <v>1338.1616211</v>
      </c>
      <c r="H368">
        <v>1336.1446533000001</v>
      </c>
      <c r="I368">
        <v>1324.2302245999999</v>
      </c>
      <c r="J368">
        <v>1321.4677733999999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42.391337</v>
      </c>
      <c r="B369" s="1">
        <f>DATE(2010,6,12) + TIME(9,23,31)</f>
        <v>40341.391331018516</v>
      </c>
      <c r="C369">
        <v>80</v>
      </c>
      <c r="D369">
        <v>79.934310913000004</v>
      </c>
      <c r="E369">
        <v>50</v>
      </c>
      <c r="F369">
        <v>14.999843597</v>
      </c>
      <c r="G369">
        <v>1338.1588135</v>
      </c>
      <c r="H369">
        <v>1336.1428223</v>
      </c>
      <c r="I369">
        <v>1324.2307129000001</v>
      </c>
      <c r="J369">
        <v>1321.4681396000001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42.580812000000002</v>
      </c>
      <c r="B370" s="1">
        <f>DATE(2010,6,12) + TIME(13,56,22)</f>
        <v>40341.580810185187</v>
      </c>
      <c r="C370">
        <v>80</v>
      </c>
      <c r="D370">
        <v>79.934303283999995</v>
      </c>
      <c r="E370">
        <v>50</v>
      </c>
      <c r="F370">
        <v>14.999844551000001</v>
      </c>
      <c r="G370">
        <v>1338.1561279</v>
      </c>
      <c r="H370">
        <v>1336.1408690999999</v>
      </c>
      <c r="I370">
        <v>1324.2313231999999</v>
      </c>
      <c r="J370">
        <v>1321.4685059000001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42.770285999999999</v>
      </c>
      <c r="B371" s="1">
        <f>DATE(2010,6,12) + TIME(18,29,12)</f>
        <v>40341.770277777781</v>
      </c>
      <c r="C371">
        <v>80</v>
      </c>
      <c r="D371">
        <v>79.934295653999996</v>
      </c>
      <c r="E371">
        <v>50</v>
      </c>
      <c r="F371">
        <v>14.999845505</v>
      </c>
      <c r="G371">
        <v>1338.1533202999999</v>
      </c>
      <c r="H371">
        <v>1336.1390381000001</v>
      </c>
      <c r="I371">
        <v>1324.2319336</v>
      </c>
      <c r="J371">
        <v>1321.4688721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42.959760000000003</v>
      </c>
      <c r="B372" s="1">
        <f>DATE(2010,6,12) + TIME(23,2,3)</f>
        <v>40341.959756944445</v>
      </c>
      <c r="C372">
        <v>80</v>
      </c>
      <c r="D372">
        <v>79.934288025000001</v>
      </c>
      <c r="E372">
        <v>50</v>
      </c>
      <c r="F372">
        <v>14.999846458</v>
      </c>
      <c r="G372">
        <v>1338.1506348</v>
      </c>
      <c r="H372">
        <v>1336.137207</v>
      </c>
      <c r="I372">
        <v>1324.2325439000001</v>
      </c>
      <c r="J372">
        <v>1321.4692382999999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43.149234999999997</v>
      </c>
      <c r="B373" s="1">
        <f>DATE(2010,6,13) + TIME(3,34,53)</f>
        <v>40342.149224537039</v>
      </c>
      <c r="C373">
        <v>80</v>
      </c>
      <c r="D373">
        <v>79.934280396000005</v>
      </c>
      <c r="E373">
        <v>50</v>
      </c>
      <c r="F373">
        <v>14.999847411999999</v>
      </c>
      <c r="G373">
        <v>1338.1479492000001</v>
      </c>
      <c r="H373">
        <v>1336.1352539</v>
      </c>
      <c r="I373">
        <v>1324.2331543</v>
      </c>
      <c r="J373">
        <v>1321.4696045000001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43.338709000000001</v>
      </c>
      <c r="B374" s="1">
        <f>DATE(2010,6,13) + TIME(8,7,44)</f>
        <v>40342.338703703703</v>
      </c>
      <c r="C374">
        <v>80</v>
      </c>
      <c r="D374">
        <v>79.934272766000007</v>
      </c>
      <c r="E374">
        <v>50</v>
      </c>
      <c r="F374">
        <v>14.999848366</v>
      </c>
      <c r="G374">
        <v>1338.1452637</v>
      </c>
      <c r="H374">
        <v>1336.1334228999999</v>
      </c>
      <c r="I374">
        <v>1324.2337646000001</v>
      </c>
      <c r="J374">
        <v>1321.4699707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43.528182999999999</v>
      </c>
      <c r="B375" s="1">
        <f>DATE(2010,6,13) + TIME(12,40,35)</f>
        <v>40342.528182870374</v>
      </c>
      <c r="C375">
        <v>80</v>
      </c>
      <c r="D375">
        <v>79.934265136999997</v>
      </c>
      <c r="E375">
        <v>50</v>
      </c>
      <c r="F375">
        <v>14.999849319000001</v>
      </c>
      <c r="G375">
        <v>1338.1425781</v>
      </c>
      <c r="H375">
        <v>1336.1315918</v>
      </c>
      <c r="I375">
        <v>1324.2342529</v>
      </c>
      <c r="J375">
        <v>1321.4703368999999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43.717658</v>
      </c>
      <c r="B376" s="1">
        <f>DATE(2010,6,13) + TIME(17,13,25)</f>
        <v>40342.717650462961</v>
      </c>
      <c r="C376">
        <v>80</v>
      </c>
      <c r="D376">
        <v>79.934265136999997</v>
      </c>
      <c r="E376">
        <v>50</v>
      </c>
      <c r="F376">
        <v>14.999850273</v>
      </c>
      <c r="G376">
        <v>1338.1398925999999</v>
      </c>
      <c r="H376">
        <v>1336.1297606999999</v>
      </c>
      <c r="I376">
        <v>1324.2348632999999</v>
      </c>
      <c r="J376">
        <v>1321.4707031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44.096606000000001</v>
      </c>
      <c r="B377" s="1">
        <f>DATE(2010,6,14) + TIME(2,19,6)</f>
        <v>40343.096597222226</v>
      </c>
      <c r="C377">
        <v>80</v>
      </c>
      <c r="D377">
        <v>79.934265136999997</v>
      </c>
      <c r="E377">
        <v>50</v>
      </c>
      <c r="F377">
        <v>14.99985218</v>
      </c>
      <c r="G377">
        <v>1338.1373291</v>
      </c>
      <c r="H377">
        <v>1336.1280518000001</v>
      </c>
      <c r="I377">
        <v>1324.2354736</v>
      </c>
      <c r="J377">
        <v>1321.4710693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44.477013999999997</v>
      </c>
      <c r="B378" s="1">
        <f>DATE(2010,6,14) + TIME(11,26,54)</f>
        <v>40343.477013888885</v>
      </c>
      <c r="C378">
        <v>80</v>
      </c>
      <c r="D378">
        <v>79.934257506999998</v>
      </c>
      <c r="E378">
        <v>50</v>
      </c>
      <c r="F378">
        <v>14.999854087999999</v>
      </c>
      <c r="G378">
        <v>1338.1320800999999</v>
      </c>
      <c r="H378">
        <v>1336.1243896000001</v>
      </c>
      <c r="I378">
        <v>1324.2366943</v>
      </c>
      <c r="J378">
        <v>1321.4718018000001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44.862630000000003</v>
      </c>
      <c r="B379" s="1">
        <f>DATE(2010,6,14) + TIME(20,42,11)</f>
        <v>40343.862627314818</v>
      </c>
      <c r="C379">
        <v>80</v>
      </c>
      <c r="D379">
        <v>79.934249878000003</v>
      </c>
      <c r="E379">
        <v>50</v>
      </c>
      <c r="F379">
        <v>14.999855995000001</v>
      </c>
      <c r="G379">
        <v>1338.1268310999999</v>
      </c>
      <c r="H379">
        <v>1336.1207274999999</v>
      </c>
      <c r="I379">
        <v>1324.2379149999999</v>
      </c>
      <c r="J379">
        <v>1321.4725341999999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45.254339000000002</v>
      </c>
      <c r="B380" s="1">
        <f>DATE(2010,6,15) + TIME(6,6,14)</f>
        <v>40344.254328703704</v>
      </c>
      <c r="C380">
        <v>80</v>
      </c>
      <c r="D380">
        <v>79.934242248999993</v>
      </c>
      <c r="E380">
        <v>50</v>
      </c>
      <c r="F380">
        <v>14.999857903000001</v>
      </c>
      <c r="G380">
        <v>1338.1214600000001</v>
      </c>
      <c r="H380">
        <v>1336.1171875</v>
      </c>
      <c r="I380">
        <v>1324.2391356999999</v>
      </c>
      <c r="J380">
        <v>1321.4732666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45.653112</v>
      </c>
      <c r="B381" s="1">
        <f>DATE(2010,6,15) + TIME(15,40,28)</f>
        <v>40344.653101851851</v>
      </c>
      <c r="C381">
        <v>80</v>
      </c>
      <c r="D381">
        <v>79.934234618999994</v>
      </c>
      <c r="E381">
        <v>50</v>
      </c>
      <c r="F381">
        <v>14.999860763999999</v>
      </c>
      <c r="G381">
        <v>1338.1162108999999</v>
      </c>
      <c r="H381">
        <v>1336.1135254000001</v>
      </c>
      <c r="I381">
        <v>1324.2404785000001</v>
      </c>
      <c r="J381">
        <v>1321.473999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46.060014000000002</v>
      </c>
      <c r="B382" s="1">
        <f>DATE(2010,6,16) + TIME(1,26,25)</f>
        <v>40345.060011574074</v>
      </c>
      <c r="C382">
        <v>80</v>
      </c>
      <c r="D382">
        <v>79.934226989999999</v>
      </c>
      <c r="E382">
        <v>50</v>
      </c>
      <c r="F382">
        <v>14.999864578</v>
      </c>
      <c r="G382">
        <v>1338.1108397999999</v>
      </c>
      <c r="H382">
        <v>1336.1097411999999</v>
      </c>
      <c r="I382">
        <v>1324.2416992000001</v>
      </c>
      <c r="J382">
        <v>1321.4748535000001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46.266174999999997</v>
      </c>
      <c r="B383" s="1">
        <f>DATE(2010,6,16) + TIME(6,23,17)</f>
        <v>40345.266168981485</v>
      </c>
      <c r="C383">
        <v>80</v>
      </c>
      <c r="D383">
        <v>79.934211731000005</v>
      </c>
      <c r="E383">
        <v>50</v>
      </c>
      <c r="F383">
        <v>14.999866486</v>
      </c>
      <c r="G383">
        <v>1338.1053466999999</v>
      </c>
      <c r="H383">
        <v>1336.105957</v>
      </c>
      <c r="I383">
        <v>1324.2430420000001</v>
      </c>
      <c r="J383">
        <v>1321.4755858999999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46.472335000000001</v>
      </c>
      <c r="B384" s="1">
        <f>DATE(2010,6,16) + TIME(11,20,9)</f>
        <v>40345.472326388888</v>
      </c>
      <c r="C384">
        <v>80</v>
      </c>
      <c r="D384">
        <v>79.934204101999995</v>
      </c>
      <c r="E384">
        <v>50</v>
      </c>
      <c r="F384">
        <v>14.999868393</v>
      </c>
      <c r="G384">
        <v>1338.1026611</v>
      </c>
      <c r="H384">
        <v>1336.1040039</v>
      </c>
      <c r="I384">
        <v>1324.2437743999999</v>
      </c>
      <c r="J384">
        <v>1321.4760742000001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46.677857000000003</v>
      </c>
      <c r="B385" s="1">
        <f>DATE(2010,6,16) + TIME(16,16,6)</f>
        <v>40345.677847222221</v>
      </c>
      <c r="C385">
        <v>80</v>
      </c>
      <c r="D385">
        <v>79.934196471999996</v>
      </c>
      <c r="E385">
        <v>50</v>
      </c>
      <c r="F385">
        <v>14.9998703</v>
      </c>
      <c r="G385">
        <v>1338.0999756000001</v>
      </c>
      <c r="H385">
        <v>1336.1021728999999</v>
      </c>
      <c r="I385">
        <v>1324.2443848</v>
      </c>
      <c r="J385">
        <v>1321.4764404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46.882753000000001</v>
      </c>
      <c r="B386" s="1">
        <f>DATE(2010,6,16) + TIME(21,11,9)</f>
        <v>40345.882743055554</v>
      </c>
      <c r="C386">
        <v>80</v>
      </c>
      <c r="D386">
        <v>79.934188843000001</v>
      </c>
      <c r="E386">
        <v>50</v>
      </c>
      <c r="F386">
        <v>14.999873161</v>
      </c>
      <c r="G386">
        <v>1338.0972899999999</v>
      </c>
      <c r="H386">
        <v>1336.1003418</v>
      </c>
      <c r="I386">
        <v>1324.2451172000001</v>
      </c>
      <c r="J386">
        <v>1321.4768065999999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47.087158000000002</v>
      </c>
      <c r="B387" s="1">
        <f>DATE(2010,6,17) + TIME(2,5,30)</f>
        <v>40346.087152777778</v>
      </c>
      <c r="C387">
        <v>80</v>
      </c>
      <c r="D387">
        <v>79.934181213000002</v>
      </c>
      <c r="E387">
        <v>50</v>
      </c>
      <c r="F387">
        <v>14.999876022</v>
      </c>
      <c r="G387">
        <v>1338.0946045000001</v>
      </c>
      <c r="H387">
        <v>1336.0983887</v>
      </c>
      <c r="I387">
        <v>1324.2458495999999</v>
      </c>
      <c r="J387">
        <v>1321.4772949000001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47.291203000000003</v>
      </c>
      <c r="B388" s="1">
        <f>DATE(2010,6,17) + TIME(6,59,19)</f>
        <v>40346.291192129633</v>
      </c>
      <c r="C388">
        <v>80</v>
      </c>
      <c r="D388">
        <v>79.934181213000002</v>
      </c>
      <c r="E388">
        <v>50</v>
      </c>
      <c r="F388">
        <v>14.99987793</v>
      </c>
      <c r="G388">
        <v>1338.0919189000001</v>
      </c>
      <c r="H388">
        <v>1336.0965576000001</v>
      </c>
      <c r="I388">
        <v>1324.2464600000001</v>
      </c>
      <c r="J388">
        <v>1321.4776611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47.495016999999997</v>
      </c>
      <c r="B389" s="1">
        <f>DATE(2010,6,17) + TIME(11,52,49)</f>
        <v>40346.495011574072</v>
      </c>
      <c r="C389">
        <v>80</v>
      </c>
      <c r="D389">
        <v>79.934173584000007</v>
      </c>
      <c r="E389">
        <v>50</v>
      </c>
      <c r="F389">
        <v>14.999880791000001</v>
      </c>
      <c r="G389">
        <v>1338.0893555</v>
      </c>
      <c r="H389">
        <v>1336.0947266000001</v>
      </c>
      <c r="I389">
        <v>1324.2471923999999</v>
      </c>
      <c r="J389">
        <v>1321.4781493999999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47.698723000000001</v>
      </c>
      <c r="B390" s="1">
        <f>DATE(2010,6,17) + TIME(16,46,9)</f>
        <v>40346.69871527778</v>
      </c>
      <c r="C390">
        <v>80</v>
      </c>
      <c r="D390">
        <v>79.934173584000007</v>
      </c>
      <c r="E390">
        <v>50</v>
      </c>
      <c r="F390">
        <v>14.999883651999999</v>
      </c>
      <c r="G390">
        <v>1338.0866699000001</v>
      </c>
      <c r="H390">
        <v>1336.0928954999999</v>
      </c>
      <c r="I390">
        <v>1324.2478027</v>
      </c>
      <c r="J390">
        <v>1321.4785156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47.902425000000001</v>
      </c>
      <c r="B391" s="1">
        <f>DATE(2010,6,17) + TIME(21,39,29)</f>
        <v>40346.902418981481</v>
      </c>
      <c r="C391">
        <v>80</v>
      </c>
      <c r="D391">
        <v>79.934165954999997</v>
      </c>
      <c r="E391">
        <v>50</v>
      </c>
      <c r="F391">
        <v>14.999887466000001</v>
      </c>
      <c r="G391">
        <v>1338.0841064000001</v>
      </c>
      <c r="H391">
        <v>1336.0910644999999</v>
      </c>
      <c r="I391">
        <v>1324.2485352000001</v>
      </c>
      <c r="J391">
        <v>1321.4788818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48.106127000000001</v>
      </c>
      <c r="B392" s="1">
        <f>DATE(2010,6,18) + TIME(2,32,49)</f>
        <v>40347.106122685182</v>
      </c>
      <c r="C392">
        <v>80</v>
      </c>
      <c r="D392">
        <v>79.934165954999997</v>
      </c>
      <c r="E392">
        <v>50</v>
      </c>
      <c r="F392">
        <v>14.999890326999999</v>
      </c>
      <c r="G392">
        <v>1338.081543</v>
      </c>
      <c r="H392">
        <v>1336.0893555</v>
      </c>
      <c r="I392">
        <v>1324.2492675999999</v>
      </c>
      <c r="J392">
        <v>1321.4793701000001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48.309829000000001</v>
      </c>
      <c r="B393" s="1">
        <f>DATE(2010,6,18) + TIME(7,26,9)</f>
        <v>40347.30982638889</v>
      </c>
      <c r="C393">
        <v>80</v>
      </c>
      <c r="D393">
        <v>79.934158324999999</v>
      </c>
      <c r="E393">
        <v>50</v>
      </c>
      <c r="F393">
        <v>14.999894142</v>
      </c>
      <c r="G393">
        <v>1338.0789795000001</v>
      </c>
      <c r="H393">
        <v>1336.0875243999999</v>
      </c>
      <c r="I393">
        <v>1324.25</v>
      </c>
      <c r="J393">
        <v>1321.4797363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48.513531</v>
      </c>
      <c r="B394" s="1">
        <f>DATE(2010,6,18) + TIME(12,19,29)</f>
        <v>40347.51353009259</v>
      </c>
      <c r="C394">
        <v>80</v>
      </c>
      <c r="D394">
        <v>79.934158324999999</v>
      </c>
      <c r="E394">
        <v>50</v>
      </c>
      <c r="F394">
        <v>14.999897957</v>
      </c>
      <c r="G394">
        <v>1338.0764160000001</v>
      </c>
      <c r="H394">
        <v>1336.0856934000001</v>
      </c>
      <c r="I394">
        <v>1324.2506103999999</v>
      </c>
      <c r="J394">
        <v>1321.4802245999999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48.717233</v>
      </c>
      <c r="B395" s="1">
        <f>DATE(2010,6,18) + TIME(17,12,48)</f>
        <v>40347.717222222222</v>
      </c>
      <c r="C395">
        <v>80</v>
      </c>
      <c r="D395">
        <v>79.934158324999999</v>
      </c>
      <c r="E395">
        <v>50</v>
      </c>
      <c r="F395">
        <v>14.999902725</v>
      </c>
      <c r="G395">
        <v>1338.0738524999999</v>
      </c>
      <c r="H395">
        <v>1336.0839844</v>
      </c>
      <c r="I395">
        <v>1324.2513428</v>
      </c>
      <c r="J395">
        <v>1321.4805908000001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48.920935</v>
      </c>
      <c r="B396" s="1">
        <f>DATE(2010,6,18) + TIME(22,6,8)</f>
        <v>40347.920925925922</v>
      </c>
      <c r="C396">
        <v>80</v>
      </c>
      <c r="D396">
        <v>79.934150696000003</v>
      </c>
      <c r="E396">
        <v>50</v>
      </c>
      <c r="F396">
        <v>14.99990654</v>
      </c>
      <c r="G396">
        <v>1338.0712891000001</v>
      </c>
      <c r="H396">
        <v>1336.0821533000001</v>
      </c>
      <c r="I396">
        <v>1324.2520752</v>
      </c>
      <c r="J396">
        <v>1321.4810791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49.328338000000002</v>
      </c>
      <c r="B397" s="1">
        <f>DATE(2010,6,19) + TIME(7,52,48)</f>
        <v>40348.328333333331</v>
      </c>
      <c r="C397">
        <v>80</v>
      </c>
      <c r="D397">
        <v>79.934158324999999</v>
      </c>
      <c r="E397">
        <v>50</v>
      </c>
      <c r="F397">
        <v>14.999915122999999</v>
      </c>
      <c r="G397">
        <v>1338.0688477000001</v>
      </c>
      <c r="H397">
        <v>1336.0804443</v>
      </c>
      <c r="I397">
        <v>1324.2528076000001</v>
      </c>
      <c r="J397">
        <v>1321.4814452999999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49.736443999999999</v>
      </c>
      <c r="B398" s="1">
        <f>DATE(2010,6,19) + TIME(17,40,28)</f>
        <v>40348.736435185187</v>
      </c>
      <c r="C398">
        <v>80</v>
      </c>
      <c r="D398">
        <v>79.934165954999997</v>
      </c>
      <c r="E398">
        <v>50</v>
      </c>
      <c r="F398">
        <v>14.99992466</v>
      </c>
      <c r="G398">
        <v>1338.0637207</v>
      </c>
      <c r="H398">
        <v>1336.0769043</v>
      </c>
      <c r="I398">
        <v>1324.2542725000001</v>
      </c>
      <c r="J398">
        <v>1321.4822998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50.148963000000002</v>
      </c>
      <c r="B399" s="1">
        <f>DATE(2010,6,20) + TIME(3,34,30)</f>
        <v>40349.148958333331</v>
      </c>
      <c r="C399">
        <v>80</v>
      </c>
      <c r="D399">
        <v>79.934165954999997</v>
      </c>
      <c r="E399">
        <v>50</v>
      </c>
      <c r="F399">
        <v>14.999936104</v>
      </c>
      <c r="G399">
        <v>1338.0587158000001</v>
      </c>
      <c r="H399">
        <v>1336.0734863</v>
      </c>
      <c r="I399">
        <v>1324.2557373</v>
      </c>
      <c r="J399">
        <v>1321.4831543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50.566853000000002</v>
      </c>
      <c r="B400" s="1">
        <f>DATE(2010,6,20) + TIME(13,36,16)</f>
        <v>40349.566851851851</v>
      </c>
      <c r="C400">
        <v>80</v>
      </c>
      <c r="D400">
        <v>79.934158324999999</v>
      </c>
      <c r="E400">
        <v>50</v>
      </c>
      <c r="F400">
        <v>14.999950409</v>
      </c>
      <c r="G400">
        <v>1338.0537108999999</v>
      </c>
      <c r="H400">
        <v>1336.0699463000001</v>
      </c>
      <c r="I400">
        <v>1324.2572021000001</v>
      </c>
      <c r="J400">
        <v>1321.4840088000001</v>
      </c>
      <c r="K400">
        <v>1650</v>
      </c>
      <c r="L400">
        <v>0</v>
      </c>
      <c r="M400">
        <v>0</v>
      </c>
      <c r="N400">
        <v>1650</v>
      </c>
    </row>
    <row r="401" spans="1:14" x14ac:dyDescent="0.25">
      <c r="A401">
        <v>50.991135999999997</v>
      </c>
      <c r="B401" s="1">
        <f>DATE(2010,6,20) + TIME(23,47,14)</f>
        <v>40349.99113425926</v>
      </c>
      <c r="C401">
        <v>80</v>
      </c>
      <c r="D401">
        <v>79.934158324999999</v>
      </c>
      <c r="E401">
        <v>50</v>
      </c>
      <c r="F401">
        <v>14.999966621</v>
      </c>
      <c r="G401">
        <v>1338.0487060999999</v>
      </c>
      <c r="H401">
        <v>1336.0664062000001</v>
      </c>
      <c r="I401">
        <v>1324.2586670000001</v>
      </c>
      <c r="J401">
        <v>1321.4849853999999</v>
      </c>
      <c r="K401">
        <v>1650</v>
      </c>
      <c r="L401">
        <v>0</v>
      </c>
      <c r="M401">
        <v>0</v>
      </c>
      <c r="N401">
        <v>1650</v>
      </c>
    </row>
    <row r="402" spans="1:14" x14ac:dyDescent="0.25">
      <c r="A402">
        <v>51.422893999999999</v>
      </c>
      <c r="B402" s="1">
        <f>DATE(2010,6,21) + TIME(10,8,58)</f>
        <v>40350.422893518517</v>
      </c>
      <c r="C402">
        <v>80</v>
      </c>
      <c r="D402">
        <v>79.934158324999999</v>
      </c>
      <c r="E402">
        <v>50</v>
      </c>
      <c r="F402">
        <v>14.999984741</v>
      </c>
      <c r="G402">
        <v>1338.0437012</v>
      </c>
      <c r="H402">
        <v>1336.0628661999999</v>
      </c>
      <c r="I402">
        <v>1324.2602539</v>
      </c>
      <c r="J402">
        <v>1321.4858397999999</v>
      </c>
      <c r="K402">
        <v>1650</v>
      </c>
      <c r="L402">
        <v>0</v>
      </c>
      <c r="M402">
        <v>0</v>
      </c>
      <c r="N402">
        <v>1650</v>
      </c>
    </row>
    <row r="403" spans="1:14" x14ac:dyDescent="0.25">
      <c r="A403">
        <v>51.863208</v>
      </c>
      <c r="B403" s="1">
        <f>DATE(2010,6,21) + TIME(20,43,1)</f>
        <v>40350.863206018519</v>
      </c>
      <c r="C403">
        <v>80</v>
      </c>
      <c r="D403">
        <v>79.934158324999999</v>
      </c>
      <c r="E403">
        <v>50</v>
      </c>
      <c r="F403">
        <v>15.000006676</v>
      </c>
      <c r="G403">
        <v>1338.0385742000001</v>
      </c>
      <c r="H403">
        <v>1336.0592041</v>
      </c>
      <c r="I403">
        <v>1324.2618408000001</v>
      </c>
      <c r="J403">
        <v>1321.4868164</v>
      </c>
      <c r="K403">
        <v>1650</v>
      </c>
      <c r="L403">
        <v>0</v>
      </c>
      <c r="M403">
        <v>0</v>
      </c>
      <c r="N403">
        <v>1650</v>
      </c>
    </row>
    <row r="404" spans="1:14" x14ac:dyDescent="0.25">
      <c r="A404">
        <v>52.085473</v>
      </c>
      <c r="B404" s="1">
        <f>DATE(2010,6,22) + TIME(2,3,4)</f>
        <v>40351.085462962961</v>
      </c>
      <c r="C404">
        <v>80</v>
      </c>
      <c r="D404">
        <v>79.934150696000003</v>
      </c>
      <c r="E404">
        <v>50</v>
      </c>
      <c r="F404">
        <v>15.000021934999999</v>
      </c>
      <c r="G404">
        <v>1338.0333252</v>
      </c>
      <c r="H404">
        <v>1336.0555420000001</v>
      </c>
      <c r="I404">
        <v>1324.2634277</v>
      </c>
      <c r="J404">
        <v>1321.4876709</v>
      </c>
      <c r="K404">
        <v>1650</v>
      </c>
      <c r="L404">
        <v>0</v>
      </c>
      <c r="M404">
        <v>0</v>
      </c>
      <c r="N404">
        <v>1650</v>
      </c>
    </row>
    <row r="405" spans="1:14" x14ac:dyDescent="0.25">
      <c r="A405">
        <v>52.307737000000003</v>
      </c>
      <c r="B405" s="1">
        <f>DATE(2010,6,22) + TIME(7,23,8)</f>
        <v>40351.30773148148</v>
      </c>
      <c r="C405">
        <v>80</v>
      </c>
      <c r="D405">
        <v>79.934143066000004</v>
      </c>
      <c r="E405">
        <v>50</v>
      </c>
      <c r="F405">
        <v>15.000038147</v>
      </c>
      <c r="G405">
        <v>1338.0307617000001</v>
      </c>
      <c r="H405">
        <v>1336.0537108999999</v>
      </c>
      <c r="I405">
        <v>1324.2641602000001</v>
      </c>
      <c r="J405">
        <v>1321.4881591999999</v>
      </c>
      <c r="K405">
        <v>1650</v>
      </c>
      <c r="L405">
        <v>0</v>
      </c>
      <c r="M405">
        <v>0</v>
      </c>
      <c r="N405">
        <v>1650</v>
      </c>
    </row>
    <row r="406" spans="1:14" x14ac:dyDescent="0.25">
      <c r="A406">
        <v>52.530002000000003</v>
      </c>
      <c r="B406" s="1">
        <f>DATE(2010,6,22) + TIME(12,43,12)</f>
        <v>40351.53</v>
      </c>
      <c r="C406">
        <v>80</v>
      </c>
      <c r="D406">
        <v>79.934143066000004</v>
      </c>
      <c r="E406">
        <v>50</v>
      </c>
      <c r="F406">
        <v>15.000054359</v>
      </c>
      <c r="G406">
        <v>1338.0281981999999</v>
      </c>
      <c r="H406">
        <v>1336.0518798999999</v>
      </c>
      <c r="I406">
        <v>1324.2650146000001</v>
      </c>
      <c r="J406">
        <v>1321.4886475000001</v>
      </c>
      <c r="K406">
        <v>1650</v>
      </c>
      <c r="L406">
        <v>0</v>
      </c>
      <c r="M406">
        <v>0</v>
      </c>
      <c r="N406">
        <v>1650</v>
      </c>
    </row>
    <row r="407" spans="1:14" x14ac:dyDescent="0.25">
      <c r="A407">
        <v>52.751868000000002</v>
      </c>
      <c r="B407" s="1">
        <f>DATE(2010,6,22) + TIME(18,2,41)</f>
        <v>40351.751863425925</v>
      </c>
      <c r="C407">
        <v>80</v>
      </c>
      <c r="D407">
        <v>79.934143066000004</v>
      </c>
      <c r="E407">
        <v>50</v>
      </c>
      <c r="F407">
        <v>15.000072479</v>
      </c>
      <c r="G407">
        <v>1338.0256348</v>
      </c>
      <c r="H407">
        <v>1336.0500488</v>
      </c>
      <c r="I407">
        <v>1324.2658690999999</v>
      </c>
      <c r="J407">
        <v>1321.4891356999999</v>
      </c>
      <c r="K407">
        <v>1650</v>
      </c>
      <c r="L407">
        <v>0</v>
      </c>
      <c r="M407">
        <v>0</v>
      </c>
      <c r="N407">
        <v>1650</v>
      </c>
    </row>
    <row r="408" spans="1:14" x14ac:dyDescent="0.25">
      <c r="A408">
        <v>52.973163999999997</v>
      </c>
      <c r="B408" s="1">
        <f>DATE(2010,6,22) + TIME(23,21,21)</f>
        <v>40351.97315972222</v>
      </c>
      <c r="C408">
        <v>80</v>
      </c>
      <c r="D408">
        <v>79.934135436999995</v>
      </c>
      <c r="E408">
        <v>50</v>
      </c>
      <c r="F408">
        <v>15.000091553000001</v>
      </c>
      <c r="G408">
        <v>1338.0230713000001</v>
      </c>
      <c r="H408">
        <v>1336.0483397999999</v>
      </c>
      <c r="I408">
        <v>1324.2667236</v>
      </c>
      <c r="J408">
        <v>1321.489624</v>
      </c>
      <c r="K408">
        <v>1650</v>
      </c>
      <c r="L408">
        <v>0</v>
      </c>
      <c r="M408">
        <v>0</v>
      </c>
      <c r="N408">
        <v>1650</v>
      </c>
    </row>
    <row r="409" spans="1:14" x14ac:dyDescent="0.25">
      <c r="A409">
        <v>53.194040999999999</v>
      </c>
      <c r="B409" s="1">
        <f>DATE(2010,6,23) + TIME(4,39,25)</f>
        <v>40352.194039351853</v>
      </c>
      <c r="C409">
        <v>80</v>
      </c>
      <c r="D409">
        <v>79.934135436999995</v>
      </c>
      <c r="E409">
        <v>50</v>
      </c>
      <c r="F409">
        <v>15.000112533999999</v>
      </c>
      <c r="G409">
        <v>1338.0205077999999</v>
      </c>
      <c r="H409">
        <v>1336.0465088000001</v>
      </c>
      <c r="I409">
        <v>1324.2675781</v>
      </c>
      <c r="J409">
        <v>1321.4902344</v>
      </c>
      <c r="K409">
        <v>1650</v>
      </c>
      <c r="L409">
        <v>0</v>
      </c>
      <c r="M409">
        <v>0</v>
      </c>
      <c r="N409">
        <v>1650</v>
      </c>
    </row>
    <row r="410" spans="1:14" x14ac:dyDescent="0.25">
      <c r="A410">
        <v>53.414642999999998</v>
      </c>
      <c r="B410" s="1">
        <f>DATE(2010,6,23) + TIME(9,57,5)</f>
        <v>40352.414641203701</v>
      </c>
      <c r="C410">
        <v>80</v>
      </c>
      <c r="D410">
        <v>79.934135436999995</v>
      </c>
      <c r="E410">
        <v>50</v>
      </c>
      <c r="F410">
        <v>15.000134468000001</v>
      </c>
      <c r="G410">
        <v>1338.0180664</v>
      </c>
      <c r="H410">
        <v>1336.0447998</v>
      </c>
      <c r="I410">
        <v>1324.2684326000001</v>
      </c>
      <c r="J410">
        <v>1321.4907227000001</v>
      </c>
      <c r="K410">
        <v>1650</v>
      </c>
      <c r="L410">
        <v>0</v>
      </c>
      <c r="M410">
        <v>0</v>
      </c>
      <c r="N410">
        <v>1650</v>
      </c>
    </row>
    <row r="411" spans="1:14" x14ac:dyDescent="0.25">
      <c r="A411">
        <v>53.635112999999997</v>
      </c>
      <c r="B411" s="1">
        <f>DATE(2010,6,23) + TIME(15,14,33)</f>
        <v>40352.635104166664</v>
      </c>
      <c r="C411">
        <v>80</v>
      </c>
      <c r="D411">
        <v>79.934135436999995</v>
      </c>
      <c r="E411">
        <v>50</v>
      </c>
      <c r="F411">
        <v>15.000157356000001</v>
      </c>
      <c r="G411">
        <v>1338.015625</v>
      </c>
      <c r="H411">
        <v>1336.0429687999999</v>
      </c>
      <c r="I411">
        <v>1324.2692870999999</v>
      </c>
      <c r="J411">
        <v>1321.4912108999999</v>
      </c>
      <c r="K411">
        <v>1650</v>
      </c>
      <c r="L411">
        <v>0</v>
      </c>
      <c r="M411">
        <v>0</v>
      </c>
      <c r="N411">
        <v>1650</v>
      </c>
    </row>
    <row r="412" spans="1:14" x14ac:dyDescent="0.25">
      <c r="A412">
        <v>53.855581999999998</v>
      </c>
      <c r="B412" s="1">
        <f>DATE(2010,6,23) + TIME(20,32,2)</f>
        <v>40352.855578703704</v>
      </c>
      <c r="C412">
        <v>80</v>
      </c>
      <c r="D412">
        <v>79.934135436999995</v>
      </c>
      <c r="E412">
        <v>50</v>
      </c>
      <c r="F412">
        <v>15.000183105</v>
      </c>
      <c r="G412">
        <v>1338.0130615</v>
      </c>
      <c r="H412">
        <v>1336.0412598</v>
      </c>
      <c r="I412">
        <v>1324.2701416</v>
      </c>
      <c r="J412">
        <v>1321.4916992000001</v>
      </c>
      <c r="K412">
        <v>1650</v>
      </c>
      <c r="L412">
        <v>0</v>
      </c>
      <c r="M412">
        <v>0</v>
      </c>
      <c r="N412">
        <v>1650</v>
      </c>
    </row>
    <row r="413" spans="1:14" x14ac:dyDescent="0.25">
      <c r="A413">
        <v>54.076051999999997</v>
      </c>
      <c r="B413" s="1">
        <f>DATE(2010,6,24) + TIME(1,49,30)</f>
        <v>40353.076041666667</v>
      </c>
      <c r="C413">
        <v>80</v>
      </c>
      <c r="D413">
        <v>79.934135436999995</v>
      </c>
      <c r="E413">
        <v>50</v>
      </c>
      <c r="F413">
        <v>15.000209807999999</v>
      </c>
      <c r="G413">
        <v>1338.0106201000001</v>
      </c>
      <c r="H413">
        <v>1336.0394286999999</v>
      </c>
      <c r="I413">
        <v>1324.2709961</v>
      </c>
      <c r="J413">
        <v>1321.4921875</v>
      </c>
      <c r="K413">
        <v>1650</v>
      </c>
      <c r="L413">
        <v>0</v>
      </c>
      <c r="M413">
        <v>0</v>
      </c>
      <c r="N413">
        <v>1650</v>
      </c>
    </row>
    <row r="414" spans="1:14" x14ac:dyDescent="0.25">
      <c r="A414">
        <v>54.296522000000003</v>
      </c>
      <c r="B414" s="1">
        <f>DATE(2010,6,24) + TIME(7,6,59)</f>
        <v>40353.296516203707</v>
      </c>
      <c r="C414">
        <v>80</v>
      </c>
      <c r="D414">
        <v>79.934135436999995</v>
      </c>
      <c r="E414">
        <v>50</v>
      </c>
      <c r="F414">
        <v>15.000239371999999</v>
      </c>
      <c r="G414">
        <v>1338.0081786999999</v>
      </c>
      <c r="H414">
        <v>1336.0377197</v>
      </c>
      <c r="I414">
        <v>1324.2718506000001</v>
      </c>
      <c r="J414">
        <v>1321.4926757999999</v>
      </c>
      <c r="K414">
        <v>1650</v>
      </c>
      <c r="L414">
        <v>0</v>
      </c>
      <c r="M414">
        <v>0</v>
      </c>
      <c r="N414">
        <v>1650</v>
      </c>
    </row>
    <row r="415" spans="1:14" x14ac:dyDescent="0.25">
      <c r="A415">
        <v>54.516990999999997</v>
      </c>
      <c r="B415" s="1">
        <f>DATE(2010,6,24) + TIME(12,24,28)</f>
        <v>40353.51699074074</v>
      </c>
      <c r="C415">
        <v>80</v>
      </c>
      <c r="D415">
        <v>79.934135436999995</v>
      </c>
      <c r="E415">
        <v>50</v>
      </c>
      <c r="F415">
        <v>15.00026989</v>
      </c>
      <c r="G415">
        <v>1338.0057373</v>
      </c>
      <c r="H415">
        <v>1336.0360106999999</v>
      </c>
      <c r="I415">
        <v>1324.2727050999999</v>
      </c>
      <c r="J415">
        <v>1321.4931641000001</v>
      </c>
      <c r="K415">
        <v>1650</v>
      </c>
      <c r="L415">
        <v>0</v>
      </c>
      <c r="M415">
        <v>0</v>
      </c>
      <c r="N415">
        <v>1650</v>
      </c>
    </row>
    <row r="416" spans="1:14" x14ac:dyDescent="0.25">
      <c r="A416">
        <v>54.737461000000003</v>
      </c>
      <c r="B416" s="1">
        <f>DATE(2010,6,24) + TIME(17,41,56)</f>
        <v>40353.737453703703</v>
      </c>
      <c r="C416">
        <v>80</v>
      </c>
      <c r="D416">
        <v>79.934135436999995</v>
      </c>
      <c r="E416">
        <v>50</v>
      </c>
      <c r="F416">
        <v>15.000304222</v>
      </c>
      <c r="G416">
        <v>1338.0032959</v>
      </c>
      <c r="H416">
        <v>1336.0343018000001</v>
      </c>
      <c r="I416">
        <v>1324.2735596</v>
      </c>
      <c r="J416">
        <v>1321.4936522999999</v>
      </c>
      <c r="K416">
        <v>1650</v>
      </c>
      <c r="L416">
        <v>0</v>
      </c>
      <c r="M416">
        <v>0</v>
      </c>
      <c r="N416">
        <v>1650</v>
      </c>
    </row>
    <row r="417" spans="1:14" x14ac:dyDescent="0.25">
      <c r="A417">
        <v>54.957931000000002</v>
      </c>
      <c r="B417" s="1">
        <f>DATE(2010,6,24) + TIME(22,59,25)</f>
        <v>40353.957928240743</v>
      </c>
      <c r="C417">
        <v>80</v>
      </c>
      <c r="D417">
        <v>79.934143066000004</v>
      </c>
      <c r="E417">
        <v>50</v>
      </c>
      <c r="F417">
        <v>15.000339508</v>
      </c>
      <c r="G417">
        <v>1338.0008545000001</v>
      </c>
      <c r="H417">
        <v>1336.0325928</v>
      </c>
      <c r="I417">
        <v>1324.2745361</v>
      </c>
      <c r="J417">
        <v>1321.4941406</v>
      </c>
      <c r="K417">
        <v>1650</v>
      </c>
      <c r="L417">
        <v>0</v>
      </c>
      <c r="M417">
        <v>0</v>
      </c>
      <c r="N417">
        <v>1650</v>
      </c>
    </row>
    <row r="418" spans="1:14" x14ac:dyDescent="0.25">
      <c r="A418">
        <v>55.178400000000003</v>
      </c>
      <c r="B418" s="1">
        <f>DATE(2010,6,25) + TIME(4,16,53)</f>
        <v>40354.178391203706</v>
      </c>
      <c r="C418">
        <v>80</v>
      </c>
      <c r="D418">
        <v>79.934143066000004</v>
      </c>
      <c r="E418">
        <v>50</v>
      </c>
      <c r="F418">
        <v>15.000378609</v>
      </c>
      <c r="G418">
        <v>1337.9984131000001</v>
      </c>
      <c r="H418">
        <v>1336.0308838000001</v>
      </c>
      <c r="I418">
        <v>1324.2753906</v>
      </c>
      <c r="J418">
        <v>1321.494751</v>
      </c>
      <c r="K418">
        <v>1650</v>
      </c>
      <c r="L418">
        <v>0</v>
      </c>
      <c r="M418">
        <v>0</v>
      </c>
      <c r="N418">
        <v>1650</v>
      </c>
    </row>
    <row r="419" spans="1:14" x14ac:dyDescent="0.25">
      <c r="A419">
        <v>55.619340000000001</v>
      </c>
      <c r="B419" s="1">
        <f>DATE(2010,6,25) + TIME(14,51,50)</f>
        <v>40354.619328703702</v>
      </c>
      <c r="C419">
        <v>80</v>
      </c>
      <c r="D419">
        <v>79.934158324999999</v>
      </c>
      <c r="E419">
        <v>50</v>
      </c>
      <c r="F419">
        <v>15.000451088</v>
      </c>
      <c r="G419">
        <v>1337.9960937999999</v>
      </c>
      <c r="H419">
        <v>1336.0291748</v>
      </c>
      <c r="I419">
        <v>1324.2762451000001</v>
      </c>
      <c r="J419">
        <v>1321.4952393000001</v>
      </c>
      <c r="K419">
        <v>1650</v>
      </c>
      <c r="L419">
        <v>0</v>
      </c>
      <c r="M419">
        <v>0</v>
      </c>
      <c r="N419">
        <v>1650</v>
      </c>
    </row>
    <row r="420" spans="1:14" x14ac:dyDescent="0.25">
      <c r="A420">
        <v>56.061604000000003</v>
      </c>
      <c r="B420" s="1">
        <f>DATE(2010,6,26) + TIME(1,28,42)</f>
        <v>40355.061597222222</v>
      </c>
      <c r="C420">
        <v>80</v>
      </c>
      <c r="D420">
        <v>79.934165954999997</v>
      </c>
      <c r="E420">
        <v>50</v>
      </c>
      <c r="F420">
        <v>15.000536919</v>
      </c>
      <c r="G420">
        <v>1337.9913329999999</v>
      </c>
      <c r="H420">
        <v>1336.0258789</v>
      </c>
      <c r="I420">
        <v>1324.2780762</v>
      </c>
      <c r="J420">
        <v>1321.4962158000001</v>
      </c>
      <c r="K420">
        <v>1650</v>
      </c>
      <c r="L420">
        <v>0</v>
      </c>
      <c r="M420">
        <v>0</v>
      </c>
      <c r="N420">
        <v>1650</v>
      </c>
    </row>
    <row r="421" spans="1:14" x14ac:dyDescent="0.25">
      <c r="A421">
        <v>56.509604000000003</v>
      </c>
      <c r="B421" s="1">
        <f>DATE(2010,6,26) + TIME(12,13,49)</f>
        <v>40355.509594907409</v>
      </c>
      <c r="C421">
        <v>80</v>
      </c>
      <c r="D421">
        <v>79.934173584000007</v>
      </c>
      <c r="E421">
        <v>50</v>
      </c>
      <c r="F421">
        <v>15.000638007999999</v>
      </c>
      <c r="G421">
        <v>1337.9865723</v>
      </c>
      <c r="H421">
        <v>1336.0224608999999</v>
      </c>
      <c r="I421">
        <v>1324.2799072</v>
      </c>
      <c r="J421">
        <v>1321.4973144999999</v>
      </c>
      <c r="K421">
        <v>1650</v>
      </c>
      <c r="L421">
        <v>0</v>
      </c>
      <c r="M421">
        <v>0</v>
      </c>
      <c r="N421">
        <v>1650</v>
      </c>
    </row>
    <row r="422" spans="1:14" x14ac:dyDescent="0.25">
      <c r="A422">
        <v>56.964396999999998</v>
      </c>
      <c r="B422" s="1">
        <f>DATE(2010,6,26) + TIME(23,8,43)</f>
        <v>40355.964386574073</v>
      </c>
      <c r="C422">
        <v>80</v>
      </c>
      <c r="D422">
        <v>79.934181213000002</v>
      </c>
      <c r="E422">
        <v>50</v>
      </c>
      <c r="F422">
        <v>15.000757217</v>
      </c>
      <c r="G422">
        <v>1337.9818115</v>
      </c>
      <c r="H422">
        <v>1336.019043</v>
      </c>
      <c r="I422">
        <v>1324.2817382999999</v>
      </c>
      <c r="J422">
        <v>1321.4984131000001</v>
      </c>
      <c r="K422">
        <v>1650</v>
      </c>
      <c r="L422">
        <v>0</v>
      </c>
      <c r="M422">
        <v>0</v>
      </c>
      <c r="N422">
        <v>1650</v>
      </c>
    </row>
    <row r="423" spans="1:14" x14ac:dyDescent="0.25">
      <c r="A423">
        <v>57.427143000000001</v>
      </c>
      <c r="B423" s="1">
        <f>DATE(2010,6,27) + TIME(10,15,5)</f>
        <v>40356.427141203705</v>
      </c>
      <c r="C423">
        <v>80</v>
      </c>
      <c r="D423">
        <v>79.934188843000001</v>
      </c>
      <c r="E423">
        <v>50</v>
      </c>
      <c r="F423">
        <v>15.000898361000001</v>
      </c>
      <c r="G423">
        <v>1337.9770507999999</v>
      </c>
      <c r="H423">
        <v>1336.0157471</v>
      </c>
      <c r="I423">
        <v>1324.2836914</v>
      </c>
      <c r="J423">
        <v>1321.4995117000001</v>
      </c>
      <c r="K423">
        <v>1650</v>
      </c>
      <c r="L423">
        <v>0</v>
      </c>
      <c r="M423">
        <v>0</v>
      </c>
      <c r="N423">
        <v>1650</v>
      </c>
    </row>
    <row r="424" spans="1:14" x14ac:dyDescent="0.25">
      <c r="A424">
        <v>57.899095000000003</v>
      </c>
      <c r="B424" s="1">
        <f>DATE(2010,6,27) + TIME(21,34,41)</f>
        <v>40356.899085648147</v>
      </c>
      <c r="C424">
        <v>80</v>
      </c>
      <c r="D424">
        <v>79.934188843000001</v>
      </c>
      <c r="E424">
        <v>50</v>
      </c>
      <c r="F424">
        <v>15.001063347000001</v>
      </c>
      <c r="G424">
        <v>1337.972168</v>
      </c>
      <c r="H424">
        <v>1336.012207</v>
      </c>
      <c r="I424">
        <v>1324.2856445</v>
      </c>
      <c r="J424">
        <v>1321.5006103999999</v>
      </c>
      <c r="K424">
        <v>1650</v>
      </c>
      <c r="L424">
        <v>0</v>
      </c>
      <c r="M424">
        <v>0</v>
      </c>
      <c r="N424">
        <v>1650</v>
      </c>
    </row>
    <row r="425" spans="1:14" x14ac:dyDescent="0.25">
      <c r="A425">
        <v>58.377096000000002</v>
      </c>
      <c r="B425" s="1">
        <f>DATE(2010,6,28) + TIME(9,3,1)</f>
        <v>40357.37709490741</v>
      </c>
      <c r="C425">
        <v>80</v>
      </c>
      <c r="D425">
        <v>79.934196471999996</v>
      </c>
      <c r="E425">
        <v>50</v>
      </c>
      <c r="F425">
        <v>15.001256943</v>
      </c>
      <c r="G425">
        <v>1337.9672852000001</v>
      </c>
      <c r="H425">
        <v>1336.0087891000001</v>
      </c>
      <c r="I425">
        <v>1324.2877197</v>
      </c>
      <c r="J425">
        <v>1321.5017089999999</v>
      </c>
      <c r="K425">
        <v>1650</v>
      </c>
      <c r="L425">
        <v>0</v>
      </c>
      <c r="M425">
        <v>0</v>
      </c>
      <c r="N425">
        <v>1650</v>
      </c>
    </row>
    <row r="426" spans="1:14" x14ac:dyDescent="0.25">
      <c r="A426">
        <v>58.616464999999998</v>
      </c>
      <c r="B426" s="1">
        <f>DATE(2010,6,28) + TIME(14,47,42)</f>
        <v>40357.61645833333</v>
      </c>
      <c r="C426">
        <v>80</v>
      </c>
      <c r="D426">
        <v>79.934196471999996</v>
      </c>
      <c r="E426">
        <v>50</v>
      </c>
      <c r="F426">
        <v>15.001386642</v>
      </c>
      <c r="G426">
        <v>1337.9624022999999</v>
      </c>
      <c r="H426">
        <v>1336.005249</v>
      </c>
      <c r="I426">
        <v>1324.2896728999999</v>
      </c>
      <c r="J426">
        <v>1321.5029297000001</v>
      </c>
      <c r="K426">
        <v>1650</v>
      </c>
      <c r="L426">
        <v>0</v>
      </c>
      <c r="M426">
        <v>0</v>
      </c>
      <c r="N426">
        <v>1650</v>
      </c>
    </row>
    <row r="427" spans="1:14" x14ac:dyDescent="0.25">
      <c r="A427">
        <v>58.855834000000002</v>
      </c>
      <c r="B427" s="1">
        <f>DATE(2010,6,28) + TIME(20,32,24)</f>
        <v>40357.855833333335</v>
      </c>
      <c r="C427">
        <v>80</v>
      </c>
      <c r="D427">
        <v>79.934196471999996</v>
      </c>
      <c r="E427">
        <v>50</v>
      </c>
      <c r="F427">
        <v>15.001523971999999</v>
      </c>
      <c r="G427">
        <v>1337.9599608999999</v>
      </c>
      <c r="H427">
        <v>1336.0035399999999</v>
      </c>
      <c r="I427">
        <v>1324.2907714999999</v>
      </c>
      <c r="J427">
        <v>1321.503418</v>
      </c>
      <c r="K427">
        <v>1650</v>
      </c>
      <c r="L427">
        <v>0</v>
      </c>
      <c r="M427">
        <v>0</v>
      </c>
      <c r="N427">
        <v>1650</v>
      </c>
    </row>
    <row r="428" spans="1:14" x14ac:dyDescent="0.25">
      <c r="A428">
        <v>59.094991999999998</v>
      </c>
      <c r="B428" s="1">
        <f>DATE(2010,6,29) + TIME(2,16,47)</f>
        <v>40358.094988425924</v>
      </c>
      <c r="C428">
        <v>80</v>
      </c>
      <c r="D428">
        <v>79.934196471999996</v>
      </c>
      <c r="E428">
        <v>50</v>
      </c>
      <c r="F428">
        <v>15.001668929999999</v>
      </c>
      <c r="G428">
        <v>1337.9575195</v>
      </c>
      <c r="H428">
        <v>1336.0017089999999</v>
      </c>
      <c r="I428">
        <v>1324.2918701000001</v>
      </c>
      <c r="J428">
        <v>1321.5040283000001</v>
      </c>
      <c r="K428">
        <v>1650</v>
      </c>
      <c r="L428">
        <v>0</v>
      </c>
      <c r="M428">
        <v>0</v>
      </c>
      <c r="N428">
        <v>1650</v>
      </c>
    </row>
    <row r="429" spans="1:14" x14ac:dyDescent="0.25">
      <c r="A429">
        <v>59.333618999999999</v>
      </c>
      <c r="B429" s="1">
        <f>DATE(2010,6,29) + TIME(8,0,24)</f>
        <v>40358.333611111113</v>
      </c>
      <c r="C429">
        <v>80</v>
      </c>
      <c r="D429">
        <v>79.934196471999996</v>
      </c>
      <c r="E429">
        <v>50</v>
      </c>
      <c r="F429">
        <v>15.001822472000001</v>
      </c>
      <c r="G429">
        <v>1337.9550781</v>
      </c>
      <c r="H429">
        <v>1336</v>
      </c>
      <c r="I429">
        <v>1324.2929687999999</v>
      </c>
      <c r="J429">
        <v>1321.5046387</v>
      </c>
      <c r="K429">
        <v>1650</v>
      </c>
      <c r="L429">
        <v>0</v>
      </c>
      <c r="M429">
        <v>0</v>
      </c>
      <c r="N429">
        <v>1650</v>
      </c>
    </row>
    <row r="430" spans="1:14" x14ac:dyDescent="0.25">
      <c r="A430">
        <v>59.571871000000002</v>
      </c>
      <c r="B430" s="1">
        <f>DATE(2010,6,29) + TIME(13,43,29)</f>
        <v>40358.571863425925</v>
      </c>
      <c r="C430">
        <v>80</v>
      </c>
      <c r="D430">
        <v>79.934196471999996</v>
      </c>
      <c r="E430">
        <v>50</v>
      </c>
      <c r="F430">
        <v>15.001985550000001</v>
      </c>
      <c r="G430">
        <v>1337.9527588000001</v>
      </c>
      <c r="H430">
        <v>1335.9982910000001</v>
      </c>
      <c r="I430">
        <v>1324.2939452999999</v>
      </c>
      <c r="J430">
        <v>1321.505249</v>
      </c>
      <c r="K430">
        <v>1650</v>
      </c>
      <c r="L430">
        <v>0</v>
      </c>
      <c r="M430">
        <v>0</v>
      </c>
      <c r="N430">
        <v>1650</v>
      </c>
    </row>
    <row r="431" spans="1:14" x14ac:dyDescent="0.25">
      <c r="A431">
        <v>59.809899000000001</v>
      </c>
      <c r="B431" s="1">
        <f>DATE(2010,6,29) + TIME(19,26,15)</f>
        <v>40358.809895833336</v>
      </c>
      <c r="C431">
        <v>80</v>
      </c>
      <c r="D431">
        <v>79.934196471999996</v>
      </c>
      <c r="E431">
        <v>50</v>
      </c>
      <c r="F431">
        <v>15.002160072000001</v>
      </c>
      <c r="G431">
        <v>1337.9503173999999</v>
      </c>
      <c r="H431">
        <v>1335.996582</v>
      </c>
      <c r="I431">
        <v>1324.2950439000001</v>
      </c>
      <c r="J431">
        <v>1321.5058594</v>
      </c>
      <c r="K431">
        <v>1650</v>
      </c>
      <c r="L431">
        <v>0</v>
      </c>
      <c r="M431">
        <v>0</v>
      </c>
      <c r="N431">
        <v>1650</v>
      </c>
    </row>
    <row r="432" spans="1:14" x14ac:dyDescent="0.25">
      <c r="A432">
        <v>60.047853000000003</v>
      </c>
      <c r="B432" s="1">
        <f>DATE(2010,6,30) + TIME(1,8,54)</f>
        <v>40359.047847222224</v>
      </c>
      <c r="C432">
        <v>80</v>
      </c>
      <c r="D432">
        <v>79.934204101999995</v>
      </c>
      <c r="E432">
        <v>50</v>
      </c>
      <c r="F432">
        <v>15.002345085</v>
      </c>
      <c r="G432">
        <v>1337.9479980000001</v>
      </c>
      <c r="H432">
        <v>1335.9948730000001</v>
      </c>
      <c r="I432">
        <v>1324.2961425999999</v>
      </c>
      <c r="J432">
        <v>1321.5064697</v>
      </c>
      <c r="K432">
        <v>1650</v>
      </c>
      <c r="L432">
        <v>0</v>
      </c>
      <c r="M432">
        <v>0</v>
      </c>
      <c r="N432">
        <v>1650</v>
      </c>
    </row>
    <row r="433" spans="1:14" x14ac:dyDescent="0.25">
      <c r="A433">
        <v>60.285806999999998</v>
      </c>
      <c r="B433" s="1">
        <f>DATE(2010,6,30) + TIME(6,51,33)</f>
        <v>40359.285798611112</v>
      </c>
      <c r="C433">
        <v>80</v>
      </c>
      <c r="D433">
        <v>79.934204101999995</v>
      </c>
      <c r="E433">
        <v>50</v>
      </c>
      <c r="F433">
        <v>15.002543448999999</v>
      </c>
      <c r="G433">
        <v>1337.9455565999999</v>
      </c>
      <c r="H433">
        <v>1335.9932861</v>
      </c>
      <c r="I433">
        <v>1324.2972411999999</v>
      </c>
      <c r="J433">
        <v>1321.5070800999999</v>
      </c>
      <c r="K433">
        <v>1650</v>
      </c>
      <c r="L433">
        <v>0</v>
      </c>
      <c r="M433">
        <v>0</v>
      </c>
      <c r="N433">
        <v>1650</v>
      </c>
    </row>
    <row r="434" spans="1:14" x14ac:dyDescent="0.25">
      <c r="A434">
        <v>60.523761999999998</v>
      </c>
      <c r="B434" s="1">
        <f>DATE(2010,6,30) + TIME(12,34,13)</f>
        <v>40359.523761574077</v>
      </c>
      <c r="C434">
        <v>80</v>
      </c>
      <c r="D434">
        <v>79.934211731000005</v>
      </c>
      <c r="E434">
        <v>50</v>
      </c>
      <c r="F434">
        <v>15.002755165</v>
      </c>
      <c r="G434">
        <v>1337.9432373</v>
      </c>
      <c r="H434">
        <v>1335.9915771000001</v>
      </c>
      <c r="I434">
        <v>1324.2983397999999</v>
      </c>
      <c r="J434">
        <v>1321.5076904</v>
      </c>
      <c r="K434">
        <v>1650</v>
      </c>
      <c r="L434">
        <v>0</v>
      </c>
      <c r="M434">
        <v>0</v>
      </c>
      <c r="N434">
        <v>1650</v>
      </c>
    </row>
    <row r="435" spans="1:14" x14ac:dyDescent="0.25">
      <c r="A435">
        <v>60.761881000000002</v>
      </c>
      <c r="B435" s="1">
        <f>DATE(2010,6,30) + TIME(18,17,6)</f>
        <v>40359.761874999997</v>
      </c>
      <c r="C435">
        <v>80</v>
      </c>
      <c r="D435">
        <v>79.934211731000005</v>
      </c>
      <c r="E435">
        <v>50</v>
      </c>
      <c r="F435">
        <v>15.002981186</v>
      </c>
      <c r="G435">
        <v>1337.940918</v>
      </c>
      <c r="H435">
        <v>1335.9898682</v>
      </c>
      <c r="I435">
        <v>1324.2994385</v>
      </c>
      <c r="J435">
        <v>1321.5083007999999</v>
      </c>
      <c r="K435">
        <v>1650</v>
      </c>
      <c r="L435">
        <v>0</v>
      </c>
      <c r="M435">
        <v>0</v>
      </c>
      <c r="N435">
        <v>1650</v>
      </c>
    </row>
    <row r="436" spans="1:14" x14ac:dyDescent="0.25">
      <c r="A436">
        <v>61</v>
      </c>
      <c r="B436" s="1">
        <f>DATE(2010,7,1) + TIME(0,0,0)</f>
        <v>40360</v>
      </c>
      <c r="C436">
        <v>80</v>
      </c>
      <c r="D436">
        <v>79.93421936</v>
      </c>
      <c r="E436">
        <v>50</v>
      </c>
      <c r="F436">
        <v>15.003222466</v>
      </c>
      <c r="G436">
        <v>1337.9385986</v>
      </c>
      <c r="H436">
        <v>1335.9882812000001</v>
      </c>
      <c r="I436">
        <v>1324.3005370999999</v>
      </c>
      <c r="J436">
        <v>1321.5089111</v>
      </c>
      <c r="K436">
        <v>1650</v>
      </c>
      <c r="L436">
        <v>0</v>
      </c>
      <c r="M436">
        <v>0</v>
      </c>
      <c r="N436">
        <v>1650</v>
      </c>
    </row>
    <row r="437" spans="1:14" x14ac:dyDescent="0.25">
      <c r="A437">
        <v>61.238118999999998</v>
      </c>
      <c r="B437" s="1">
        <f>DATE(2010,7,1) + TIME(5,42,53)</f>
        <v>40360.238113425927</v>
      </c>
      <c r="C437">
        <v>80</v>
      </c>
      <c r="D437">
        <v>79.934226989999999</v>
      </c>
      <c r="E437">
        <v>50</v>
      </c>
      <c r="F437">
        <v>15.003481864999999</v>
      </c>
      <c r="G437">
        <v>1337.9362793</v>
      </c>
      <c r="H437">
        <v>1335.9865723</v>
      </c>
      <c r="I437">
        <v>1324.3017577999999</v>
      </c>
      <c r="J437">
        <v>1321.5095214999999</v>
      </c>
      <c r="K437">
        <v>1650</v>
      </c>
      <c r="L437">
        <v>0</v>
      </c>
      <c r="M437">
        <v>0</v>
      </c>
      <c r="N437">
        <v>1650</v>
      </c>
    </row>
    <row r="438" spans="1:14" x14ac:dyDescent="0.25">
      <c r="A438">
        <v>61.714357</v>
      </c>
      <c r="B438" s="1">
        <f>DATE(2010,7,1) + TIME(17,8,40)</f>
        <v>40360.71435185185</v>
      </c>
      <c r="C438">
        <v>80</v>
      </c>
      <c r="D438">
        <v>79.934242248999993</v>
      </c>
      <c r="E438">
        <v>50</v>
      </c>
      <c r="F438">
        <v>15.003957747999999</v>
      </c>
      <c r="G438">
        <v>1337.934082</v>
      </c>
      <c r="H438">
        <v>1335.9849853999999</v>
      </c>
      <c r="I438">
        <v>1324.3028564000001</v>
      </c>
      <c r="J438">
        <v>1321.5102539</v>
      </c>
      <c r="K438">
        <v>1650</v>
      </c>
      <c r="L438">
        <v>0</v>
      </c>
      <c r="M438">
        <v>0</v>
      </c>
      <c r="N438">
        <v>1650</v>
      </c>
    </row>
    <row r="439" spans="1:14" x14ac:dyDescent="0.25">
      <c r="A439">
        <v>62.190682000000002</v>
      </c>
      <c r="B439" s="1">
        <f>DATE(2010,7,2) + TIME(4,34,34)</f>
        <v>40361.190671296295</v>
      </c>
      <c r="C439">
        <v>80</v>
      </c>
      <c r="D439">
        <v>79.934257506999998</v>
      </c>
      <c r="E439">
        <v>50</v>
      </c>
      <c r="F439">
        <v>15.004521370000001</v>
      </c>
      <c r="G439">
        <v>1337.9294434000001</v>
      </c>
      <c r="H439">
        <v>1335.9816894999999</v>
      </c>
      <c r="I439">
        <v>1324.3051757999999</v>
      </c>
      <c r="J439">
        <v>1321.5114745999999</v>
      </c>
      <c r="K439">
        <v>1650</v>
      </c>
      <c r="L439">
        <v>0</v>
      </c>
      <c r="M439">
        <v>0</v>
      </c>
      <c r="N439">
        <v>1650</v>
      </c>
    </row>
    <row r="440" spans="1:14" x14ac:dyDescent="0.25">
      <c r="A440">
        <v>62.672522999999998</v>
      </c>
      <c r="B440" s="1">
        <f>DATE(2010,7,2) + TIME(16,8,25)</f>
        <v>40361.672511574077</v>
      </c>
      <c r="C440">
        <v>80</v>
      </c>
      <c r="D440">
        <v>79.934272766000007</v>
      </c>
      <c r="E440">
        <v>50</v>
      </c>
      <c r="F440">
        <v>15.005182266</v>
      </c>
      <c r="G440">
        <v>1337.9249268000001</v>
      </c>
      <c r="H440">
        <v>1335.9783935999999</v>
      </c>
      <c r="I440">
        <v>1324.3074951000001</v>
      </c>
      <c r="J440">
        <v>1321.5128173999999</v>
      </c>
      <c r="K440">
        <v>1650</v>
      </c>
      <c r="L440">
        <v>0</v>
      </c>
      <c r="M440">
        <v>0</v>
      </c>
      <c r="N440">
        <v>1650</v>
      </c>
    </row>
    <row r="441" spans="1:14" x14ac:dyDescent="0.25">
      <c r="A441">
        <v>63.161056000000002</v>
      </c>
      <c r="B441" s="1">
        <f>DATE(2010,7,3) + TIME(3,51,55)</f>
        <v>40362.161053240743</v>
      </c>
      <c r="C441">
        <v>80</v>
      </c>
      <c r="D441">
        <v>79.934288025000001</v>
      </c>
      <c r="E441">
        <v>50</v>
      </c>
      <c r="F441">
        <v>15.005955695999999</v>
      </c>
      <c r="G441">
        <v>1337.9204102000001</v>
      </c>
      <c r="H441">
        <v>1335.9750977000001</v>
      </c>
      <c r="I441">
        <v>1324.3099365</v>
      </c>
      <c r="J441">
        <v>1321.5140381000001</v>
      </c>
      <c r="K441">
        <v>1650</v>
      </c>
      <c r="L441">
        <v>0</v>
      </c>
      <c r="M441">
        <v>0</v>
      </c>
      <c r="N441">
        <v>1650</v>
      </c>
    </row>
    <row r="442" spans="1:14" x14ac:dyDescent="0.25">
      <c r="A442">
        <v>63.657549000000003</v>
      </c>
      <c r="B442" s="1">
        <f>DATE(2010,7,3) + TIME(15,46,52)</f>
        <v>40362.657546296294</v>
      </c>
      <c r="C442">
        <v>80</v>
      </c>
      <c r="D442">
        <v>79.934303283999995</v>
      </c>
      <c r="E442">
        <v>50</v>
      </c>
      <c r="F442">
        <v>15.006855965</v>
      </c>
      <c r="G442">
        <v>1337.9157714999999</v>
      </c>
      <c r="H442">
        <v>1335.9718018000001</v>
      </c>
      <c r="I442">
        <v>1324.3123779</v>
      </c>
      <c r="J442">
        <v>1321.5153809000001</v>
      </c>
      <c r="K442">
        <v>1650</v>
      </c>
      <c r="L442">
        <v>0</v>
      </c>
      <c r="M442">
        <v>0</v>
      </c>
      <c r="N442">
        <v>1650</v>
      </c>
    </row>
    <row r="443" spans="1:14" x14ac:dyDescent="0.25">
      <c r="A443">
        <v>64.161788999999999</v>
      </c>
      <c r="B443" s="1">
        <f>DATE(2010,7,4) + TIME(3,52,58)</f>
        <v>40363.161782407406</v>
      </c>
      <c r="C443">
        <v>80</v>
      </c>
      <c r="D443">
        <v>79.934310913000004</v>
      </c>
      <c r="E443">
        <v>50</v>
      </c>
      <c r="F443">
        <v>15.007903099</v>
      </c>
      <c r="G443">
        <v>1337.9112548999999</v>
      </c>
      <c r="H443">
        <v>1335.9685059000001</v>
      </c>
      <c r="I443">
        <v>1324.3149414</v>
      </c>
      <c r="J443">
        <v>1321.5168457</v>
      </c>
      <c r="K443">
        <v>1650</v>
      </c>
      <c r="L443">
        <v>0</v>
      </c>
      <c r="M443">
        <v>0</v>
      </c>
      <c r="N443">
        <v>1650</v>
      </c>
    </row>
    <row r="444" spans="1:14" x14ac:dyDescent="0.25">
      <c r="A444">
        <v>64.672511</v>
      </c>
      <c r="B444" s="1">
        <f>DATE(2010,7,4) + TIME(16,8,24)</f>
        <v>40363.672500000001</v>
      </c>
      <c r="C444">
        <v>80</v>
      </c>
      <c r="D444">
        <v>79.934326171999999</v>
      </c>
      <c r="E444">
        <v>50</v>
      </c>
      <c r="F444">
        <v>15.009116173000001</v>
      </c>
      <c r="G444">
        <v>1337.9066161999999</v>
      </c>
      <c r="H444">
        <v>1335.9652100000001</v>
      </c>
      <c r="I444">
        <v>1324.3175048999999</v>
      </c>
      <c r="J444">
        <v>1321.5183105000001</v>
      </c>
      <c r="K444">
        <v>1650</v>
      </c>
      <c r="L444">
        <v>0</v>
      </c>
      <c r="M444">
        <v>0</v>
      </c>
      <c r="N444">
        <v>1650</v>
      </c>
    </row>
    <row r="445" spans="1:14" x14ac:dyDescent="0.25">
      <c r="A445">
        <v>64.930565999999999</v>
      </c>
      <c r="B445" s="1">
        <f>DATE(2010,7,4) + TIME(22,20,0)</f>
        <v>40363.930555555555</v>
      </c>
      <c r="C445">
        <v>80</v>
      </c>
      <c r="D445">
        <v>79.934326171999999</v>
      </c>
      <c r="E445">
        <v>50</v>
      </c>
      <c r="F445">
        <v>15.009937286</v>
      </c>
      <c r="G445">
        <v>1337.9018555</v>
      </c>
      <c r="H445">
        <v>1335.9617920000001</v>
      </c>
      <c r="I445">
        <v>1324.3201904</v>
      </c>
      <c r="J445">
        <v>1321.5196533000001</v>
      </c>
      <c r="K445">
        <v>1650</v>
      </c>
      <c r="L445">
        <v>0</v>
      </c>
      <c r="M445">
        <v>0</v>
      </c>
      <c r="N445">
        <v>1650</v>
      </c>
    </row>
    <row r="446" spans="1:14" x14ac:dyDescent="0.25">
      <c r="A446">
        <v>65.187895999999995</v>
      </c>
      <c r="B446" s="1">
        <f>DATE(2010,7,5) + TIME(4,30,34)</f>
        <v>40364.187893518516</v>
      </c>
      <c r="C446">
        <v>80</v>
      </c>
      <c r="D446">
        <v>79.934326171999999</v>
      </c>
      <c r="E446">
        <v>50</v>
      </c>
      <c r="F446">
        <v>15.010796547</v>
      </c>
      <c r="G446">
        <v>1337.8995361</v>
      </c>
      <c r="H446">
        <v>1335.9600829999999</v>
      </c>
      <c r="I446">
        <v>1324.3215332</v>
      </c>
      <c r="J446">
        <v>1321.5203856999999</v>
      </c>
      <c r="K446">
        <v>1650</v>
      </c>
      <c r="L446">
        <v>0</v>
      </c>
      <c r="M446">
        <v>0</v>
      </c>
      <c r="N446">
        <v>1650</v>
      </c>
    </row>
    <row r="447" spans="1:14" x14ac:dyDescent="0.25">
      <c r="A447">
        <v>65.444444000000004</v>
      </c>
      <c r="B447" s="1">
        <f>DATE(2010,7,5) + TIME(10,39,59)</f>
        <v>40364.444432870368</v>
      </c>
      <c r="C447">
        <v>80</v>
      </c>
      <c r="D447">
        <v>79.934333800999994</v>
      </c>
      <c r="E447">
        <v>50</v>
      </c>
      <c r="F447">
        <v>15.011697769</v>
      </c>
      <c r="G447">
        <v>1337.8972168</v>
      </c>
      <c r="H447">
        <v>1335.958374</v>
      </c>
      <c r="I447">
        <v>1324.3229980000001</v>
      </c>
      <c r="J447">
        <v>1321.5212402</v>
      </c>
      <c r="K447">
        <v>1650</v>
      </c>
      <c r="L447">
        <v>0</v>
      </c>
      <c r="M447">
        <v>0</v>
      </c>
      <c r="N447">
        <v>1650</v>
      </c>
    </row>
    <row r="448" spans="1:14" x14ac:dyDescent="0.25">
      <c r="A448">
        <v>65.700387000000006</v>
      </c>
      <c r="B448" s="1">
        <f>DATE(2010,7,5) + TIME(16,48,33)</f>
        <v>40364.700381944444</v>
      </c>
      <c r="C448">
        <v>80</v>
      </c>
      <c r="D448">
        <v>79.934333800999994</v>
      </c>
      <c r="E448">
        <v>50</v>
      </c>
      <c r="F448">
        <v>15.012647629</v>
      </c>
      <c r="G448">
        <v>1337.8948975000001</v>
      </c>
      <c r="H448">
        <v>1335.9567870999999</v>
      </c>
      <c r="I448">
        <v>1324.3243408000001</v>
      </c>
      <c r="J448">
        <v>1321.5219727000001</v>
      </c>
      <c r="K448">
        <v>1650</v>
      </c>
      <c r="L448">
        <v>0</v>
      </c>
      <c r="M448">
        <v>0</v>
      </c>
      <c r="N448">
        <v>1650</v>
      </c>
    </row>
    <row r="449" spans="1:14" x14ac:dyDescent="0.25">
      <c r="A449">
        <v>65.955898000000005</v>
      </c>
      <c r="B449" s="1">
        <f>DATE(2010,7,5) + TIME(22,56,29)</f>
        <v>40364.955891203703</v>
      </c>
      <c r="C449">
        <v>80</v>
      </c>
      <c r="D449">
        <v>79.934341431000007</v>
      </c>
      <c r="E449">
        <v>50</v>
      </c>
      <c r="F449">
        <v>15.013649940000001</v>
      </c>
      <c r="G449">
        <v>1337.8925781</v>
      </c>
      <c r="H449">
        <v>1335.9550781</v>
      </c>
      <c r="I449">
        <v>1324.3258057</v>
      </c>
      <c r="J449">
        <v>1321.5227050999999</v>
      </c>
      <c r="K449">
        <v>1650</v>
      </c>
      <c r="L449">
        <v>0</v>
      </c>
      <c r="M449">
        <v>0</v>
      </c>
      <c r="N449">
        <v>1650</v>
      </c>
    </row>
    <row r="450" spans="1:14" x14ac:dyDescent="0.25">
      <c r="A450">
        <v>66.211146999999997</v>
      </c>
      <c r="B450" s="1">
        <f>DATE(2010,7,6) + TIME(5,4,3)</f>
        <v>40365.211145833331</v>
      </c>
      <c r="C450">
        <v>80</v>
      </c>
      <c r="D450">
        <v>79.934349060000002</v>
      </c>
      <c r="E450">
        <v>50</v>
      </c>
      <c r="F450">
        <v>15.01471138</v>
      </c>
      <c r="G450">
        <v>1337.8903809000001</v>
      </c>
      <c r="H450">
        <v>1335.9534911999999</v>
      </c>
      <c r="I450">
        <v>1324.3272704999999</v>
      </c>
      <c r="J450">
        <v>1321.5234375</v>
      </c>
      <c r="K450">
        <v>1650</v>
      </c>
      <c r="L450">
        <v>0</v>
      </c>
      <c r="M450">
        <v>0</v>
      </c>
      <c r="N450">
        <v>1650</v>
      </c>
    </row>
    <row r="451" spans="1:14" x14ac:dyDescent="0.25">
      <c r="A451">
        <v>66.466301999999999</v>
      </c>
      <c r="B451" s="1">
        <f>DATE(2010,7,6) + TIME(11,11,28)</f>
        <v>40365.466296296298</v>
      </c>
      <c r="C451">
        <v>80</v>
      </c>
      <c r="D451">
        <v>79.934356688999998</v>
      </c>
      <c r="E451">
        <v>50</v>
      </c>
      <c r="F451">
        <v>15.015837669</v>
      </c>
      <c r="G451">
        <v>1337.8880615</v>
      </c>
      <c r="H451">
        <v>1335.9517822</v>
      </c>
      <c r="I451">
        <v>1324.3287353999999</v>
      </c>
      <c r="J451">
        <v>1321.5242920000001</v>
      </c>
      <c r="K451">
        <v>1650</v>
      </c>
      <c r="L451">
        <v>0</v>
      </c>
      <c r="M451">
        <v>0</v>
      </c>
      <c r="N451">
        <v>1650</v>
      </c>
    </row>
    <row r="452" spans="1:14" x14ac:dyDescent="0.25">
      <c r="A452">
        <v>66.721457999999998</v>
      </c>
      <c r="B452" s="1">
        <f>DATE(2010,7,6) + TIME(17,18,53)</f>
        <v>40365.721446759257</v>
      </c>
      <c r="C452">
        <v>80</v>
      </c>
      <c r="D452">
        <v>79.934364318999997</v>
      </c>
      <c r="E452">
        <v>50</v>
      </c>
      <c r="F452">
        <v>15.017033576999999</v>
      </c>
      <c r="G452">
        <v>1337.8858643000001</v>
      </c>
      <c r="H452">
        <v>1335.9501952999999</v>
      </c>
      <c r="I452">
        <v>1324.3300781</v>
      </c>
      <c r="J452">
        <v>1321.5250243999999</v>
      </c>
      <c r="K452">
        <v>1650</v>
      </c>
      <c r="L452">
        <v>0</v>
      </c>
      <c r="M452">
        <v>0</v>
      </c>
      <c r="N452">
        <v>1650</v>
      </c>
    </row>
    <row r="453" spans="1:14" x14ac:dyDescent="0.25">
      <c r="A453">
        <v>66.976613</v>
      </c>
      <c r="B453" s="1">
        <f>DATE(2010,7,6) + TIME(23,26,19)</f>
        <v>40365.9766087963</v>
      </c>
      <c r="C453">
        <v>80</v>
      </c>
      <c r="D453">
        <v>79.934371948000006</v>
      </c>
      <c r="E453">
        <v>50</v>
      </c>
      <c r="F453">
        <v>15.018304825</v>
      </c>
      <c r="G453">
        <v>1337.8836670000001</v>
      </c>
      <c r="H453">
        <v>1335.9484863</v>
      </c>
      <c r="I453">
        <v>1324.3316649999999</v>
      </c>
      <c r="J453">
        <v>1321.5258789</v>
      </c>
      <c r="K453">
        <v>1650</v>
      </c>
      <c r="L453">
        <v>0</v>
      </c>
      <c r="M453">
        <v>0</v>
      </c>
      <c r="N453">
        <v>1650</v>
      </c>
    </row>
    <row r="454" spans="1:14" x14ac:dyDescent="0.25">
      <c r="A454">
        <v>67.231769</v>
      </c>
      <c r="B454" s="1">
        <f>DATE(2010,7,7) + TIME(5,33,44)</f>
        <v>40366.231759259259</v>
      </c>
      <c r="C454">
        <v>80</v>
      </c>
      <c r="D454">
        <v>79.934379578000005</v>
      </c>
      <c r="E454">
        <v>50</v>
      </c>
      <c r="F454">
        <v>15.019656181</v>
      </c>
      <c r="G454">
        <v>1337.8813477000001</v>
      </c>
      <c r="H454">
        <v>1335.9468993999999</v>
      </c>
      <c r="I454">
        <v>1324.3331298999999</v>
      </c>
      <c r="J454">
        <v>1321.5266113</v>
      </c>
      <c r="K454">
        <v>1650</v>
      </c>
      <c r="L454">
        <v>0</v>
      </c>
      <c r="M454">
        <v>0</v>
      </c>
      <c r="N454">
        <v>1650</v>
      </c>
    </row>
    <row r="455" spans="1:14" x14ac:dyDescent="0.25">
      <c r="A455">
        <v>67.486924000000002</v>
      </c>
      <c r="B455" s="1">
        <f>DATE(2010,7,7) + TIME(11,41,10)</f>
        <v>40366.486921296295</v>
      </c>
      <c r="C455">
        <v>80</v>
      </c>
      <c r="D455">
        <v>79.934387207</v>
      </c>
      <c r="E455">
        <v>50</v>
      </c>
      <c r="F455">
        <v>15.021094322</v>
      </c>
      <c r="G455">
        <v>1337.8791504000001</v>
      </c>
      <c r="H455">
        <v>1335.9453125</v>
      </c>
      <c r="I455">
        <v>1324.3345947</v>
      </c>
      <c r="J455">
        <v>1321.5274658000001</v>
      </c>
      <c r="K455">
        <v>1650</v>
      </c>
      <c r="L455">
        <v>0</v>
      </c>
      <c r="M455">
        <v>0</v>
      </c>
      <c r="N455">
        <v>1650</v>
      </c>
    </row>
    <row r="456" spans="1:14" x14ac:dyDescent="0.25">
      <c r="A456">
        <v>67.742080000000001</v>
      </c>
      <c r="B456" s="1">
        <f>DATE(2010,7,7) + TIME(17,48,35)</f>
        <v>40366.742071759261</v>
      </c>
      <c r="C456">
        <v>80</v>
      </c>
      <c r="D456">
        <v>79.934394835999996</v>
      </c>
      <c r="E456">
        <v>50</v>
      </c>
      <c r="F456">
        <v>15.022624969000001</v>
      </c>
      <c r="G456">
        <v>1337.8769531</v>
      </c>
      <c r="H456">
        <v>1335.9437256000001</v>
      </c>
      <c r="I456">
        <v>1324.3360596</v>
      </c>
      <c r="J456">
        <v>1321.5281981999999</v>
      </c>
      <c r="K456">
        <v>1650</v>
      </c>
      <c r="L456">
        <v>0</v>
      </c>
      <c r="M456">
        <v>0</v>
      </c>
      <c r="N456">
        <v>1650</v>
      </c>
    </row>
    <row r="457" spans="1:14" x14ac:dyDescent="0.25">
      <c r="A457">
        <v>68.252391000000003</v>
      </c>
      <c r="B457" s="1">
        <f>DATE(2010,7,8) + TIME(6,3,26)</f>
        <v>40367.252384259256</v>
      </c>
      <c r="C457">
        <v>80</v>
      </c>
      <c r="D457">
        <v>79.934417725000003</v>
      </c>
      <c r="E457">
        <v>50</v>
      </c>
      <c r="F457">
        <v>15.025404930000001</v>
      </c>
      <c r="G457">
        <v>1337.8747559000001</v>
      </c>
      <c r="H457">
        <v>1335.9421387</v>
      </c>
      <c r="I457">
        <v>1324.3376464999999</v>
      </c>
      <c r="J457">
        <v>1321.5290527</v>
      </c>
      <c r="K457">
        <v>1650</v>
      </c>
      <c r="L457">
        <v>0</v>
      </c>
      <c r="M457">
        <v>0</v>
      </c>
      <c r="N457">
        <v>1650</v>
      </c>
    </row>
    <row r="458" spans="1:14" x14ac:dyDescent="0.25">
      <c r="A458">
        <v>68.763192000000004</v>
      </c>
      <c r="B458" s="1">
        <f>DATE(2010,7,8) + TIME(18,18,59)</f>
        <v>40367.763182870367</v>
      </c>
      <c r="C458">
        <v>80</v>
      </c>
      <c r="D458">
        <v>79.934440613000007</v>
      </c>
      <c r="E458">
        <v>50</v>
      </c>
      <c r="F458">
        <v>15.028681754999999</v>
      </c>
      <c r="G458">
        <v>1337.8704834</v>
      </c>
      <c r="H458">
        <v>1335.9389647999999</v>
      </c>
      <c r="I458">
        <v>1324.3406981999999</v>
      </c>
      <c r="J458">
        <v>1321.5307617000001</v>
      </c>
      <c r="K458">
        <v>1650</v>
      </c>
      <c r="L458">
        <v>0</v>
      </c>
      <c r="M458">
        <v>0</v>
      </c>
      <c r="N458">
        <v>1650</v>
      </c>
    </row>
    <row r="459" spans="1:14" x14ac:dyDescent="0.25">
      <c r="A459">
        <v>69.279478999999995</v>
      </c>
      <c r="B459" s="1">
        <f>DATE(2010,7,9) + TIME(6,42,26)</f>
        <v>40368.279467592591</v>
      </c>
      <c r="C459">
        <v>80</v>
      </c>
      <c r="D459">
        <v>79.934463500999996</v>
      </c>
      <c r="E459">
        <v>50</v>
      </c>
      <c r="F459">
        <v>15.032505035</v>
      </c>
      <c r="G459">
        <v>1337.8660889</v>
      </c>
      <c r="H459">
        <v>1335.9357910000001</v>
      </c>
      <c r="I459">
        <v>1324.3438721</v>
      </c>
      <c r="J459">
        <v>1321.5324707</v>
      </c>
      <c r="K459">
        <v>1650</v>
      </c>
      <c r="L459">
        <v>0</v>
      </c>
      <c r="M459">
        <v>0</v>
      </c>
      <c r="N459">
        <v>1650</v>
      </c>
    </row>
    <row r="460" spans="1:14" x14ac:dyDescent="0.25">
      <c r="A460">
        <v>69.802519000000004</v>
      </c>
      <c r="B460" s="1">
        <f>DATE(2010,7,9) + TIME(19,15,37)</f>
        <v>40368.802511574075</v>
      </c>
      <c r="C460">
        <v>80</v>
      </c>
      <c r="D460">
        <v>79.934478760000005</v>
      </c>
      <c r="E460">
        <v>50</v>
      </c>
      <c r="F460">
        <v>15.036933898999999</v>
      </c>
      <c r="G460">
        <v>1337.8618164</v>
      </c>
      <c r="H460">
        <v>1335.9326172000001</v>
      </c>
      <c r="I460">
        <v>1324.3470459</v>
      </c>
      <c r="J460">
        <v>1321.5341797000001</v>
      </c>
      <c r="K460">
        <v>1650</v>
      </c>
      <c r="L460">
        <v>0</v>
      </c>
      <c r="M460">
        <v>0</v>
      </c>
      <c r="N460">
        <v>1650</v>
      </c>
    </row>
    <row r="461" spans="1:14" x14ac:dyDescent="0.25">
      <c r="A461">
        <v>70.333687999999995</v>
      </c>
      <c r="B461" s="1">
        <f>DATE(2010,7,10) + TIME(8,0,30)</f>
        <v>40369.333680555559</v>
      </c>
      <c r="C461">
        <v>80</v>
      </c>
      <c r="D461">
        <v>79.934501647999994</v>
      </c>
      <c r="E461">
        <v>50</v>
      </c>
      <c r="F461">
        <v>15.042047501000001</v>
      </c>
      <c r="G461">
        <v>1337.8574219</v>
      </c>
      <c r="H461">
        <v>1335.9294434000001</v>
      </c>
      <c r="I461">
        <v>1324.3504639</v>
      </c>
      <c r="J461">
        <v>1321.5360106999999</v>
      </c>
      <c r="K461">
        <v>1650</v>
      </c>
      <c r="L461">
        <v>0</v>
      </c>
      <c r="M461">
        <v>0</v>
      </c>
      <c r="N461">
        <v>1650</v>
      </c>
    </row>
    <row r="462" spans="1:14" x14ac:dyDescent="0.25">
      <c r="A462">
        <v>70.874213999999995</v>
      </c>
      <c r="B462" s="1">
        <f>DATE(2010,7,10) + TIME(20,58,52)</f>
        <v>40369.874212962961</v>
      </c>
      <c r="C462">
        <v>80</v>
      </c>
      <c r="D462">
        <v>79.934524535999998</v>
      </c>
      <c r="E462">
        <v>50</v>
      </c>
      <c r="F462">
        <v>15.04794693</v>
      </c>
      <c r="G462">
        <v>1337.8530272999999</v>
      </c>
      <c r="H462">
        <v>1335.9262695</v>
      </c>
      <c r="I462">
        <v>1324.3538818</v>
      </c>
      <c r="J462">
        <v>1321.5378418</v>
      </c>
      <c r="K462">
        <v>1650</v>
      </c>
      <c r="L462">
        <v>0</v>
      </c>
      <c r="M462">
        <v>0</v>
      </c>
      <c r="N462">
        <v>1650</v>
      </c>
    </row>
    <row r="463" spans="1:14" x14ac:dyDescent="0.25">
      <c r="A463">
        <v>71.420485999999997</v>
      </c>
      <c r="B463" s="1">
        <f>DATE(2010,7,11) + TIME(10,5,29)</f>
        <v>40370.420474537037</v>
      </c>
      <c r="C463">
        <v>80</v>
      </c>
      <c r="D463">
        <v>79.934539795000006</v>
      </c>
      <c r="E463">
        <v>50</v>
      </c>
      <c r="F463">
        <v>15.054714203</v>
      </c>
      <c r="G463">
        <v>1337.8485106999999</v>
      </c>
      <c r="H463">
        <v>1335.9229736</v>
      </c>
      <c r="I463">
        <v>1324.3575439000001</v>
      </c>
      <c r="J463">
        <v>1321.5397949000001</v>
      </c>
      <c r="K463">
        <v>1650</v>
      </c>
      <c r="L463">
        <v>0</v>
      </c>
      <c r="M463">
        <v>0</v>
      </c>
      <c r="N463">
        <v>1650</v>
      </c>
    </row>
    <row r="464" spans="1:14" x14ac:dyDescent="0.25">
      <c r="A464">
        <v>71.697103999999996</v>
      </c>
      <c r="B464" s="1">
        <f>DATE(2010,7,11) + TIME(16,43,49)</f>
        <v>40370.697094907409</v>
      </c>
      <c r="C464">
        <v>80</v>
      </c>
      <c r="D464">
        <v>79.934547424000002</v>
      </c>
      <c r="E464">
        <v>50</v>
      </c>
      <c r="F464">
        <v>15.059307098</v>
      </c>
      <c r="G464">
        <v>1337.8441161999999</v>
      </c>
      <c r="H464">
        <v>1335.9196777</v>
      </c>
      <c r="I464">
        <v>1324.3613281</v>
      </c>
      <c r="J464">
        <v>1321.5417480000001</v>
      </c>
      <c r="K464">
        <v>1650</v>
      </c>
      <c r="L464">
        <v>0</v>
      </c>
      <c r="M464">
        <v>0</v>
      </c>
      <c r="N464">
        <v>1650</v>
      </c>
    </row>
    <row r="465" spans="1:14" x14ac:dyDescent="0.25">
      <c r="A465">
        <v>71.973721999999995</v>
      </c>
      <c r="B465" s="1">
        <f>DATE(2010,7,11) + TIME(23,22,9)</f>
        <v>40370.973715277774</v>
      </c>
      <c r="C465">
        <v>80</v>
      </c>
      <c r="D465">
        <v>79.934547424000002</v>
      </c>
      <c r="E465">
        <v>50</v>
      </c>
      <c r="F465">
        <v>15.064081192</v>
      </c>
      <c r="G465">
        <v>1337.8417969</v>
      </c>
      <c r="H465">
        <v>1335.9180908000001</v>
      </c>
      <c r="I465">
        <v>1324.3632812000001</v>
      </c>
      <c r="J465">
        <v>1321.5427245999999</v>
      </c>
      <c r="K465">
        <v>1650</v>
      </c>
      <c r="L465">
        <v>0</v>
      </c>
      <c r="M465">
        <v>0</v>
      </c>
      <c r="N465">
        <v>1650</v>
      </c>
    </row>
    <row r="466" spans="1:14" x14ac:dyDescent="0.25">
      <c r="A466">
        <v>72.250338999999997</v>
      </c>
      <c r="B466" s="1">
        <f>DATE(2010,7,12) + TIME(6,0,29)</f>
        <v>40371.250335648147</v>
      </c>
      <c r="C466">
        <v>80</v>
      </c>
      <c r="D466">
        <v>79.934555054</v>
      </c>
      <c r="E466">
        <v>50</v>
      </c>
      <c r="F466">
        <v>15.069067955</v>
      </c>
      <c r="G466">
        <v>1337.8395995999999</v>
      </c>
      <c r="H466">
        <v>1335.9165039</v>
      </c>
      <c r="I466">
        <v>1324.3652344</v>
      </c>
      <c r="J466">
        <v>1321.5438231999999</v>
      </c>
      <c r="K466">
        <v>1650</v>
      </c>
      <c r="L466">
        <v>0</v>
      </c>
      <c r="M466">
        <v>0</v>
      </c>
      <c r="N466">
        <v>1650</v>
      </c>
    </row>
    <row r="467" spans="1:14" x14ac:dyDescent="0.25">
      <c r="A467">
        <v>72.526956999999996</v>
      </c>
      <c r="B467" s="1">
        <f>DATE(2010,7,12) + TIME(12,38,49)</f>
        <v>40371.526956018519</v>
      </c>
      <c r="C467">
        <v>80</v>
      </c>
      <c r="D467">
        <v>79.934570312000005</v>
      </c>
      <c r="E467">
        <v>50</v>
      </c>
      <c r="F467">
        <v>15.074297905</v>
      </c>
      <c r="G467">
        <v>1337.8374022999999</v>
      </c>
      <c r="H467">
        <v>1335.9147949000001</v>
      </c>
      <c r="I467">
        <v>1324.3671875</v>
      </c>
      <c r="J467">
        <v>1321.5449219</v>
      </c>
      <c r="K467">
        <v>1650</v>
      </c>
      <c r="L467">
        <v>0</v>
      </c>
      <c r="M467">
        <v>0</v>
      </c>
      <c r="N467">
        <v>1650</v>
      </c>
    </row>
    <row r="468" spans="1:14" x14ac:dyDescent="0.25">
      <c r="A468">
        <v>72.803280999999998</v>
      </c>
      <c r="B468" s="1">
        <f>DATE(2010,7,12) + TIME(19,16,43)</f>
        <v>40371.80327546296</v>
      </c>
      <c r="C468">
        <v>80</v>
      </c>
      <c r="D468">
        <v>79.934577942000004</v>
      </c>
      <c r="E468">
        <v>50</v>
      </c>
      <c r="F468">
        <v>15.079794884</v>
      </c>
      <c r="G468">
        <v>1337.8352050999999</v>
      </c>
      <c r="H468">
        <v>1335.9132079999999</v>
      </c>
      <c r="I468">
        <v>1324.3692627</v>
      </c>
      <c r="J468">
        <v>1321.5460204999999</v>
      </c>
      <c r="K468">
        <v>1650</v>
      </c>
      <c r="L468">
        <v>0</v>
      </c>
      <c r="M468">
        <v>0</v>
      </c>
      <c r="N468">
        <v>1650</v>
      </c>
    </row>
    <row r="469" spans="1:14" x14ac:dyDescent="0.25">
      <c r="A469">
        <v>73.079189999999997</v>
      </c>
      <c r="B469" s="1">
        <f>DATE(2010,7,13) + TIME(1,54,2)</f>
        <v>40372.079189814816</v>
      </c>
      <c r="C469">
        <v>80</v>
      </c>
      <c r="D469">
        <v>79.934585571</v>
      </c>
      <c r="E469">
        <v>50</v>
      </c>
      <c r="F469">
        <v>15.085581779</v>
      </c>
      <c r="G469">
        <v>1337.8330077999999</v>
      </c>
      <c r="H469">
        <v>1335.9116211</v>
      </c>
      <c r="I469">
        <v>1324.3713379000001</v>
      </c>
      <c r="J469">
        <v>1321.5471190999999</v>
      </c>
      <c r="K469">
        <v>1650</v>
      </c>
      <c r="L469">
        <v>0</v>
      </c>
      <c r="M469">
        <v>0</v>
      </c>
      <c r="N469">
        <v>1650</v>
      </c>
    </row>
    <row r="470" spans="1:14" x14ac:dyDescent="0.25">
      <c r="A470">
        <v>73.354876000000004</v>
      </c>
      <c r="B470" s="1">
        <f>DATE(2010,7,13) + TIME(8,31,1)</f>
        <v>40372.354872685188</v>
      </c>
      <c r="C470">
        <v>80</v>
      </c>
      <c r="D470">
        <v>79.934593200999998</v>
      </c>
      <c r="E470">
        <v>50</v>
      </c>
      <c r="F470">
        <v>15.091686249</v>
      </c>
      <c r="G470">
        <v>1337.8308105000001</v>
      </c>
      <c r="H470">
        <v>1335.9100341999999</v>
      </c>
      <c r="I470">
        <v>1324.3732910000001</v>
      </c>
      <c r="J470">
        <v>1321.5482178</v>
      </c>
      <c r="K470">
        <v>1650</v>
      </c>
      <c r="L470">
        <v>0</v>
      </c>
      <c r="M470">
        <v>0</v>
      </c>
      <c r="N470">
        <v>1650</v>
      </c>
    </row>
    <row r="471" spans="1:14" x14ac:dyDescent="0.25">
      <c r="A471">
        <v>73.630527999999998</v>
      </c>
      <c r="B471" s="1">
        <f>DATE(2010,7,13) + TIME(15,7,57)</f>
        <v>40372.630520833336</v>
      </c>
      <c r="C471">
        <v>80</v>
      </c>
      <c r="D471">
        <v>79.934608459000003</v>
      </c>
      <c r="E471">
        <v>50</v>
      </c>
      <c r="F471">
        <v>15.098138809</v>
      </c>
      <c r="G471">
        <v>1337.8287353999999</v>
      </c>
      <c r="H471">
        <v>1335.9084473</v>
      </c>
      <c r="I471">
        <v>1324.3753661999999</v>
      </c>
      <c r="J471">
        <v>1321.5493164</v>
      </c>
      <c r="K471">
        <v>1650</v>
      </c>
      <c r="L471">
        <v>0</v>
      </c>
      <c r="M471">
        <v>0</v>
      </c>
      <c r="N471">
        <v>1650</v>
      </c>
    </row>
    <row r="472" spans="1:14" x14ac:dyDescent="0.25">
      <c r="A472">
        <v>73.906178999999995</v>
      </c>
      <c r="B472" s="1">
        <f>DATE(2010,7,13) + TIME(21,44,53)</f>
        <v>40372.906168981484</v>
      </c>
      <c r="C472">
        <v>80</v>
      </c>
      <c r="D472">
        <v>79.934616089000002</v>
      </c>
      <c r="E472">
        <v>50</v>
      </c>
      <c r="F472">
        <v>15.104963303</v>
      </c>
      <c r="G472">
        <v>1337.8265381000001</v>
      </c>
      <c r="H472">
        <v>1335.9068603999999</v>
      </c>
      <c r="I472">
        <v>1324.3775635</v>
      </c>
      <c r="J472">
        <v>1321.5504149999999</v>
      </c>
      <c r="K472">
        <v>1650</v>
      </c>
      <c r="L472">
        <v>0</v>
      </c>
      <c r="M472">
        <v>0</v>
      </c>
      <c r="N472">
        <v>1650</v>
      </c>
    </row>
    <row r="473" spans="1:14" x14ac:dyDescent="0.25">
      <c r="A473">
        <v>74.181831000000003</v>
      </c>
      <c r="B473" s="1">
        <f>DATE(2010,7,14) + TIME(4,21,50)</f>
        <v>40373.181828703702</v>
      </c>
      <c r="C473">
        <v>80</v>
      </c>
      <c r="D473">
        <v>79.934631347999996</v>
      </c>
      <c r="E473">
        <v>50</v>
      </c>
      <c r="F473">
        <v>15.112187386</v>
      </c>
      <c r="G473">
        <v>1337.8243408000001</v>
      </c>
      <c r="H473">
        <v>1335.9052733999999</v>
      </c>
      <c r="I473">
        <v>1324.3796387</v>
      </c>
      <c r="J473">
        <v>1321.5516356999999</v>
      </c>
      <c r="K473">
        <v>1650</v>
      </c>
      <c r="L473">
        <v>0</v>
      </c>
      <c r="M473">
        <v>0</v>
      </c>
      <c r="N473">
        <v>1650</v>
      </c>
    </row>
    <row r="474" spans="1:14" x14ac:dyDescent="0.25">
      <c r="A474">
        <v>74.457481999999999</v>
      </c>
      <c r="B474" s="1">
        <f>DATE(2010,7,14) + TIME(10,58,46)</f>
        <v>40373.457476851851</v>
      </c>
      <c r="C474">
        <v>80</v>
      </c>
      <c r="D474">
        <v>79.934638977000006</v>
      </c>
      <c r="E474">
        <v>50</v>
      </c>
      <c r="F474">
        <v>15.119835854</v>
      </c>
      <c r="G474">
        <v>1337.8222656</v>
      </c>
      <c r="H474">
        <v>1335.9036865</v>
      </c>
      <c r="I474">
        <v>1324.3818358999999</v>
      </c>
      <c r="J474">
        <v>1321.5528564000001</v>
      </c>
      <c r="K474">
        <v>1650</v>
      </c>
      <c r="L474">
        <v>0</v>
      </c>
      <c r="M474">
        <v>0</v>
      </c>
      <c r="N474">
        <v>1650</v>
      </c>
    </row>
    <row r="475" spans="1:14" x14ac:dyDescent="0.25">
      <c r="A475">
        <v>74.733134000000007</v>
      </c>
      <c r="B475" s="1">
        <f>DATE(2010,7,14) + TIME(17,35,42)</f>
        <v>40373.733124999999</v>
      </c>
      <c r="C475">
        <v>80</v>
      </c>
      <c r="D475">
        <v>79.934654236</v>
      </c>
      <c r="E475">
        <v>50</v>
      </c>
      <c r="F475">
        <v>15.127935409999999</v>
      </c>
      <c r="G475">
        <v>1337.8200684000001</v>
      </c>
      <c r="H475">
        <v>1335.9020995999999</v>
      </c>
      <c r="I475">
        <v>1324.3840332</v>
      </c>
      <c r="J475">
        <v>1321.5539550999999</v>
      </c>
      <c r="K475">
        <v>1650</v>
      </c>
      <c r="L475">
        <v>0</v>
      </c>
      <c r="M475">
        <v>0</v>
      </c>
      <c r="N475">
        <v>1650</v>
      </c>
    </row>
    <row r="476" spans="1:14" x14ac:dyDescent="0.25">
      <c r="A476">
        <v>75.008785000000003</v>
      </c>
      <c r="B476" s="1">
        <f>DATE(2010,7,15) + TIME(0,12,39)</f>
        <v>40374.008784722224</v>
      </c>
      <c r="C476">
        <v>80</v>
      </c>
      <c r="D476">
        <v>79.934661864999995</v>
      </c>
      <c r="E476">
        <v>50</v>
      </c>
      <c r="F476">
        <v>15.136512756</v>
      </c>
      <c r="G476">
        <v>1337.8179932</v>
      </c>
      <c r="H476">
        <v>1335.9005127</v>
      </c>
      <c r="I476">
        <v>1324.3862305</v>
      </c>
      <c r="J476">
        <v>1321.5551757999999</v>
      </c>
      <c r="K476">
        <v>1650</v>
      </c>
      <c r="L476">
        <v>0</v>
      </c>
      <c r="M476">
        <v>0</v>
      </c>
      <c r="N476">
        <v>1650</v>
      </c>
    </row>
    <row r="477" spans="1:14" x14ac:dyDescent="0.25">
      <c r="A477">
        <v>75.284436999999997</v>
      </c>
      <c r="B477" s="1">
        <f>DATE(2010,7,15) + TIME(6,49,35)</f>
        <v>40374.284432870372</v>
      </c>
      <c r="C477">
        <v>80</v>
      </c>
      <c r="D477">
        <v>79.934677124000004</v>
      </c>
      <c r="E477">
        <v>50</v>
      </c>
      <c r="F477">
        <v>15.145596504</v>
      </c>
      <c r="G477">
        <v>1337.815918</v>
      </c>
      <c r="H477">
        <v>1335.8990478999999</v>
      </c>
      <c r="I477">
        <v>1324.3884277</v>
      </c>
      <c r="J477">
        <v>1321.5565185999999</v>
      </c>
      <c r="K477">
        <v>1650</v>
      </c>
      <c r="L477">
        <v>0</v>
      </c>
      <c r="M477">
        <v>0</v>
      </c>
      <c r="N477">
        <v>1650</v>
      </c>
    </row>
    <row r="478" spans="1:14" x14ac:dyDescent="0.25">
      <c r="A478">
        <v>75.835740000000001</v>
      </c>
      <c r="B478" s="1">
        <f>DATE(2010,7,15) + TIME(20,3,27)</f>
        <v>40374.835729166669</v>
      </c>
      <c r="C478">
        <v>80</v>
      </c>
      <c r="D478">
        <v>79.934707642000006</v>
      </c>
      <c r="E478">
        <v>50</v>
      </c>
      <c r="F478">
        <v>15.161840439000001</v>
      </c>
      <c r="G478">
        <v>1337.8138428</v>
      </c>
      <c r="H478">
        <v>1335.8974608999999</v>
      </c>
      <c r="I478">
        <v>1324.3905029</v>
      </c>
      <c r="J478">
        <v>1321.5578613</v>
      </c>
      <c r="K478">
        <v>1650</v>
      </c>
      <c r="L478">
        <v>0</v>
      </c>
      <c r="M478">
        <v>0</v>
      </c>
      <c r="N478">
        <v>1650</v>
      </c>
    </row>
    <row r="479" spans="1:14" x14ac:dyDescent="0.25">
      <c r="A479">
        <v>76.388820999999993</v>
      </c>
      <c r="B479" s="1">
        <f>DATE(2010,7,16) + TIME(9,19,54)</f>
        <v>40375.388819444444</v>
      </c>
      <c r="C479">
        <v>80</v>
      </c>
      <c r="D479">
        <v>79.934738159000005</v>
      </c>
      <c r="E479">
        <v>50</v>
      </c>
      <c r="F479">
        <v>15.180967331</v>
      </c>
      <c r="G479">
        <v>1337.8095702999999</v>
      </c>
      <c r="H479">
        <v>1335.8944091999999</v>
      </c>
      <c r="I479">
        <v>1324.3951416</v>
      </c>
      <c r="J479">
        <v>1321.5603027</v>
      </c>
      <c r="K479">
        <v>1650</v>
      </c>
      <c r="L479">
        <v>0</v>
      </c>
      <c r="M479">
        <v>0</v>
      </c>
      <c r="N479">
        <v>1650</v>
      </c>
    </row>
    <row r="480" spans="1:14" x14ac:dyDescent="0.25">
      <c r="A480">
        <v>76.949242999999996</v>
      </c>
      <c r="B480" s="1">
        <f>DATE(2010,7,16) + TIME(22,46,54)</f>
        <v>40375.949236111112</v>
      </c>
      <c r="C480">
        <v>80</v>
      </c>
      <c r="D480">
        <v>79.934761046999995</v>
      </c>
      <c r="E480">
        <v>50</v>
      </c>
      <c r="F480">
        <v>15.203187943</v>
      </c>
      <c r="G480">
        <v>1337.8054199000001</v>
      </c>
      <c r="H480">
        <v>1335.8913574000001</v>
      </c>
      <c r="I480">
        <v>1324.3999022999999</v>
      </c>
      <c r="J480">
        <v>1321.5629882999999</v>
      </c>
      <c r="K480">
        <v>1650</v>
      </c>
      <c r="L480">
        <v>0</v>
      </c>
      <c r="M480">
        <v>0</v>
      </c>
      <c r="N480">
        <v>1650</v>
      </c>
    </row>
    <row r="481" spans="1:14" x14ac:dyDescent="0.25">
      <c r="A481">
        <v>77.518429999999995</v>
      </c>
      <c r="B481" s="1">
        <f>DATE(2010,7,17) + TIME(12,26,32)</f>
        <v>40376.518425925926</v>
      </c>
      <c r="C481">
        <v>80</v>
      </c>
      <c r="D481">
        <v>79.934783936000002</v>
      </c>
      <c r="E481">
        <v>50</v>
      </c>
      <c r="F481">
        <v>15.228780746</v>
      </c>
      <c r="G481">
        <v>1337.8012695</v>
      </c>
      <c r="H481">
        <v>1335.8883057</v>
      </c>
      <c r="I481">
        <v>1324.4047852000001</v>
      </c>
      <c r="J481">
        <v>1321.5657959</v>
      </c>
      <c r="K481">
        <v>1650</v>
      </c>
      <c r="L481">
        <v>0</v>
      </c>
      <c r="M481">
        <v>0</v>
      </c>
      <c r="N481">
        <v>1650</v>
      </c>
    </row>
    <row r="482" spans="1:14" x14ac:dyDescent="0.25">
      <c r="A482">
        <v>78.097941000000006</v>
      </c>
      <c r="B482" s="1">
        <f>DATE(2010,7,18) + TIME(2,21,2)</f>
        <v>40377.097939814812</v>
      </c>
      <c r="C482">
        <v>80</v>
      </c>
      <c r="D482">
        <v>79.934814453000001</v>
      </c>
      <c r="E482">
        <v>50</v>
      </c>
      <c r="F482">
        <v>15.258143425</v>
      </c>
      <c r="G482">
        <v>1337.7969971</v>
      </c>
      <c r="H482">
        <v>1335.8851318</v>
      </c>
      <c r="I482">
        <v>1324.4099120999999</v>
      </c>
      <c r="J482">
        <v>1321.5687256000001</v>
      </c>
      <c r="K482">
        <v>1650</v>
      </c>
      <c r="L482">
        <v>0</v>
      </c>
      <c r="M482">
        <v>0</v>
      </c>
      <c r="N482">
        <v>1650</v>
      </c>
    </row>
    <row r="483" spans="1:14" x14ac:dyDescent="0.25">
      <c r="A483">
        <v>78.684804999999997</v>
      </c>
      <c r="B483" s="1">
        <f>DATE(2010,7,18) + TIME(16,26,7)</f>
        <v>40377.684803240743</v>
      </c>
      <c r="C483">
        <v>80</v>
      </c>
      <c r="D483">
        <v>79.934837341000005</v>
      </c>
      <c r="E483">
        <v>50</v>
      </c>
      <c r="F483">
        <v>15.291613579</v>
      </c>
      <c r="G483">
        <v>1337.7927245999999</v>
      </c>
      <c r="H483">
        <v>1335.8819579999999</v>
      </c>
      <c r="I483">
        <v>1324.4151611</v>
      </c>
      <c r="J483">
        <v>1321.5717772999999</v>
      </c>
      <c r="K483">
        <v>1650</v>
      </c>
      <c r="L483">
        <v>0</v>
      </c>
      <c r="M483">
        <v>0</v>
      </c>
      <c r="N483">
        <v>1650</v>
      </c>
    </row>
    <row r="484" spans="1:14" x14ac:dyDescent="0.25">
      <c r="A484">
        <v>79.278531000000001</v>
      </c>
      <c r="B484" s="1">
        <f>DATE(2010,7,19) + TIME(6,41,5)</f>
        <v>40378.27853009259</v>
      </c>
      <c r="C484">
        <v>80</v>
      </c>
      <c r="D484">
        <v>79.934867858999993</v>
      </c>
      <c r="E484">
        <v>50</v>
      </c>
      <c r="F484">
        <v>15.329641342</v>
      </c>
      <c r="G484">
        <v>1337.7884521000001</v>
      </c>
      <c r="H484">
        <v>1335.8787841999999</v>
      </c>
      <c r="I484">
        <v>1324.4206543</v>
      </c>
      <c r="J484">
        <v>1321.5750731999999</v>
      </c>
      <c r="K484">
        <v>1650</v>
      </c>
      <c r="L484">
        <v>0</v>
      </c>
      <c r="M484">
        <v>0</v>
      </c>
      <c r="N484">
        <v>1650</v>
      </c>
    </row>
    <row r="485" spans="1:14" x14ac:dyDescent="0.25">
      <c r="A485">
        <v>79.577016999999998</v>
      </c>
      <c r="B485" s="1">
        <f>DATE(2010,7,19) + TIME(13,50,54)</f>
        <v>40378.577013888891</v>
      </c>
      <c r="C485">
        <v>80</v>
      </c>
      <c r="D485">
        <v>79.934875488000003</v>
      </c>
      <c r="E485">
        <v>50</v>
      </c>
      <c r="F485">
        <v>15.355372429000001</v>
      </c>
      <c r="G485">
        <v>1337.7841797000001</v>
      </c>
      <c r="H485">
        <v>1335.8756103999999</v>
      </c>
      <c r="I485">
        <v>1324.4268798999999</v>
      </c>
      <c r="J485">
        <v>1321.5783690999999</v>
      </c>
      <c r="K485">
        <v>1650</v>
      </c>
      <c r="L485">
        <v>0</v>
      </c>
      <c r="M485">
        <v>0</v>
      </c>
      <c r="N485">
        <v>1650</v>
      </c>
    </row>
    <row r="486" spans="1:14" x14ac:dyDescent="0.25">
      <c r="A486">
        <v>79.875478999999999</v>
      </c>
      <c r="B486" s="1">
        <f>DATE(2010,7,19) + TIME(21,0,41)</f>
        <v>40378.875474537039</v>
      </c>
      <c r="C486">
        <v>80</v>
      </c>
      <c r="D486">
        <v>79.934883118000002</v>
      </c>
      <c r="E486">
        <v>50</v>
      </c>
      <c r="F486">
        <v>15.381823539999999</v>
      </c>
      <c r="G486">
        <v>1337.7819824000001</v>
      </c>
      <c r="H486">
        <v>1335.8740233999999</v>
      </c>
      <c r="I486">
        <v>1324.4298096</v>
      </c>
      <c r="J486">
        <v>1321.5802002</v>
      </c>
      <c r="K486">
        <v>1650</v>
      </c>
      <c r="L486">
        <v>0</v>
      </c>
      <c r="M486">
        <v>0</v>
      </c>
      <c r="N486">
        <v>1650</v>
      </c>
    </row>
    <row r="487" spans="1:14" x14ac:dyDescent="0.25">
      <c r="A487">
        <v>80.173281000000003</v>
      </c>
      <c r="B487" s="1">
        <f>DATE(2010,7,20) + TIME(4,9,31)</f>
        <v>40379.173275462963</v>
      </c>
      <c r="C487">
        <v>80</v>
      </c>
      <c r="D487">
        <v>79.934898376000007</v>
      </c>
      <c r="E487">
        <v>50</v>
      </c>
      <c r="F487">
        <v>15.409133911</v>
      </c>
      <c r="G487">
        <v>1337.7797852000001</v>
      </c>
      <c r="H487">
        <v>1335.8724365</v>
      </c>
      <c r="I487">
        <v>1324.4327393000001</v>
      </c>
      <c r="J487">
        <v>1321.5821533000001</v>
      </c>
      <c r="K487">
        <v>1650</v>
      </c>
      <c r="L487">
        <v>0</v>
      </c>
      <c r="M487">
        <v>0</v>
      </c>
      <c r="N487">
        <v>1650</v>
      </c>
    </row>
    <row r="488" spans="1:14" x14ac:dyDescent="0.25">
      <c r="A488">
        <v>80.470631999999995</v>
      </c>
      <c r="B488" s="1">
        <f>DATE(2010,7,20) + TIME(11,17,42)</f>
        <v>40379.470625000002</v>
      </c>
      <c r="C488">
        <v>80</v>
      </c>
      <c r="D488">
        <v>79.934906006000006</v>
      </c>
      <c r="E488">
        <v>50</v>
      </c>
      <c r="F488">
        <v>15.437473297</v>
      </c>
      <c r="G488">
        <v>1337.7777100000001</v>
      </c>
      <c r="H488">
        <v>1335.8708495999999</v>
      </c>
      <c r="I488">
        <v>1324.4356689000001</v>
      </c>
      <c r="J488">
        <v>1321.5839844</v>
      </c>
      <c r="K488">
        <v>1650</v>
      </c>
      <c r="L488">
        <v>0</v>
      </c>
      <c r="M488">
        <v>0</v>
      </c>
      <c r="N488">
        <v>1650</v>
      </c>
    </row>
    <row r="489" spans="1:14" x14ac:dyDescent="0.25">
      <c r="A489">
        <v>80.767735000000002</v>
      </c>
      <c r="B489" s="1">
        <f>DATE(2010,7,20) + TIME(18,25,32)</f>
        <v>40379.767731481479</v>
      </c>
      <c r="C489">
        <v>80</v>
      </c>
      <c r="D489">
        <v>79.934921265</v>
      </c>
      <c r="E489">
        <v>50</v>
      </c>
      <c r="F489">
        <v>15.4669981</v>
      </c>
      <c r="G489">
        <v>1337.7755127</v>
      </c>
      <c r="H489">
        <v>1335.8692627</v>
      </c>
      <c r="I489">
        <v>1324.4387207</v>
      </c>
      <c r="J489">
        <v>1321.5859375</v>
      </c>
      <c r="K489">
        <v>1650</v>
      </c>
      <c r="L489">
        <v>0</v>
      </c>
      <c r="M489">
        <v>0</v>
      </c>
      <c r="N489">
        <v>1650</v>
      </c>
    </row>
    <row r="490" spans="1:14" x14ac:dyDescent="0.25">
      <c r="A490">
        <v>81.064794000000006</v>
      </c>
      <c r="B490" s="1">
        <f>DATE(2010,7,21) + TIME(1,33,18)</f>
        <v>40380.064791666664</v>
      </c>
      <c r="C490">
        <v>80</v>
      </c>
      <c r="D490">
        <v>79.934936523000005</v>
      </c>
      <c r="E490">
        <v>50</v>
      </c>
      <c r="F490">
        <v>15.497853278999999</v>
      </c>
      <c r="G490">
        <v>1337.7734375</v>
      </c>
      <c r="H490">
        <v>1335.8676757999999</v>
      </c>
      <c r="I490">
        <v>1324.4417725000001</v>
      </c>
      <c r="J490">
        <v>1321.5880127</v>
      </c>
      <c r="K490">
        <v>1650</v>
      </c>
      <c r="L490">
        <v>0</v>
      </c>
      <c r="M490">
        <v>0</v>
      </c>
      <c r="N490">
        <v>1650</v>
      </c>
    </row>
    <row r="491" spans="1:14" x14ac:dyDescent="0.25">
      <c r="A491">
        <v>81.361851999999999</v>
      </c>
      <c r="B491" s="1">
        <f>DATE(2010,7,21) + TIME(8,41,4)</f>
        <v>40380.361851851849</v>
      </c>
      <c r="C491">
        <v>80</v>
      </c>
      <c r="D491">
        <v>79.934944153000004</v>
      </c>
      <c r="E491">
        <v>50</v>
      </c>
      <c r="F491">
        <v>15.530164719</v>
      </c>
      <c r="G491">
        <v>1337.7713623</v>
      </c>
      <c r="H491">
        <v>1335.8660889</v>
      </c>
      <c r="I491">
        <v>1324.4448242000001</v>
      </c>
      <c r="J491">
        <v>1321.5899658000001</v>
      </c>
      <c r="K491">
        <v>1650</v>
      </c>
      <c r="L491">
        <v>0</v>
      </c>
      <c r="M491">
        <v>0</v>
      </c>
      <c r="N491">
        <v>1650</v>
      </c>
    </row>
    <row r="492" spans="1:14" x14ac:dyDescent="0.25">
      <c r="A492">
        <v>81.658911000000003</v>
      </c>
      <c r="B492" s="1">
        <f>DATE(2010,7,21) + TIME(15,48,49)</f>
        <v>40380.658900462964</v>
      </c>
      <c r="C492">
        <v>80</v>
      </c>
      <c r="D492">
        <v>79.934959411999998</v>
      </c>
      <c r="E492">
        <v>50</v>
      </c>
      <c r="F492">
        <v>15.564048766999999</v>
      </c>
      <c r="G492">
        <v>1337.7692870999999</v>
      </c>
      <c r="H492">
        <v>1335.8645019999999</v>
      </c>
      <c r="I492">
        <v>1324.447876</v>
      </c>
      <c r="J492">
        <v>1321.5921631000001</v>
      </c>
      <c r="K492">
        <v>1650</v>
      </c>
      <c r="L492">
        <v>0</v>
      </c>
      <c r="M492">
        <v>0</v>
      </c>
      <c r="N492">
        <v>1650</v>
      </c>
    </row>
    <row r="493" spans="1:14" x14ac:dyDescent="0.25">
      <c r="A493">
        <v>81.955968999999996</v>
      </c>
      <c r="B493" s="1">
        <f>DATE(2010,7,21) + TIME(22,56,35)</f>
        <v>40380.955960648149</v>
      </c>
      <c r="C493">
        <v>80</v>
      </c>
      <c r="D493">
        <v>79.934974670000003</v>
      </c>
      <c r="E493">
        <v>50</v>
      </c>
      <c r="F493">
        <v>15.599614143</v>
      </c>
      <c r="G493">
        <v>1337.7672118999999</v>
      </c>
      <c r="H493">
        <v>1335.8629149999999</v>
      </c>
      <c r="I493">
        <v>1324.4510498</v>
      </c>
      <c r="J493">
        <v>1321.5942382999999</v>
      </c>
      <c r="K493">
        <v>1650</v>
      </c>
      <c r="L493">
        <v>0</v>
      </c>
      <c r="M493">
        <v>0</v>
      </c>
      <c r="N493">
        <v>1650</v>
      </c>
    </row>
    <row r="494" spans="1:14" x14ac:dyDescent="0.25">
      <c r="A494">
        <v>82.253028</v>
      </c>
      <c r="B494" s="1">
        <f>DATE(2010,7,22) + TIME(6,4,21)</f>
        <v>40381.253020833334</v>
      </c>
      <c r="C494">
        <v>80</v>
      </c>
      <c r="D494">
        <v>79.934989928999997</v>
      </c>
      <c r="E494">
        <v>50</v>
      </c>
      <c r="F494">
        <v>15.636966705000001</v>
      </c>
      <c r="G494">
        <v>1337.7651367000001</v>
      </c>
      <c r="H494">
        <v>1335.8614502</v>
      </c>
      <c r="I494">
        <v>1324.4542236</v>
      </c>
      <c r="J494">
        <v>1321.5964355000001</v>
      </c>
      <c r="K494">
        <v>1650</v>
      </c>
      <c r="L494">
        <v>0</v>
      </c>
      <c r="M494">
        <v>0</v>
      </c>
      <c r="N494">
        <v>1650</v>
      </c>
    </row>
    <row r="495" spans="1:14" x14ac:dyDescent="0.25">
      <c r="A495">
        <v>82.550085999999993</v>
      </c>
      <c r="B495" s="1">
        <f>DATE(2010,7,22) + TIME(13,12,7)</f>
        <v>40381.550081018519</v>
      </c>
      <c r="C495">
        <v>80</v>
      </c>
      <c r="D495">
        <v>79.935005188000005</v>
      </c>
      <c r="E495">
        <v>50</v>
      </c>
      <c r="F495">
        <v>15.676208495999999</v>
      </c>
      <c r="G495">
        <v>1337.7630615</v>
      </c>
      <c r="H495">
        <v>1335.8598632999999</v>
      </c>
      <c r="I495">
        <v>1324.4575195</v>
      </c>
      <c r="J495">
        <v>1321.5986327999999</v>
      </c>
      <c r="K495">
        <v>1650</v>
      </c>
      <c r="L495">
        <v>0</v>
      </c>
      <c r="M495">
        <v>0</v>
      </c>
      <c r="N495">
        <v>1650</v>
      </c>
    </row>
    <row r="496" spans="1:14" x14ac:dyDescent="0.25">
      <c r="A496">
        <v>83.144203000000005</v>
      </c>
      <c r="B496" s="1">
        <f>DATE(2010,7,23) + TIME(3,27,39)</f>
        <v>40382.144201388888</v>
      </c>
      <c r="C496">
        <v>80</v>
      </c>
      <c r="D496">
        <v>79.935043335000003</v>
      </c>
      <c r="E496">
        <v>50</v>
      </c>
      <c r="F496">
        <v>15.744936943000001</v>
      </c>
      <c r="G496">
        <v>1337.7609863</v>
      </c>
      <c r="H496">
        <v>1335.8583983999999</v>
      </c>
      <c r="I496">
        <v>1324.4598389</v>
      </c>
      <c r="J496">
        <v>1321.6011963000001</v>
      </c>
      <c r="K496">
        <v>1650</v>
      </c>
      <c r="L496">
        <v>0</v>
      </c>
      <c r="M496">
        <v>0</v>
      </c>
      <c r="N496">
        <v>1650</v>
      </c>
    </row>
    <row r="497" spans="1:14" x14ac:dyDescent="0.25">
      <c r="A497">
        <v>83.740368000000004</v>
      </c>
      <c r="B497" s="1">
        <f>DATE(2010,7,23) + TIME(17,46,7)</f>
        <v>40382.740358796298</v>
      </c>
      <c r="C497">
        <v>80</v>
      </c>
      <c r="D497">
        <v>79.935073853000006</v>
      </c>
      <c r="E497">
        <v>50</v>
      </c>
      <c r="F497">
        <v>15.825438499000001</v>
      </c>
      <c r="G497">
        <v>1337.7569579999999</v>
      </c>
      <c r="H497">
        <v>1335.8553466999999</v>
      </c>
      <c r="I497">
        <v>1324.4666748</v>
      </c>
      <c r="J497">
        <v>1321.6058350000001</v>
      </c>
      <c r="K497">
        <v>1650</v>
      </c>
      <c r="L497">
        <v>0</v>
      </c>
      <c r="M497">
        <v>0</v>
      </c>
      <c r="N497">
        <v>1650</v>
      </c>
    </row>
    <row r="498" spans="1:14" x14ac:dyDescent="0.25">
      <c r="A498">
        <v>84.343678999999995</v>
      </c>
      <c r="B498" s="1">
        <f>DATE(2010,7,24) + TIME(8,14,53)</f>
        <v>40383.343668981484</v>
      </c>
      <c r="C498">
        <v>80</v>
      </c>
      <c r="D498">
        <v>79.935112000000004</v>
      </c>
      <c r="E498">
        <v>50</v>
      </c>
      <c r="F498">
        <v>15.917971611</v>
      </c>
      <c r="G498">
        <v>1337.7528076000001</v>
      </c>
      <c r="H498">
        <v>1335.8522949000001</v>
      </c>
      <c r="I498">
        <v>1324.4735106999999</v>
      </c>
      <c r="J498">
        <v>1321.6107178</v>
      </c>
      <c r="K498">
        <v>1650</v>
      </c>
      <c r="L498">
        <v>0</v>
      </c>
      <c r="M498">
        <v>0</v>
      </c>
      <c r="N498">
        <v>1650</v>
      </c>
    </row>
    <row r="499" spans="1:14" x14ac:dyDescent="0.25">
      <c r="A499">
        <v>84.955736999999999</v>
      </c>
      <c r="B499" s="1">
        <f>DATE(2010,7,24) + TIME(22,56,15)</f>
        <v>40383.955729166664</v>
      </c>
      <c r="C499">
        <v>80</v>
      </c>
      <c r="D499">
        <v>79.935142517000003</v>
      </c>
      <c r="E499">
        <v>50</v>
      </c>
      <c r="F499">
        <v>16.023159026999998</v>
      </c>
      <c r="G499">
        <v>1337.7487793</v>
      </c>
      <c r="H499">
        <v>1335.8492432</v>
      </c>
      <c r="I499">
        <v>1324.4804687999999</v>
      </c>
      <c r="J499">
        <v>1321.6159668</v>
      </c>
      <c r="K499">
        <v>1650</v>
      </c>
      <c r="L499">
        <v>0</v>
      </c>
      <c r="M499">
        <v>0</v>
      </c>
      <c r="N499">
        <v>1650</v>
      </c>
    </row>
    <row r="500" spans="1:14" x14ac:dyDescent="0.25">
      <c r="A500">
        <v>85.573322000000005</v>
      </c>
      <c r="B500" s="1">
        <f>DATE(2010,7,25) + TIME(13,45,34)</f>
        <v>40384.573310185187</v>
      </c>
      <c r="C500">
        <v>80</v>
      </c>
      <c r="D500">
        <v>79.935173035000005</v>
      </c>
      <c r="E500">
        <v>50</v>
      </c>
      <c r="F500">
        <v>16.141427994000001</v>
      </c>
      <c r="G500">
        <v>1337.7446289</v>
      </c>
      <c r="H500">
        <v>1335.8460693</v>
      </c>
      <c r="I500">
        <v>1324.4875488</v>
      </c>
      <c r="J500">
        <v>1321.6214600000001</v>
      </c>
      <c r="K500">
        <v>1650</v>
      </c>
      <c r="L500">
        <v>0</v>
      </c>
      <c r="M500">
        <v>0</v>
      </c>
      <c r="N500">
        <v>1650</v>
      </c>
    </row>
    <row r="501" spans="1:14" x14ac:dyDescent="0.25">
      <c r="A501">
        <v>86.191952000000001</v>
      </c>
      <c r="B501" s="1">
        <f>DATE(2010,7,26) + TIME(4,36,24)</f>
        <v>40385.191944444443</v>
      </c>
      <c r="C501">
        <v>80</v>
      </c>
      <c r="D501">
        <v>79.935203552000004</v>
      </c>
      <c r="E501">
        <v>50</v>
      </c>
      <c r="F501">
        <v>16.272993088</v>
      </c>
      <c r="G501">
        <v>1337.7404785000001</v>
      </c>
      <c r="H501">
        <v>1335.8430175999999</v>
      </c>
      <c r="I501">
        <v>1324.4948730000001</v>
      </c>
      <c r="J501">
        <v>1321.6274414</v>
      </c>
      <c r="K501">
        <v>1650</v>
      </c>
      <c r="L501">
        <v>0</v>
      </c>
      <c r="M501">
        <v>0</v>
      </c>
      <c r="N501">
        <v>1650</v>
      </c>
    </row>
    <row r="502" spans="1:14" x14ac:dyDescent="0.25">
      <c r="A502">
        <v>86.813419999999994</v>
      </c>
      <c r="B502" s="1">
        <f>DATE(2010,7,26) + TIME(19,31,19)</f>
        <v>40385.813414351855</v>
      </c>
      <c r="C502">
        <v>80</v>
      </c>
      <c r="D502">
        <v>79.935234070000007</v>
      </c>
      <c r="E502">
        <v>50</v>
      </c>
      <c r="F502">
        <v>16.418787002999998</v>
      </c>
      <c r="G502">
        <v>1337.7363281</v>
      </c>
      <c r="H502">
        <v>1335.8398437999999</v>
      </c>
      <c r="I502">
        <v>1324.5021973</v>
      </c>
      <c r="J502">
        <v>1321.6336670000001</v>
      </c>
      <c r="K502">
        <v>1650</v>
      </c>
      <c r="L502">
        <v>0</v>
      </c>
      <c r="M502">
        <v>0</v>
      </c>
      <c r="N502">
        <v>1650</v>
      </c>
    </row>
    <row r="503" spans="1:14" x14ac:dyDescent="0.25">
      <c r="A503">
        <v>87.439429000000004</v>
      </c>
      <c r="B503" s="1">
        <f>DATE(2010,7,27) + TIME(10,32,46)</f>
        <v>40386.439421296294</v>
      </c>
      <c r="C503">
        <v>80</v>
      </c>
      <c r="D503">
        <v>79.935272217000005</v>
      </c>
      <c r="E503">
        <v>50</v>
      </c>
      <c r="F503">
        <v>16.580020905000001</v>
      </c>
      <c r="G503">
        <v>1337.7321777</v>
      </c>
      <c r="H503">
        <v>1335.8367920000001</v>
      </c>
      <c r="I503">
        <v>1324.5096435999999</v>
      </c>
      <c r="J503">
        <v>1321.6403809000001</v>
      </c>
      <c r="K503">
        <v>1650</v>
      </c>
      <c r="L503">
        <v>0</v>
      </c>
      <c r="M503">
        <v>0</v>
      </c>
      <c r="N503">
        <v>1650</v>
      </c>
    </row>
    <row r="504" spans="1:14" x14ac:dyDescent="0.25">
      <c r="A504">
        <v>88.071798000000001</v>
      </c>
      <c r="B504" s="1">
        <f>DATE(2010,7,28) + TIME(1,43,23)</f>
        <v>40387.071793981479</v>
      </c>
      <c r="C504">
        <v>80</v>
      </c>
      <c r="D504">
        <v>79.935302734000004</v>
      </c>
      <c r="E504">
        <v>50</v>
      </c>
      <c r="F504">
        <v>16.758169173999999</v>
      </c>
      <c r="G504">
        <v>1337.7281493999999</v>
      </c>
      <c r="H504">
        <v>1335.8337402</v>
      </c>
      <c r="I504">
        <v>1324.5172118999999</v>
      </c>
      <c r="J504">
        <v>1321.6473389</v>
      </c>
      <c r="K504">
        <v>1650</v>
      </c>
      <c r="L504">
        <v>0</v>
      </c>
      <c r="M504">
        <v>0</v>
      </c>
      <c r="N504">
        <v>1650</v>
      </c>
    </row>
    <row r="505" spans="1:14" x14ac:dyDescent="0.25">
      <c r="A505">
        <v>88.392103000000006</v>
      </c>
      <c r="B505" s="1">
        <f>DATE(2010,7,28) + TIME(9,24,37)</f>
        <v>40387.392094907409</v>
      </c>
      <c r="C505">
        <v>80</v>
      </c>
      <c r="D505">
        <v>79.935310364000003</v>
      </c>
      <c r="E505">
        <v>50</v>
      </c>
      <c r="F505">
        <v>16.878177643000001</v>
      </c>
      <c r="G505">
        <v>1337.723999</v>
      </c>
      <c r="H505">
        <v>1335.8305664</v>
      </c>
      <c r="I505">
        <v>1324.5275879000001</v>
      </c>
      <c r="J505">
        <v>1321.6542969</v>
      </c>
      <c r="K505">
        <v>1650</v>
      </c>
      <c r="L505">
        <v>0</v>
      </c>
      <c r="M505">
        <v>0</v>
      </c>
      <c r="N505">
        <v>1650</v>
      </c>
    </row>
    <row r="506" spans="1:14" x14ac:dyDescent="0.25">
      <c r="A506">
        <v>88.712128000000007</v>
      </c>
      <c r="B506" s="1">
        <f>DATE(2010,7,28) + TIME(17,5,27)</f>
        <v>40387.712118055555</v>
      </c>
      <c r="C506">
        <v>80</v>
      </c>
      <c r="D506">
        <v>79.935325622999997</v>
      </c>
      <c r="E506">
        <v>50</v>
      </c>
      <c r="F506">
        <v>16.999023437999998</v>
      </c>
      <c r="G506">
        <v>1337.7219238</v>
      </c>
      <c r="H506">
        <v>1335.8289795000001</v>
      </c>
      <c r="I506">
        <v>1324.53125</v>
      </c>
      <c r="J506">
        <v>1321.6584473</v>
      </c>
      <c r="K506">
        <v>1650</v>
      </c>
      <c r="L506">
        <v>0</v>
      </c>
      <c r="M506">
        <v>0</v>
      </c>
      <c r="N506">
        <v>1650</v>
      </c>
    </row>
    <row r="507" spans="1:14" x14ac:dyDescent="0.25">
      <c r="A507">
        <v>89.032146999999995</v>
      </c>
      <c r="B507" s="1">
        <f>DATE(2010,7,29) + TIME(0,46,17)</f>
        <v>40388.032141203701</v>
      </c>
      <c r="C507">
        <v>80</v>
      </c>
      <c r="D507">
        <v>79.935340881000002</v>
      </c>
      <c r="E507">
        <v>50</v>
      </c>
      <c r="F507">
        <v>17.121908187999999</v>
      </c>
      <c r="G507">
        <v>1337.7198486</v>
      </c>
      <c r="H507">
        <v>1335.8273925999999</v>
      </c>
      <c r="I507">
        <v>1324.5349120999999</v>
      </c>
      <c r="J507">
        <v>1321.6628418</v>
      </c>
      <c r="K507">
        <v>1650</v>
      </c>
      <c r="L507">
        <v>0</v>
      </c>
      <c r="M507">
        <v>0</v>
      </c>
      <c r="N507">
        <v>1650</v>
      </c>
    </row>
    <row r="508" spans="1:14" x14ac:dyDescent="0.25">
      <c r="A508">
        <v>89.352165999999997</v>
      </c>
      <c r="B508" s="1">
        <f>DATE(2010,7,29) + TIME(8,27,7)</f>
        <v>40388.352164351854</v>
      </c>
      <c r="C508">
        <v>80</v>
      </c>
      <c r="D508">
        <v>79.935356139999996</v>
      </c>
      <c r="E508">
        <v>50</v>
      </c>
      <c r="F508">
        <v>17.247682570999999</v>
      </c>
      <c r="G508">
        <v>1337.7177733999999</v>
      </c>
      <c r="H508">
        <v>1335.8258057</v>
      </c>
      <c r="I508">
        <v>1324.5385742000001</v>
      </c>
      <c r="J508">
        <v>1321.6672363</v>
      </c>
      <c r="K508">
        <v>1650</v>
      </c>
      <c r="L508">
        <v>0</v>
      </c>
      <c r="M508">
        <v>0</v>
      </c>
      <c r="N508">
        <v>1650</v>
      </c>
    </row>
    <row r="509" spans="1:14" x14ac:dyDescent="0.25">
      <c r="A509">
        <v>89.672184999999999</v>
      </c>
      <c r="B509" s="1">
        <f>DATE(2010,7,29) + TIME(16,7,56)</f>
        <v>40388.672175925924</v>
      </c>
      <c r="C509">
        <v>80</v>
      </c>
      <c r="D509">
        <v>79.935371399000005</v>
      </c>
      <c r="E509">
        <v>50</v>
      </c>
      <c r="F509">
        <v>17.376981735000001</v>
      </c>
      <c r="G509">
        <v>1337.7156981999999</v>
      </c>
      <c r="H509">
        <v>1335.8242187999999</v>
      </c>
      <c r="I509">
        <v>1324.5423584</v>
      </c>
      <c r="J509">
        <v>1321.6716309000001</v>
      </c>
      <c r="K509">
        <v>1650</v>
      </c>
      <c r="L509">
        <v>0</v>
      </c>
      <c r="M509">
        <v>0</v>
      </c>
      <c r="N509">
        <v>1650</v>
      </c>
    </row>
    <row r="510" spans="1:14" x14ac:dyDescent="0.25">
      <c r="A510">
        <v>89.992204999999998</v>
      </c>
      <c r="B510" s="1">
        <f>DATE(2010,7,29) + TIME(23,48,46)</f>
        <v>40388.992199074077</v>
      </c>
      <c r="C510">
        <v>80</v>
      </c>
      <c r="D510">
        <v>79.935386657999999</v>
      </c>
      <c r="E510">
        <v>50</v>
      </c>
      <c r="F510">
        <v>17.510269165</v>
      </c>
      <c r="G510">
        <v>1337.7136230000001</v>
      </c>
      <c r="H510">
        <v>1335.8227539</v>
      </c>
      <c r="I510">
        <v>1324.5461425999999</v>
      </c>
      <c r="J510">
        <v>1321.6762695</v>
      </c>
      <c r="K510">
        <v>1650</v>
      </c>
      <c r="L510">
        <v>0</v>
      </c>
      <c r="M510">
        <v>0</v>
      </c>
      <c r="N510">
        <v>1650</v>
      </c>
    </row>
    <row r="511" spans="1:14" x14ac:dyDescent="0.25">
      <c r="A511">
        <v>90.312224000000001</v>
      </c>
      <c r="B511" s="1">
        <f>DATE(2010,7,30) + TIME(7,29,36)</f>
        <v>40389.312222222223</v>
      </c>
      <c r="C511">
        <v>80</v>
      </c>
      <c r="D511">
        <v>79.935409546000002</v>
      </c>
      <c r="E511">
        <v>50</v>
      </c>
      <c r="F511">
        <v>17.647891997999999</v>
      </c>
      <c r="G511">
        <v>1337.7115478999999</v>
      </c>
      <c r="H511">
        <v>1335.8211670000001</v>
      </c>
      <c r="I511">
        <v>1324.5499268000001</v>
      </c>
      <c r="J511">
        <v>1321.6809082</v>
      </c>
      <c r="K511">
        <v>1650</v>
      </c>
      <c r="L511">
        <v>0</v>
      </c>
      <c r="M511">
        <v>0</v>
      </c>
      <c r="N511">
        <v>1650</v>
      </c>
    </row>
    <row r="512" spans="1:14" x14ac:dyDescent="0.25">
      <c r="A512">
        <v>90.632243000000003</v>
      </c>
      <c r="B512" s="1">
        <f>DATE(2010,7,30) + TIME(15,10,25)</f>
        <v>40389.632233796299</v>
      </c>
      <c r="C512">
        <v>80</v>
      </c>
      <c r="D512">
        <v>79.935424804999997</v>
      </c>
      <c r="E512">
        <v>50</v>
      </c>
      <c r="F512">
        <v>17.790092468000001</v>
      </c>
      <c r="G512">
        <v>1337.7095947</v>
      </c>
      <c r="H512">
        <v>1335.8195800999999</v>
      </c>
      <c r="I512">
        <v>1324.5535889</v>
      </c>
      <c r="J512">
        <v>1321.6856689000001</v>
      </c>
      <c r="K512">
        <v>1650</v>
      </c>
      <c r="L512">
        <v>0</v>
      </c>
      <c r="M512">
        <v>0</v>
      </c>
      <c r="N512">
        <v>1650</v>
      </c>
    </row>
    <row r="513" spans="1:14" x14ac:dyDescent="0.25">
      <c r="A513">
        <v>90.952262000000005</v>
      </c>
      <c r="B513" s="1">
        <f>DATE(2010,7,30) + TIME(22,51,15)</f>
        <v>40389.952256944445</v>
      </c>
      <c r="C513">
        <v>80</v>
      </c>
      <c r="D513">
        <v>79.935440063000001</v>
      </c>
      <c r="E513">
        <v>50</v>
      </c>
      <c r="F513">
        <v>17.937042236</v>
      </c>
      <c r="G513">
        <v>1337.7075195</v>
      </c>
      <c r="H513">
        <v>1335.8181152</v>
      </c>
      <c r="I513">
        <v>1324.5573730000001</v>
      </c>
      <c r="J513">
        <v>1321.6905518000001</v>
      </c>
      <c r="K513">
        <v>1650</v>
      </c>
      <c r="L513">
        <v>0</v>
      </c>
      <c r="M513">
        <v>0</v>
      </c>
      <c r="N513">
        <v>1650</v>
      </c>
    </row>
    <row r="514" spans="1:14" x14ac:dyDescent="0.25">
      <c r="A514">
        <v>91.272281000000007</v>
      </c>
      <c r="B514" s="1">
        <f>DATE(2010,7,31) + TIME(6,32,5)</f>
        <v>40390.272280092591</v>
      </c>
      <c r="C514">
        <v>80</v>
      </c>
      <c r="D514">
        <v>79.935462951999995</v>
      </c>
      <c r="E514">
        <v>50</v>
      </c>
      <c r="F514">
        <v>18.088855743</v>
      </c>
      <c r="G514">
        <v>1337.7054443</v>
      </c>
      <c r="H514">
        <v>1335.8165283000001</v>
      </c>
      <c r="I514">
        <v>1324.5611572</v>
      </c>
      <c r="J514">
        <v>1321.6954346</v>
      </c>
      <c r="K514">
        <v>1650</v>
      </c>
      <c r="L514">
        <v>0</v>
      </c>
      <c r="M514">
        <v>0</v>
      </c>
      <c r="N514">
        <v>1650</v>
      </c>
    </row>
    <row r="515" spans="1:14" x14ac:dyDescent="0.25">
      <c r="A515">
        <v>91.592299999999994</v>
      </c>
      <c r="B515" s="1">
        <f>DATE(2010,7,31) + TIME(14,12,54)</f>
        <v>40390.592291666668</v>
      </c>
      <c r="C515">
        <v>80</v>
      </c>
      <c r="D515">
        <v>79.935478209999999</v>
      </c>
      <c r="E515">
        <v>50</v>
      </c>
      <c r="F515">
        <v>18.245605469000001</v>
      </c>
      <c r="G515">
        <v>1337.7034911999999</v>
      </c>
      <c r="H515">
        <v>1335.8150635</v>
      </c>
      <c r="I515">
        <v>1324.5648193</v>
      </c>
      <c r="J515">
        <v>1321.7005615</v>
      </c>
      <c r="K515">
        <v>1650</v>
      </c>
      <c r="L515">
        <v>0</v>
      </c>
      <c r="M515">
        <v>0</v>
      </c>
      <c r="N515">
        <v>1650</v>
      </c>
    </row>
    <row r="516" spans="1:14" x14ac:dyDescent="0.25">
      <c r="A516">
        <v>92</v>
      </c>
      <c r="B516" s="1">
        <f>DATE(2010,8,1) + TIME(0,0,0)</f>
        <v>40391</v>
      </c>
      <c r="C516">
        <v>80</v>
      </c>
      <c r="D516">
        <v>79.935501099000007</v>
      </c>
      <c r="E516">
        <v>50</v>
      </c>
      <c r="F516">
        <v>18.439374923999999</v>
      </c>
      <c r="G516">
        <v>1337.7015381000001</v>
      </c>
      <c r="H516">
        <v>1335.8134766000001</v>
      </c>
      <c r="I516">
        <v>1324.5671387</v>
      </c>
      <c r="J516">
        <v>1321.7059326000001</v>
      </c>
      <c r="K516">
        <v>1650</v>
      </c>
      <c r="L516">
        <v>0</v>
      </c>
      <c r="M516">
        <v>0</v>
      </c>
      <c r="N516">
        <v>1650</v>
      </c>
    </row>
    <row r="517" spans="1:14" x14ac:dyDescent="0.25">
      <c r="A517">
        <v>92.320019000000002</v>
      </c>
      <c r="B517" s="1">
        <f>DATE(2010,8,1) + TIME(7,40,49)</f>
        <v>40391.320011574076</v>
      </c>
      <c r="C517">
        <v>80</v>
      </c>
      <c r="D517">
        <v>79.935516356999997</v>
      </c>
      <c r="E517">
        <v>50</v>
      </c>
      <c r="F517">
        <v>18.610084533999999</v>
      </c>
      <c r="G517">
        <v>1337.6989745999999</v>
      </c>
      <c r="H517">
        <v>1335.8115233999999</v>
      </c>
      <c r="I517">
        <v>1324.5733643000001</v>
      </c>
      <c r="J517">
        <v>1321.7124022999999</v>
      </c>
      <c r="K517">
        <v>1650</v>
      </c>
      <c r="L517">
        <v>0</v>
      </c>
      <c r="M517">
        <v>0</v>
      </c>
      <c r="N517">
        <v>1650</v>
      </c>
    </row>
    <row r="518" spans="1:14" x14ac:dyDescent="0.25">
      <c r="A518">
        <v>92.640038000000004</v>
      </c>
      <c r="B518" s="1">
        <f>DATE(2010,8,1) + TIME(15,21,39)</f>
        <v>40391.640034722222</v>
      </c>
      <c r="C518">
        <v>80</v>
      </c>
      <c r="D518">
        <v>79.935539246000005</v>
      </c>
      <c r="E518">
        <v>50</v>
      </c>
      <c r="F518">
        <v>18.784738540999999</v>
      </c>
      <c r="G518">
        <v>1337.6968993999999</v>
      </c>
      <c r="H518">
        <v>1335.8100586</v>
      </c>
      <c r="I518">
        <v>1324.5769043</v>
      </c>
      <c r="J518">
        <v>1321.7177733999999</v>
      </c>
      <c r="K518">
        <v>1650</v>
      </c>
      <c r="L518">
        <v>0</v>
      </c>
      <c r="M518">
        <v>0</v>
      </c>
      <c r="N518">
        <v>1650</v>
      </c>
    </row>
    <row r="519" spans="1:14" x14ac:dyDescent="0.25">
      <c r="A519">
        <v>92.960058000000004</v>
      </c>
      <c r="B519" s="1">
        <f>DATE(2010,8,1) + TIME(23,2,28)</f>
        <v>40391.960046296299</v>
      </c>
      <c r="C519">
        <v>80</v>
      </c>
      <c r="D519">
        <v>79.935554503999995</v>
      </c>
      <c r="E519">
        <v>50</v>
      </c>
      <c r="F519">
        <v>18.963647842</v>
      </c>
      <c r="G519">
        <v>1337.6949463000001</v>
      </c>
      <c r="H519">
        <v>1335.8084716999999</v>
      </c>
      <c r="I519">
        <v>1324.5804443</v>
      </c>
      <c r="J519">
        <v>1321.7233887</v>
      </c>
      <c r="K519">
        <v>1650</v>
      </c>
      <c r="L519">
        <v>0</v>
      </c>
      <c r="M519">
        <v>0</v>
      </c>
      <c r="N519">
        <v>1650</v>
      </c>
    </row>
    <row r="520" spans="1:14" x14ac:dyDescent="0.25">
      <c r="A520">
        <v>93.280077000000006</v>
      </c>
      <c r="B520" s="1">
        <f>DATE(2010,8,2) + TIME(6,43,18)</f>
        <v>40392.280069444445</v>
      </c>
      <c r="C520">
        <v>80</v>
      </c>
      <c r="D520">
        <v>79.935569763000004</v>
      </c>
      <c r="E520">
        <v>50</v>
      </c>
      <c r="F520">
        <v>19.147008895999999</v>
      </c>
      <c r="G520">
        <v>1337.6929932</v>
      </c>
      <c r="H520">
        <v>1335.8070068</v>
      </c>
      <c r="I520">
        <v>1324.5841064000001</v>
      </c>
      <c r="J520">
        <v>1321.7290039</v>
      </c>
      <c r="K520">
        <v>1650</v>
      </c>
      <c r="L520">
        <v>0</v>
      </c>
      <c r="M520">
        <v>0</v>
      </c>
      <c r="N520">
        <v>1650</v>
      </c>
    </row>
    <row r="521" spans="1:14" x14ac:dyDescent="0.25">
      <c r="A521">
        <v>93.600095999999994</v>
      </c>
      <c r="B521" s="1">
        <f>DATE(2010,8,2) + TIME(14,24,8)</f>
        <v>40392.600092592591</v>
      </c>
      <c r="C521">
        <v>80</v>
      </c>
      <c r="D521">
        <v>79.935592650999993</v>
      </c>
      <c r="E521">
        <v>50</v>
      </c>
      <c r="F521">
        <v>19.334953307999999</v>
      </c>
      <c r="G521">
        <v>1337.6910399999999</v>
      </c>
      <c r="H521">
        <v>1335.8055420000001</v>
      </c>
      <c r="I521">
        <v>1324.5876464999999</v>
      </c>
      <c r="J521">
        <v>1321.7348632999999</v>
      </c>
      <c r="K521">
        <v>1650</v>
      </c>
      <c r="L521">
        <v>0</v>
      </c>
      <c r="M521">
        <v>0</v>
      </c>
      <c r="N521">
        <v>1650</v>
      </c>
    </row>
    <row r="522" spans="1:14" x14ac:dyDescent="0.25">
      <c r="A522">
        <v>93.920114999999996</v>
      </c>
      <c r="B522" s="1">
        <f>DATE(2010,8,2) + TIME(22,4,57)</f>
        <v>40392.920104166667</v>
      </c>
      <c r="C522">
        <v>80</v>
      </c>
      <c r="D522">
        <v>79.935607910000002</v>
      </c>
      <c r="E522">
        <v>50</v>
      </c>
      <c r="F522">
        <v>19.527545928999999</v>
      </c>
      <c r="G522">
        <v>1337.6890868999999</v>
      </c>
      <c r="H522">
        <v>1335.8039550999999</v>
      </c>
      <c r="I522">
        <v>1324.5910644999999</v>
      </c>
      <c r="J522">
        <v>1321.7407227000001</v>
      </c>
      <c r="K522">
        <v>1650</v>
      </c>
      <c r="L522">
        <v>0</v>
      </c>
      <c r="M522">
        <v>0</v>
      </c>
      <c r="N522">
        <v>1650</v>
      </c>
    </row>
    <row r="523" spans="1:14" x14ac:dyDescent="0.25">
      <c r="A523">
        <v>94.240133999999998</v>
      </c>
      <c r="B523" s="1">
        <f>DATE(2010,8,3) + TIME(5,45,47)</f>
        <v>40393.240127314813</v>
      </c>
      <c r="C523">
        <v>80</v>
      </c>
      <c r="D523">
        <v>79.935623168999996</v>
      </c>
      <c r="E523">
        <v>50</v>
      </c>
      <c r="F523">
        <v>19.724794387999999</v>
      </c>
      <c r="G523">
        <v>1337.6871338000001</v>
      </c>
      <c r="H523">
        <v>1335.8024902</v>
      </c>
      <c r="I523">
        <v>1324.5946045000001</v>
      </c>
      <c r="J523">
        <v>1321.7467041</v>
      </c>
      <c r="K523">
        <v>1650</v>
      </c>
      <c r="L523">
        <v>0</v>
      </c>
      <c r="M523">
        <v>0</v>
      </c>
      <c r="N523">
        <v>1650</v>
      </c>
    </row>
    <row r="524" spans="1:14" x14ac:dyDescent="0.25">
      <c r="A524">
        <v>94.880172999999999</v>
      </c>
      <c r="B524" s="1">
        <f>DATE(2010,8,3) + TIME(21,7,26)</f>
        <v>40393.880162037036</v>
      </c>
      <c r="C524">
        <v>80</v>
      </c>
      <c r="D524">
        <v>79.935668945000003</v>
      </c>
      <c r="E524">
        <v>50</v>
      </c>
      <c r="F524">
        <v>20.052297591999999</v>
      </c>
      <c r="G524">
        <v>1337.6851807</v>
      </c>
      <c r="H524">
        <v>1335.8010254000001</v>
      </c>
      <c r="I524">
        <v>1324.5938721</v>
      </c>
      <c r="J524">
        <v>1321.7539062000001</v>
      </c>
      <c r="K524">
        <v>1650</v>
      </c>
      <c r="L524">
        <v>0</v>
      </c>
      <c r="M524">
        <v>0</v>
      </c>
      <c r="N524">
        <v>1650</v>
      </c>
    </row>
    <row r="525" spans="1:14" x14ac:dyDescent="0.25">
      <c r="A525">
        <v>95.522075000000001</v>
      </c>
      <c r="B525" s="1">
        <f>DATE(2010,8,4) + TIME(12,31,47)</f>
        <v>40394.52207175926</v>
      </c>
      <c r="C525">
        <v>80</v>
      </c>
      <c r="D525">
        <v>79.935714722</v>
      </c>
      <c r="E525">
        <v>50</v>
      </c>
      <c r="F525">
        <v>20.424005508</v>
      </c>
      <c r="G525">
        <v>1337.6812743999999</v>
      </c>
      <c r="H525">
        <v>1335.7980957</v>
      </c>
      <c r="I525">
        <v>1324.6016846</v>
      </c>
      <c r="J525">
        <v>1321.7653809000001</v>
      </c>
      <c r="K525">
        <v>1650</v>
      </c>
      <c r="L525">
        <v>0</v>
      </c>
      <c r="M525">
        <v>0</v>
      </c>
      <c r="N525">
        <v>1650</v>
      </c>
    </row>
    <row r="526" spans="1:14" x14ac:dyDescent="0.25">
      <c r="A526">
        <v>96.183391999999998</v>
      </c>
      <c r="B526" s="1">
        <f>DATE(2010,8,5) + TIME(4,24,5)</f>
        <v>40395.183391203704</v>
      </c>
      <c r="C526">
        <v>80</v>
      </c>
      <c r="D526">
        <v>79.935752868999998</v>
      </c>
      <c r="E526">
        <v>50</v>
      </c>
      <c r="F526">
        <v>20.834230423000001</v>
      </c>
      <c r="G526">
        <v>1337.6774902</v>
      </c>
      <c r="H526">
        <v>1335.7951660000001</v>
      </c>
      <c r="I526">
        <v>1324.6087646000001</v>
      </c>
      <c r="J526">
        <v>1321.7777100000001</v>
      </c>
      <c r="K526">
        <v>1650</v>
      </c>
      <c r="L526">
        <v>0</v>
      </c>
      <c r="M526">
        <v>0</v>
      </c>
      <c r="N526">
        <v>1650</v>
      </c>
    </row>
    <row r="527" spans="1:14" x14ac:dyDescent="0.25">
      <c r="A527">
        <v>96.865847000000002</v>
      </c>
      <c r="B527" s="1">
        <f>DATE(2010,8,5) + TIME(20,46,49)</f>
        <v>40395.865844907406</v>
      </c>
      <c r="C527">
        <v>80</v>
      </c>
      <c r="D527">
        <v>79.935791015999996</v>
      </c>
      <c r="E527">
        <v>50</v>
      </c>
      <c r="F527">
        <v>21.280069351000002</v>
      </c>
      <c r="G527">
        <v>1337.6735839999999</v>
      </c>
      <c r="H527">
        <v>1335.7921143000001</v>
      </c>
      <c r="I527">
        <v>1324.6158447</v>
      </c>
      <c r="J527">
        <v>1321.7907714999999</v>
      </c>
      <c r="K527">
        <v>1650</v>
      </c>
      <c r="L527">
        <v>0</v>
      </c>
      <c r="M527">
        <v>0</v>
      </c>
      <c r="N527">
        <v>1650</v>
      </c>
    </row>
    <row r="528" spans="1:14" x14ac:dyDescent="0.25">
      <c r="A528">
        <v>97.207893999999996</v>
      </c>
      <c r="B528" s="1">
        <f>DATE(2010,8,6) + TIME(4,59,22)</f>
        <v>40396.20789351852</v>
      </c>
      <c r="C528">
        <v>80</v>
      </c>
      <c r="D528">
        <v>79.935806274000001</v>
      </c>
      <c r="E528">
        <v>50</v>
      </c>
      <c r="F528">
        <v>21.576532363999998</v>
      </c>
      <c r="G528">
        <v>1337.6694336</v>
      </c>
      <c r="H528">
        <v>1335.7890625</v>
      </c>
      <c r="I528">
        <v>1324.6292725000001</v>
      </c>
      <c r="J528">
        <v>1321.8033447</v>
      </c>
      <c r="K528">
        <v>1650</v>
      </c>
      <c r="L528">
        <v>0</v>
      </c>
      <c r="M528">
        <v>0</v>
      </c>
      <c r="N528">
        <v>1650</v>
      </c>
    </row>
    <row r="529" spans="1:14" x14ac:dyDescent="0.25">
      <c r="A529">
        <v>97.548311999999996</v>
      </c>
      <c r="B529" s="1">
        <f>DATE(2010,8,6) + TIME(13,9,34)</f>
        <v>40396.548310185186</v>
      </c>
      <c r="C529">
        <v>80</v>
      </c>
      <c r="D529">
        <v>79.935821532999995</v>
      </c>
      <c r="E529">
        <v>50</v>
      </c>
      <c r="F529">
        <v>21.870286942</v>
      </c>
      <c r="G529">
        <v>1337.6674805</v>
      </c>
      <c r="H529">
        <v>1335.7874756000001</v>
      </c>
      <c r="I529">
        <v>1324.6319579999999</v>
      </c>
      <c r="J529">
        <v>1321.8114014</v>
      </c>
      <c r="K529">
        <v>1650</v>
      </c>
      <c r="L529">
        <v>0</v>
      </c>
      <c r="M529">
        <v>0</v>
      </c>
      <c r="N529">
        <v>1650</v>
      </c>
    </row>
    <row r="530" spans="1:14" x14ac:dyDescent="0.25">
      <c r="A530">
        <v>97.888731000000007</v>
      </c>
      <c r="B530" s="1">
        <f>DATE(2010,8,6) + TIME(21,19,46)</f>
        <v>40396.888726851852</v>
      </c>
      <c r="C530">
        <v>80</v>
      </c>
      <c r="D530">
        <v>79.935844420999999</v>
      </c>
      <c r="E530">
        <v>50</v>
      </c>
      <c r="F530">
        <v>22.162063599</v>
      </c>
      <c r="G530">
        <v>1337.6655272999999</v>
      </c>
      <c r="H530">
        <v>1335.7860106999999</v>
      </c>
      <c r="I530">
        <v>1324.6346435999999</v>
      </c>
      <c r="J530">
        <v>1321.8193358999999</v>
      </c>
      <c r="K530">
        <v>1650</v>
      </c>
      <c r="L530">
        <v>0</v>
      </c>
      <c r="M530">
        <v>0</v>
      </c>
      <c r="N530">
        <v>1650</v>
      </c>
    </row>
    <row r="531" spans="1:14" x14ac:dyDescent="0.25">
      <c r="A531">
        <v>98.229150000000004</v>
      </c>
      <c r="B531" s="1">
        <f>DATE(2010,8,7) + TIME(5,29,58)</f>
        <v>40397.229143518518</v>
      </c>
      <c r="C531">
        <v>80</v>
      </c>
      <c r="D531">
        <v>79.935859679999993</v>
      </c>
      <c r="E531">
        <v>50</v>
      </c>
      <c r="F531">
        <v>22.451929092</v>
      </c>
      <c r="G531">
        <v>1337.6634521000001</v>
      </c>
      <c r="H531">
        <v>1335.7844238</v>
      </c>
      <c r="I531">
        <v>1324.6373291</v>
      </c>
      <c r="J531">
        <v>1321.8273925999999</v>
      </c>
      <c r="K531">
        <v>1650</v>
      </c>
      <c r="L531">
        <v>0</v>
      </c>
      <c r="M531">
        <v>0</v>
      </c>
      <c r="N531">
        <v>1650</v>
      </c>
    </row>
    <row r="532" spans="1:14" x14ac:dyDescent="0.25">
      <c r="A532">
        <v>98.569569000000001</v>
      </c>
      <c r="B532" s="1">
        <f>DATE(2010,8,7) + TIME(13,40,10)</f>
        <v>40397.569560185184</v>
      </c>
      <c r="C532">
        <v>80</v>
      </c>
      <c r="D532">
        <v>79.935882567999997</v>
      </c>
      <c r="E532">
        <v>50</v>
      </c>
      <c r="F532">
        <v>22.740091324000002</v>
      </c>
      <c r="G532">
        <v>1337.661499</v>
      </c>
      <c r="H532">
        <v>1335.7829589999999</v>
      </c>
      <c r="I532">
        <v>1324.6401367000001</v>
      </c>
      <c r="J532">
        <v>1321.8353271000001</v>
      </c>
      <c r="K532">
        <v>1650</v>
      </c>
      <c r="L532">
        <v>0</v>
      </c>
      <c r="M532">
        <v>0</v>
      </c>
      <c r="N532">
        <v>1650</v>
      </c>
    </row>
    <row r="533" spans="1:14" x14ac:dyDescent="0.25">
      <c r="A533">
        <v>98.909987000000001</v>
      </c>
      <c r="B533" s="1">
        <f>DATE(2010,8,7) + TIME(21,50,22)</f>
        <v>40397.90997685185</v>
      </c>
      <c r="C533">
        <v>80</v>
      </c>
      <c r="D533">
        <v>79.935897827000005</v>
      </c>
      <c r="E533">
        <v>50</v>
      </c>
      <c r="F533">
        <v>23.026838303000002</v>
      </c>
      <c r="G533">
        <v>1337.6595459</v>
      </c>
      <c r="H533">
        <v>1335.7814940999999</v>
      </c>
      <c r="I533">
        <v>1324.6430664</v>
      </c>
      <c r="J533">
        <v>1321.8433838000001</v>
      </c>
      <c r="K533">
        <v>1650</v>
      </c>
      <c r="L533">
        <v>0</v>
      </c>
      <c r="M533">
        <v>0</v>
      </c>
      <c r="N533">
        <v>1650</v>
      </c>
    </row>
    <row r="534" spans="1:14" x14ac:dyDescent="0.25">
      <c r="A534">
        <v>99.250405999999998</v>
      </c>
      <c r="B534" s="1">
        <f>DATE(2010,8,8) + TIME(6,0,35)</f>
        <v>40398.250405092593</v>
      </c>
      <c r="C534">
        <v>80</v>
      </c>
      <c r="D534">
        <v>79.935920714999995</v>
      </c>
      <c r="E534">
        <v>50</v>
      </c>
      <c r="F534">
        <v>23.312482834000001</v>
      </c>
      <c r="G534">
        <v>1337.6575928</v>
      </c>
      <c r="H534">
        <v>1335.7799072</v>
      </c>
      <c r="I534">
        <v>1324.6459961</v>
      </c>
      <c r="J534">
        <v>1321.8513184000001</v>
      </c>
      <c r="K534">
        <v>1650</v>
      </c>
      <c r="L534">
        <v>0</v>
      </c>
      <c r="M534">
        <v>0</v>
      </c>
      <c r="N534">
        <v>1650</v>
      </c>
    </row>
    <row r="535" spans="1:14" x14ac:dyDescent="0.25">
      <c r="A535">
        <v>99.590824999999995</v>
      </c>
      <c r="B535" s="1">
        <f>DATE(2010,8,8) + TIME(14,10,47)</f>
        <v>40398.590821759259</v>
      </c>
      <c r="C535">
        <v>80</v>
      </c>
      <c r="D535">
        <v>79.935943604000002</v>
      </c>
      <c r="E535">
        <v>50</v>
      </c>
      <c r="F535">
        <v>23.597335815000001</v>
      </c>
      <c r="G535">
        <v>1337.6557617000001</v>
      </c>
      <c r="H535">
        <v>1335.7784423999999</v>
      </c>
      <c r="I535">
        <v>1324.6490478999999</v>
      </c>
      <c r="J535">
        <v>1321.859375</v>
      </c>
      <c r="K535">
        <v>1650</v>
      </c>
      <c r="L535">
        <v>0</v>
      </c>
      <c r="M535">
        <v>0</v>
      </c>
      <c r="N535">
        <v>1650</v>
      </c>
    </row>
    <row r="536" spans="1:14" x14ac:dyDescent="0.25">
      <c r="A536">
        <v>99.931244000000007</v>
      </c>
      <c r="B536" s="1">
        <f>DATE(2010,8,8) + TIME(22,20,59)</f>
        <v>40398.931238425925</v>
      </c>
      <c r="C536">
        <v>80</v>
      </c>
      <c r="D536">
        <v>79.935958862000007</v>
      </c>
      <c r="E536">
        <v>50</v>
      </c>
      <c r="F536">
        <v>23.881673812999999</v>
      </c>
      <c r="G536">
        <v>1337.6538086</v>
      </c>
      <c r="H536">
        <v>1335.7769774999999</v>
      </c>
      <c r="I536">
        <v>1324.6520995999999</v>
      </c>
      <c r="J536">
        <v>1321.8673096</v>
      </c>
      <c r="K536">
        <v>1650</v>
      </c>
      <c r="L536">
        <v>0</v>
      </c>
      <c r="M536">
        <v>0</v>
      </c>
      <c r="N536">
        <v>1650</v>
      </c>
    </row>
    <row r="537" spans="1:14" x14ac:dyDescent="0.25">
      <c r="A537">
        <v>100.612081</v>
      </c>
      <c r="B537" s="1">
        <f>DATE(2010,8,9) + TIME(14,41,23)</f>
        <v>40399.612071759257</v>
      </c>
      <c r="C537">
        <v>80</v>
      </c>
      <c r="D537">
        <v>79.936012267999999</v>
      </c>
      <c r="E537">
        <v>50</v>
      </c>
      <c r="F537">
        <v>24.330631256</v>
      </c>
      <c r="G537">
        <v>1337.6518555</v>
      </c>
      <c r="H537">
        <v>1335.7755127</v>
      </c>
      <c r="I537">
        <v>1324.6497803</v>
      </c>
      <c r="J537">
        <v>1321.8767089999999</v>
      </c>
      <c r="K537">
        <v>1650</v>
      </c>
      <c r="L537">
        <v>0</v>
      </c>
      <c r="M537">
        <v>0</v>
      </c>
      <c r="N537">
        <v>1650</v>
      </c>
    </row>
    <row r="538" spans="1:14" x14ac:dyDescent="0.25">
      <c r="A538">
        <v>101.29355</v>
      </c>
      <c r="B538" s="1">
        <f>DATE(2010,8,10) + TIME(7,2,42)</f>
        <v>40400.293541666666</v>
      </c>
      <c r="C538">
        <v>80</v>
      </c>
      <c r="D538">
        <v>79.936058044000006</v>
      </c>
      <c r="E538">
        <v>50</v>
      </c>
      <c r="F538">
        <v>24.804903029999998</v>
      </c>
      <c r="G538">
        <v>1337.6480713000001</v>
      </c>
      <c r="H538">
        <v>1335.7727050999999</v>
      </c>
      <c r="I538">
        <v>1324.6577147999999</v>
      </c>
      <c r="J538">
        <v>1321.8911132999999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102.004762</v>
      </c>
      <c r="B539" s="1">
        <f>DATE(2010,8,11) + TIME(0,6,51)</f>
        <v>40401.004756944443</v>
      </c>
      <c r="C539">
        <v>80</v>
      </c>
      <c r="D539">
        <v>79.936103821000003</v>
      </c>
      <c r="E539">
        <v>50</v>
      </c>
      <c r="F539">
        <v>25.321578979000002</v>
      </c>
      <c r="G539">
        <v>1337.6444091999999</v>
      </c>
      <c r="H539">
        <v>1335.7697754000001</v>
      </c>
      <c r="I539">
        <v>1324.6651611</v>
      </c>
      <c r="J539">
        <v>1321.90625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102.728898</v>
      </c>
      <c r="B540" s="1">
        <f>DATE(2010,8,11) + TIME(17,29,36)</f>
        <v>40401.728888888887</v>
      </c>
      <c r="C540">
        <v>80</v>
      </c>
      <c r="D540">
        <v>79.936149596999996</v>
      </c>
      <c r="E540">
        <v>50</v>
      </c>
      <c r="F540">
        <v>25.876407622999999</v>
      </c>
      <c r="G540">
        <v>1337.6405029</v>
      </c>
      <c r="H540">
        <v>1335.7668457</v>
      </c>
      <c r="I540">
        <v>1324.6729736</v>
      </c>
      <c r="J540">
        <v>1321.9224853999999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103.45926900000001</v>
      </c>
      <c r="B541" s="1">
        <f>DATE(2010,8,12) + TIME(11,1,20)</f>
        <v>40402.45925925926</v>
      </c>
      <c r="C541">
        <v>80</v>
      </c>
      <c r="D541">
        <v>79.936187743999994</v>
      </c>
      <c r="E541">
        <v>50</v>
      </c>
      <c r="F541">
        <v>26.460788727000001</v>
      </c>
      <c r="G541">
        <v>1337.6365966999999</v>
      </c>
      <c r="H541">
        <v>1335.7639160000001</v>
      </c>
      <c r="I541">
        <v>1324.6806641000001</v>
      </c>
      <c r="J541">
        <v>1321.9394531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104.19819200000001</v>
      </c>
      <c r="B542" s="1">
        <f>DATE(2010,8,13) + TIME(4,45,23)</f>
        <v>40403.198182870372</v>
      </c>
      <c r="C542">
        <v>80</v>
      </c>
      <c r="D542">
        <v>79.936233521000005</v>
      </c>
      <c r="E542">
        <v>50</v>
      </c>
      <c r="F542">
        <v>27.067695617999998</v>
      </c>
      <c r="G542">
        <v>1337.6326904</v>
      </c>
      <c r="H542">
        <v>1335.7608643000001</v>
      </c>
      <c r="I542">
        <v>1324.6881103999999</v>
      </c>
      <c r="J542">
        <v>1321.9569091999999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104.948015</v>
      </c>
      <c r="B543" s="1">
        <f>DATE(2010,8,13) + TIME(22,45,8)</f>
        <v>40403.948009259257</v>
      </c>
      <c r="C543">
        <v>80</v>
      </c>
      <c r="D543">
        <v>79.936279296999999</v>
      </c>
      <c r="E543">
        <v>50</v>
      </c>
      <c r="F543">
        <v>27.690286636</v>
      </c>
      <c r="G543">
        <v>1337.6287841999999</v>
      </c>
      <c r="H543">
        <v>1335.7579346</v>
      </c>
      <c r="I543">
        <v>1324.6954346</v>
      </c>
      <c r="J543">
        <v>1321.9747314000001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105.325378</v>
      </c>
      <c r="B544" s="1">
        <f>DATE(2010,8,14) + TIME(7,48,32)</f>
        <v>40404.325370370374</v>
      </c>
      <c r="C544">
        <v>80</v>
      </c>
      <c r="D544">
        <v>79.936302185000002</v>
      </c>
      <c r="E544">
        <v>50</v>
      </c>
      <c r="F544">
        <v>28.097387313999999</v>
      </c>
      <c r="G544">
        <v>1337.625</v>
      </c>
      <c r="H544">
        <v>1335.7550048999999</v>
      </c>
      <c r="I544">
        <v>1324.708374</v>
      </c>
      <c r="J544">
        <v>1321.9908447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105.702741</v>
      </c>
      <c r="B545" s="1">
        <f>DATE(2010,8,14) + TIME(16,51,56)</f>
        <v>40404.702731481484</v>
      </c>
      <c r="C545">
        <v>80</v>
      </c>
      <c r="D545">
        <v>79.936317443999997</v>
      </c>
      <c r="E545">
        <v>50</v>
      </c>
      <c r="F545">
        <v>28.476062774999999</v>
      </c>
      <c r="G545">
        <v>1337.6230469</v>
      </c>
      <c r="H545">
        <v>1335.7535399999999</v>
      </c>
      <c r="I545">
        <v>1324.7106934000001</v>
      </c>
      <c r="J545">
        <v>1322.0012207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106.08010400000001</v>
      </c>
      <c r="B546" s="1">
        <f>DATE(2010,8,15) + TIME(1,55,21)</f>
        <v>40405.080104166664</v>
      </c>
      <c r="C546">
        <v>80</v>
      </c>
      <c r="D546">
        <v>79.936340332</v>
      </c>
      <c r="E546">
        <v>50</v>
      </c>
      <c r="F546">
        <v>28.833242416000001</v>
      </c>
      <c r="G546">
        <v>1337.6210937999999</v>
      </c>
      <c r="H546">
        <v>1335.7520752</v>
      </c>
      <c r="I546">
        <v>1324.713501</v>
      </c>
      <c r="J546">
        <v>1322.0113524999999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106.457379</v>
      </c>
      <c r="B547" s="1">
        <f>DATE(2010,8,15) + TIME(10,58,37)</f>
        <v>40405.457372685189</v>
      </c>
      <c r="C547">
        <v>80</v>
      </c>
      <c r="D547">
        <v>79.936363220000004</v>
      </c>
      <c r="E547">
        <v>50</v>
      </c>
      <c r="F547">
        <v>29.173803328999998</v>
      </c>
      <c r="G547">
        <v>1337.6191406</v>
      </c>
      <c r="H547">
        <v>1335.7506103999999</v>
      </c>
      <c r="I547">
        <v>1324.7165527</v>
      </c>
      <c r="J547">
        <v>1322.0211182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106.83461</v>
      </c>
      <c r="B548" s="1">
        <f>DATE(2010,8,15) + TIME(20,1,50)</f>
        <v>40405.834606481483</v>
      </c>
      <c r="C548">
        <v>80</v>
      </c>
      <c r="D548">
        <v>79.936386107999994</v>
      </c>
      <c r="E548">
        <v>50</v>
      </c>
      <c r="F548">
        <v>29.501279831000002</v>
      </c>
      <c r="G548">
        <v>1337.6173096</v>
      </c>
      <c r="H548">
        <v>1335.7491454999999</v>
      </c>
      <c r="I548">
        <v>1324.7199707</v>
      </c>
      <c r="J548">
        <v>1322.0307617000001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107.21184</v>
      </c>
      <c r="B549" s="1">
        <f>DATE(2010,8,16) + TIME(5,5,3)</f>
        <v>40406.211840277778</v>
      </c>
      <c r="C549">
        <v>80</v>
      </c>
      <c r="D549">
        <v>79.936408997000001</v>
      </c>
      <c r="E549">
        <v>50</v>
      </c>
      <c r="F549">
        <v>29.818208693999999</v>
      </c>
      <c r="G549">
        <v>1337.6153564000001</v>
      </c>
      <c r="H549">
        <v>1335.7478027</v>
      </c>
      <c r="I549">
        <v>1324.7235106999999</v>
      </c>
      <c r="J549">
        <v>1322.0402832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107.589071</v>
      </c>
      <c r="B550" s="1">
        <f>DATE(2010,8,16) + TIME(14,8,15)</f>
        <v>40406.589062500003</v>
      </c>
      <c r="C550">
        <v>80</v>
      </c>
      <c r="D550">
        <v>79.936431885000005</v>
      </c>
      <c r="E550">
        <v>50</v>
      </c>
      <c r="F550">
        <v>30.126422882</v>
      </c>
      <c r="G550">
        <v>1337.6135254000001</v>
      </c>
      <c r="H550">
        <v>1335.7463379000001</v>
      </c>
      <c r="I550">
        <v>1324.7271728999999</v>
      </c>
      <c r="J550">
        <v>1322.0495605000001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107.966301</v>
      </c>
      <c r="B551" s="1">
        <f>DATE(2010,8,16) + TIME(23,11,28)</f>
        <v>40406.966296296298</v>
      </c>
      <c r="C551">
        <v>80</v>
      </c>
      <c r="D551">
        <v>79.936454772999994</v>
      </c>
      <c r="E551">
        <v>50</v>
      </c>
      <c r="F551">
        <v>30.427234649999999</v>
      </c>
      <c r="G551">
        <v>1337.6116943</v>
      </c>
      <c r="H551">
        <v>1335.7448730000001</v>
      </c>
      <c r="I551">
        <v>1324.730957</v>
      </c>
      <c r="J551">
        <v>1322.0588379000001</v>
      </c>
      <c r="K551">
        <v>1650</v>
      </c>
      <c r="L551">
        <v>0</v>
      </c>
      <c r="M551">
        <v>0</v>
      </c>
      <c r="N551">
        <v>1650</v>
      </c>
    </row>
    <row r="552" spans="1:14" x14ac:dyDescent="0.25">
      <c r="A552">
        <v>108.343532</v>
      </c>
      <c r="B552" s="1">
        <f>DATE(2010,8,17) + TIME(8,14,41)</f>
        <v>40407.343530092592</v>
      </c>
      <c r="C552">
        <v>80</v>
      </c>
      <c r="D552">
        <v>79.936477660999998</v>
      </c>
      <c r="E552">
        <v>50</v>
      </c>
      <c r="F552">
        <v>30.721542358000001</v>
      </c>
      <c r="G552">
        <v>1337.6098632999999</v>
      </c>
      <c r="H552">
        <v>1335.7435303</v>
      </c>
      <c r="I552">
        <v>1324.7348632999999</v>
      </c>
      <c r="J552">
        <v>1322.0679932</v>
      </c>
      <c r="K552">
        <v>1650</v>
      </c>
      <c r="L552">
        <v>0</v>
      </c>
      <c r="M552">
        <v>0</v>
      </c>
      <c r="N552">
        <v>1650</v>
      </c>
    </row>
    <row r="553" spans="1:14" x14ac:dyDescent="0.25">
      <c r="A553">
        <v>109.097993</v>
      </c>
      <c r="B553" s="1">
        <f>DATE(2010,8,18) + TIME(2,21,6)</f>
        <v>40408.097986111112</v>
      </c>
      <c r="C553">
        <v>80</v>
      </c>
      <c r="D553">
        <v>79.936531067000004</v>
      </c>
      <c r="E553">
        <v>50</v>
      </c>
      <c r="F553">
        <v>31.163465500000001</v>
      </c>
      <c r="G553">
        <v>1337.6080322</v>
      </c>
      <c r="H553">
        <v>1335.7421875</v>
      </c>
      <c r="I553">
        <v>1324.7352295000001</v>
      </c>
      <c r="J553">
        <v>1322.0787353999999</v>
      </c>
      <c r="K553">
        <v>1650</v>
      </c>
      <c r="L553">
        <v>0</v>
      </c>
      <c r="M553">
        <v>0</v>
      </c>
      <c r="N553">
        <v>1650</v>
      </c>
    </row>
    <row r="554" spans="1:14" x14ac:dyDescent="0.25">
      <c r="A554">
        <v>109.85466</v>
      </c>
      <c r="B554" s="1">
        <f>DATE(2010,8,18) + TIME(20,30,42)</f>
        <v>40408.85465277778</v>
      </c>
      <c r="C554">
        <v>80</v>
      </c>
      <c r="D554">
        <v>79.936584472999996</v>
      </c>
      <c r="E554">
        <v>50</v>
      </c>
      <c r="F554">
        <v>31.652441025000002</v>
      </c>
      <c r="G554">
        <v>1337.6043701000001</v>
      </c>
      <c r="H554">
        <v>1335.7395019999999</v>
      </c>
      <c r="I554">
        <v>1324.7446289</v>
      </c>
      <c r="J554">
        <v>1322.0950928</v>
      </c>
      <c r="K554">
        <v>1650</v>
      </c>
      <c r="L554">
        <v>0</v>
      </c>
      <c r="M554">
        <v>0</v>
      </c>
      <c r="N554">
        <v>1650</v>
      </c>
    </row>
    <row r="555" spans="1:14" x14ac:dyDescent="0.25">
      <c r="A555">
        <v>110.620835</v>
      </c>
      <c r="B555" s="1">
        <f>DATE(2010,8,19) + TIME(14,54,0)</f>
        <v>40409.620833333334</v>
      </c>
      <c r="C555">
        <v>80</v>
      </c>
      <c r="D555">
        <v>79.936637877999999</v>
      </c>
      <c r="E555">
        <v>50</v>
      </c>
      <c r="F555">
        <v>32.162803650000001</v>
      </c>
      <c r="G555">
        <v>1337.6008300999999</v>
      </c>
      <c r="H555">
        <v>1335.7368164</v>
      </c>
      <c r="I555">
        <v>1324.7536620999999</v>
      </c>
      <c r="J555">
        <v>1322.1120605000001</v>
      </c>
      <c r="K555">
        <v>1650</v>
      </c>
      <c r="L555">
        <v>0</v>
      </c>
      <c r="M555">
        <v>0</v>
      </c>
      <c r="N555">
        <v>1650</v>
      </c>
    </row>
    <row r="556" spans="1:14" x14ac:dyDescent="0.25">
      <c r="A556">
        <v>111.398697</v>
      </c>
      <c r="B556" s="1">
        <f>DATE(2010,8,20) + TIME(9,34,7)</f>
        <v>40410.398692129631</v>
      </c>
      <c r="C556">
        <v>80</v>
      </c>
      <c r="D556">
        <v>79.936683654999996</v>
      </c>
      <c r="E556">
        <v>50</v>
      </c>
      <c r="F556">
        <v>32.681434631000002</v>
      </c>
      <c r="G556">
        <v>1337.5972899999999</v>
      </c>
      <c r="H556">
        <v>1335.7341309000001</v>
      </c>
      <c r="I556">
        <v>1324.7626952999999</v>
      </c>
      <c r="J556">
        <v>1322.1295166</v>
      </c>
      <c r="K556">
        <v>1650</v>
      </c>
      <c r="L556">
        <v>0</v>
      </c>
      <c r="M556">
        <v>0</v>
      </c>
      <c r="N556">
        <v>1650</v>
      </c>
    </row>
    <row r="557" spans="1:14" x14ac:dyDescent="0.25">
      <c r="A557">
        <v>112.187769</v>
      </c>
      <c r="B557" s="1">
        <f>DATE(2010,8,21) + TIME(4,30,23)</f>
        <v>40411.1877662037</v>
      </c>
      <c r="C557">
        <v>80</v>
      </c>
      <c r="D557">
        <v>79.936737061000002</v>
      </c>
      <c r="E557">
        <v>50</v>
      </c>
      <c r="F557">
        <v>33.201004028</v>
      </c>
      <c r="G557">
        <v>1337.59375</v>
      </c>
      <c r="H557">
        <v>1335.7314452999999</v>
      </c>
      <c r="I557">
        <v>1324.7719727000001</v>
      </c>
      <c r="J557">
        <v>1322.1474608999999</v>
      </c>
      <c r="K557">
        <v>1650</v>
      </c>
      <c r="L557">
        <v>0</v>
      </c>
      <c r="M557">
        <v>0</v>
      </c>
      <c r="N557">
        <v>1650</v>
      </c>
    </row>
    <row r="558" spans="1:14" x14ac:dyDescent="0.25">
      <c r="A558">
        <v>112.986636</v>
      </c>
      <c r="B558" s="1">
        <f>DATE(2010,8,21) + TIME(23,40,45)</f>
        <v>40411.986631944441</v>
      </c>
      <c r="C558">
        <v>80</v>
      </c>
      <c r="D558">
        <v>79.936782836999996</v>
      </c>
      <c r="E558">
        <v>50</v>
      </c>
      <c r="F558">
        <v>33.717174530000001</v>
      </c>
      <c r="G558">
        <v>1337.5900879000001</v>
      </c>
      <c r="H558">
        <v>1335.7287598</v>
      </c>
      <c r="I558">
        <v>1324.7813721</v>
      </c>
      <c r="J558">
        <v>1322.1656493999999</v>
      </c>
      <c r="K558">
        <v>1650</v>
      </c>
      <c r="L558">
        <v>0</v>
      </c>
      <c r="M558">
        <v>0</v>
      </c>
      <c r="N558">
        <v>1650</v>
      </c>
    </row>
    <row r="559" spans="1:14" x14ac:dyDescent="0.25">
      <c r="A559">
        <v>113.79788000000001</v>
      </c>
      <c r="B559" s="1">
        <f>DATE(2010,8,22) + TIME(19,8,56)</f>
        <v>40412.79787037037</v>
      </c>
      <c r="C559">
        <v>80</v>
      </c>
      <c r="D559">
        <v>79.936836243000002</v>
      </c>
      <c r="E559">
        <v>50</v>
      </c>
      <c r="F559">
        <v>34.228626251000001</v>
      </c>
      <c r="G559">
        <v>1337.5865478999999</v>
      </c>
      <c r="H559">
        <v>1335.7260742000001</v>
      </c>
      <c r="I559">
        <v>1324.7911377</v>
      </c>
      <c r="J559">
        <v>1322.1839600000001</v>
      </c>
      <c r="K559">
        <v>1650</v>
      </c>
      <c r="L559">
        <v>0</v>
      </c>
      <c r="M559">
        <v>0</v>
      </c>
      <c r="N559">
        <v>1650</v>
      </c>
    </row>
    <row r="560" spans="1:14" x14ac:dyDescent="0.25">
      <c r="A560">
        <v>114.61944800000001</v>
      </c>
      <c r="B560" s="1">
        <f>DATE(2010,8,23) + TIME(14,52,0)</f>
        <v>40413.619444444441</v>
      </c>
      <c r="C560">
        <v>80</v>
      </c>
      <c r="D560">
        <v>79.936889648000005</v>
      </c>
      <c r="E560">
        <v>50</v>
      </c>
      <c r="F560">
        <v>34.734077454000001</v>
      </c>
      <c r="G560">
        <v>1337.5830077999999</v>
      </c>
      <c r="H560">
        <v>1335.7233887</v>
      </c>
      <c r="I560">
        <v>1324.8011475000001</v>
      </c>
      <c r="J560">
        <v>1322.2026367000001</v>
      </c>
      <c r="K560">
        <v>1650</v>
      </c>
      <c r="L560">
        <v>0</v>
      </c>
      <c r="M560">
        <v>0</v>
      </c>
      <c r="N560">
        <v>1650</v>
      </c>
    </row>
    <row r="561" spans="1:14" x14ac:dyDescent="0.25">
      <c r="A561">
        <v>115.031729</v>
      </c>
      <c r="B561" s="1">
        <f>DATE(2010,8,24) + TIME(0,45,41)</f>
        <v>40414.031724537039</v>
      </c>
      <c r="C561">
        <v>80</v>
      </c>
      <c r="D561">
        <v>79.936904906999999</v>
      </c>
      <c r="E561">
        <v>50</v>
      </c>
      <c r="F561">
        <v>35.066509246999999</v>
      </c>
      <c r="G561">
        <v>1337.5794678</v>
      </c>
      <c r="H561">
        <v>1335.7207031</v>
      </c>
      <c r="I561">
        <v>1324.8150635</v>
      </c>
      <c r="J561">
        <v>1322.2194824000001</v>
      </c>
      <c r="K561">
        <v>1650</v>
      </c>
      <c r="L561">
        <v>0</v>
      </c>
      <c r="M561">
        <v>0</v>
      </c>
      <c r="N561">
        <v>1650</v>
      </c>
    </row>
    <row r="562" spans="1:14" x14ac:dyDescent="0.25">
      <c r="A562">
        <v>115.443896</v>
      </c>
      <c r="B562" s="1">
        <f>DATE(2010,8,24) + TIME(10,39,12)</f>
        <v>40414.443888888891</v>
      </c>
      <c r="C562">
        <v>80</v>
      </c>
      <c r="D562">
        <v>79.936927795000003</v>
      </c>
      <c r="E562">
        <v>50</v>
      </c>
      <c r="F562">
        <v>35.367069244</v>
      </c>
      <c r="G562">
        <v>1337.5776367000001</v>
      </c>
      <c r="H562">
        <v>1335.7193603999999</v>
      </c>
      <c r="I562">
        <v>1324.8194579999999</v>
      </c>
      <c r="J562">
        <v>1322.2303466999999</v>
      </c>
      <c r="K562">
        <v>1650</v>
      </c>
      <c r="L562">
        <v>0</v>
      </c>
      <c r="M562">
        <v>0</v>
      </c>
      <c r="N562">
        <v>1650</v>
      </c>
    </row>
    <row r="563" spans="1:14" x14ac:dyDescent="0.25">
      <c r="A563">
        <v>115.855485</v>
      </c>
      <c r="B563" s="1">
        <f>DATE(2010,8,24) + TIME(20,31,53)</f>
        <v>40414.855474537035</v>
      </c>
      <c r="C563">
        <v>80</v>
      </c>
      <c r="D563">
        <v>79.936958313000005</v>
      </c>
      <c r="E563">
        <v>50</v>
      </c>
      <c r="F563">
        <v>35.645111084</v>
      </c>
      <c r="G563">
        <v>1337.5759277</v>
      </c>
      <c r="H563">
        <v>1335.7181396000001</v>
      </c>
      <c r="I563">
        <v>1324.8242187999999</v>
      </c>
      <c r="J563">
        <v>1322.2407227000001</v>
      </c>
      <c r="K563">
        <v>1650</v>
      </c>
      <c r="L563">
        <v>0</v>
      </c>
      <c r="M563">
        <v>0</v>
      </c>
      <c r="N563">
        <v>1650</v>
      </c>
    </row>
    <row r="564" spans="1:14" x14ac:dyDescent="0.25">
      <c r="A564">
        <v>116.266829</v>
      </c>
      <c r="B564" s="1">
        <f>DATE(2010,8,25) + TIME(6,24,14)</f>
        <v>40415.266828703701</v>
      </c>
      <c r="C564">
        <v>80</v>
      </c>
      <c r="D564">
        <v>79.936981200999995</v>
      </c>
      <c r="E564">
        <v>50</v>
      </c>
      <c r="F564">
        <v>35.907203674000002</v>
      </c>
      <c r="G564">
        <v>1337.5740966999999</v>
      </c>
      <c r="H564">
        <v>1335.7167969</v>
      </c>
      <c r="I564">
        <v>1324.8292236</v>
      </c>
      <c r="J564">
        <v>1322.2508545000001</v>
      </c>
      <c r="K564">
        <v>1650</v>
      </c>
      <c r="L564">
        <v>0</v>
      </c>
      <c r="M564">
        <v>0</v>
      </c>
      <c r="N564">
        <v>1650</v>
      </c>
    </row>
    <row r="565" spans="1:14" x14ac:dyDescent="0.25">
      <c r="A565">
        <v>116.678174</v>
      </c>
      <c r="B565" s="1">
        <f>DATE(2010,8,25) + TIME(16,16,34)</f>
        <v>40415.678171296298</v>
      </c>
      <c r="C565">
        <v>80</v>
      </c>
      <c r="D565">
        <v>79.937004088999998</v>
      </c>
      <c r="E565">
        <v>50</v>
      </c>
      <c r="F565">
        <v>36.157741547000001</v>
      </c>
      <c r="G565">
        <v>1337.5723877</v>
      </c>
      <c r="H565">
        <v>1335.7154541</v>
      </c>
      <c r="I565">
        <v>1324.8342285000001</v>
      </c>
      <c r="J565">
        <v>1322.2607422000001</v>
      </c>
      <c r="K565">
        <v>1650</v>
      </c>
      <c r="L565">
        <v>0</v>
      </c>
      <c r="M565">
        <v>0</v>
      </c>
      <c r="N565">
        <v>1650</v>
      </c>
    </row>
    <row r="566" spans="1:14" x14ac:dyDescent="0.25">
      <c r="A566">
        <v>117.089518</v>
      </c>
      <c r="B566" s="1">
        <f>DATE(2010,8,26) + TIME(2,8,54)</f>
        <v>40416.089513888888</v>
      </c>
      <c r="C566">
        <v>80</v>
      </c>
      <c r="D566">
        <v>79.937034607000001</v>
      </c>
      <c r="E566">
        <v>50</v>
      </c>
      <c r="F566">
        <v>36.399604797000002</v>
      </c>
      <c r="G566">
        <v>1337.5706786999999</v>
      </c>
      <c r="H566">
        <v>1335.7142334</v>
      </c>
      <c r="I566">
        <v>1324.8394774999999</v>
      </c>
      <c r="J566">
        <v>1322.2703856999999</v>
      </c>
      <c r="K566">
        <v>1650</v>
      </c>
      <c r="L566">
        <v>0</v>
      </c>
      <c r="M566">
        <v>0</v>
      </c>
      <c r="N566">
        <v>1650</v>
      </c>
    </row>
    <row r="567" spans="1:14" x14ac:dyDescent="0.25">
      <c r="A567">
        <v>117.500863</v>
      </c>
      <c r="B567" s="1">
        <f>DATE(2010,8,26) + TIME(12,1,14)</f>
        <v>40416.500856481478</v>
      </c>
      <c r="C567">
        <v>80</v>
      </c>
      <c r="D567">
        <v>79.937057495000005</v>
      </c>
      <c r="E567">
        <v>50</v>
      </c>
      <c r="F567">
        <v>36.634712219000001</v>
      </c>
      <c r="G567">
        <v>1337.5689697</v>
      </c>
      <c r="H567">
        <v>1335.7130127</v>
      </c>
      <c r="I567">
        <v>1324.8447266000001</v>
      </c>
      <c r="J567">
        <v>1322.2800293</v>
      </c>
      <c r="K567">
        <v>1650</v>
      </c>
      <c r="L567">
        <v>0</v>
      </c>
      <c r="M567">
        <v>0</v>
      </c>
      <c r="N567">
        <v>1650</v>
      </c>
    </row>
    <row r="568" spans="1:14" x14ac:dyDescent="0.25">
      <c r="A568">
        <v>117.912207</v>
      </c>
      <c r="B568" s="1">
        <f>DATE(2010,8,26) + TIME(21,53,34)</f>
        <v>40416.912199074075</v>
      </c>
      <c r="C568">
        <v>80</v>
      </c>
      <c r="D568">
        <v>79.937080382999994</v>
      </c>
      <c r="E568">
        <v>50</v>
      </c>
      <c r="F568">
        <v>36.864368439000003</v>
      </c>
      <c r="G568">
        <v>1337.5672606999999</v>
      </c>
      <c r="H568">
        <v>1335.7116699000001</v>
      </c>
      <c r="I568">
        <v>1324.8500977000001</v>
      </c>
      <c r="J568">
        <v>1322.2895507999999</v>
      </c>
      <c r="K568">
        <v>1650</v>
      </c>
      <c r="L568">
        <v>0</v>
      </c>
      <c r="M568">
        <v>0</v>
      </c>
      <c r="N568">
        <v>1650</v>
      </c>
    </row>
    <row r="569" spans="1:14" x14ac:dyDescent="0.25">
      <c r="A569">
        <v>118.32355200000001</v>
      </c>
      <c r="B569" s="1">
        <f>DATE(2010,8,27) + TIME(7,45,54)</f>
        <v>40417.323541666665</v>
      </c>
      <c r="C569">
        <v>80</v>
      </c>
      <c r="D569">
        <v>79.937110900999997</v>
      </c>
      <c r="E569">
        <v>50</v>
      </c>
      <c r="F569">
        <v>37.089443207000002</v>
      </c>
      <c r="G569">
        <v>1337.5656738</v>
      </c>
      <c r="H569">
        <v>1335.7104492000001</v>
      </c>
      <c r="I569">
        <v>1324.8554687999999</v>
      </c>
      <c r="J569">
        <v>1322.2989502</v>
      </c>
      <c r="K569">
        <v>1650</v>
      </c>
      <c r="L569">
        <v>0</v>
      </c>
      <c r="M569">
        <v>0</v>
      </c>
      <c r="N569">
        <v>1650</v>
      </c>
    </row>
    <row r="570" spans="1:14" x14ac:dyDescent="0.25">
      <c r="A570">
        <v>118.73489600000001</v>
      </c>
      <c r="B570" s="1">
        <f>DATE(2010,8,27) + TIME(17,38,15)</f>
        <v>40417.734895833331</v>
      </c>
      <c r="C570">
        <v>80</v>
      </c>
      <c r="D570">
        <v>79.937133789000001</v>
      </c>
      <c r="E570">
        <v>50</v>
      </c>
      <c r="F570">
        <v>37.310539245999998</v>
      </c>
      <c r="G570">
        <v>1337.5639647999999</v>
      </c>
      <c r="H570">
        <v>1335.7092285000001</v>
      </c>
      <c r="I570">
        <v>1324.8608397999999</v>
      </c>
      <c r="J570">
        <v>1322.3084716999999</v>
      </c>
      <c r="K570">
        <v>1650</v>
      </c>
      <c r="L570">
        <v>0</v>
      </c>
      <c r="M570">
        <v>0</v>
      </c>
      <c r="N570">
        <v>1650</v>
      </c>
    </row>
    <row r="571" spans="1:14" x14ac:dyDescent="0.25">
      <c r="A571">
        <v>119.557585</v>
      </c>
      <c r="B571" s="1">
        <f>DATE(2010,8,28) + TIME(13,22,55)</f>
        <v>40418.557581018518</v>
      </c>
      <c r="C571">
        <v>80</v>
      </c>
      <c r="D571">
        <v>79.937202454000001</v>
      </c>
      <c r="E571">
        <v>50</v>
      </c>
      <c r="F571">
        <v>37.634109496999997</v>
      </c>
      <c r="G571">
        <v>1337.5622559000001</v>
      </c>
      <c r="H571">
        <v>1335.7080077999999</v>
      </c>
      <c r="I571">
        <v>1324.8642577999999</v>
      </c>
      <c r="J571">
        <v>1322.3192139</v>
      </c>
      <c r="K571">
        <v>1650</v>
      </c>
      <c r="L571">
        <v>0</v>
      </c>
      <c r="M571">
        <v>0</v>
      </c>
      <c r="N571">
        <v>1650</v>
      </c>
    </row>
    <row r="572" spans="1:14" x14ac:dyDescent="0.25">
      <c r="A572">
        <v>120.38237100000001</v>
      </c>
      <c r="B572" s="1">
        <f>DATE(2010,8,29) + TIME(9,10,36)</f>
        <v>40419.382361111115</v>
      </c>
      <c r="C572">
        <v>80</v>
      </c>
      <c r="D572">
        <v>79.937255859000004</v>
      </c>
      <c r="E572">
        <v>50</v>
      </c>
      <c r="F572">
        <v>38.005142212000003</v>
      </c>
      <c r="G572">
        <v>1337.559082</v>
      </c>
      <c r="H572">
        <v>1335.7055664</v>
      </c>
      <c r="I572">
        <v>1324.8756103999999</v>
      </c>
      <c r="J572">
        <v>1322.3359375</v>
      </c>
      <c r="K572">
        <v>1650</v>
      </c>
      <c r="L572">
        <v>0</v>
      </c>
      <c r="M572">
        <v>0</v>
      </c>
      <c r="N572">
        <v>1650</v>
      </c>
    </row>
    <row r="573" spans="1:14" x14ac:dyDescent="0.25">
      <c r="A573">
        <v>121.218333</v>
      </c>
      <c r="B573" s="1">
        <f>DATE(2010,8,30) + TIME(5,14,24)</f>
        <v>40420.218333333331</v>
      </c>
      <c r="C573">
        <v>80</v>
      </c>
      <c r="D573">
        <v>79.937309264999996</v>
      </c>
      <c r="E573">
        <v>50</v>
      </c>
      <c r="F573">
        <v>38.396820067999997</v>
      </c>
      <c r="G573">
        <v>1337.5557861</v>
      </c>
      <c r="H573">
        <v>1335.7032471</v>
      </c>
      <c r="I573">
        <v>1324.8868408000001</v>
      </c>
      <c r="J573">
        <v>1322.3535156</v>
      </c>
      <c r="K573">
        <v>1650</v>
      </c>
      <c r="L573">
        <v>0</v>
      </c>
      <c r="M573">
        <v>0</v>
      </c>
      <c r="N573">
        <v>1650</v>
      </c>
    </row>
    <row r="574" spans="1:14" x14ac:dyDescent="0.25">
      <c r="A574">
        <v>122.06799599999999</v>
      </c>
      <c r="B574" s="1">
        <f>DATE(2010,8,31) + TIME(1,37,54)</f>
        <v>40421.067986111113</v>
      </c>
      <c r="C574">
        <v>80</v>
      </c>
      <c r="D574">
        <v>79.937362671000002</v>
      </c>
      <c r="E574">
        <v>50</v>
      </c>
      <c r="F574">
        <v>38.796897887999997</v>
      </c>
      <c r="G574">
        <v>1337.5526123</v>
      </c>
      <c r="H574">
        <v>1335.7008057</v>
      </c>
      <c r="I574">
        <v>1324.8980713000001</v>
      </c>
      <c r="J574">
        <v>1322.3718262</v>
      </c>
      <c r="K574">
        <v>1650</v>
      </c>
      <c r="L574">
        <v>0</v>
      </c>
      <c r="M574">
        <v>0</v>
      </c>
      <c r="N574">
        <v>1650</v>
      </c>
    </row>
    <row r="575" spans="1:14" x14ac:dyDescent="0.25">
      <c r="A575">
        <v>122.93405799999999</v>
      </c>
      <c r="B575" s="1">
        <f>DATE(2010,8,31) + TIME(22,25,2)</f>
        <v>40421.934050925927</v>
      </c>
      <c r="C575">
        <v>80</v>
      </c>
      <c r="D575">
        <v>79.937423706000004</v>
      </c>
      <c r="E575">
        <v>50</v>
      </c>
      <c r="F575">
        <v>39.199890136999997</v>
      </c>
      <c r="G575">
        <v>1337.5493164</v>
      </c>
      <c r="H575">
        <v>1335.6984863</v>
      </c>
      <c r="I575">
        <v>1324.9095459</v>
      </c>
      <c r="J575">
        <v>1322.390625</v>
      </c>
      <c r="K575">
        <v>1650</v>
      </c>
      <c r="L575">
        <v>0</v>
      </c>
      <c r="M575">
        <v>0</v>
      </c>
      <c r="N575">
        <v>1650</v>
      </c>
    </row>
    <row r="576" spans="1:14" x14ac:dyDescent="0.25">
      <c r="A576">
        <v>123</v>
      </c>
      <c r="B576" s="1">
        <f>DATE(2010,9,1) + TIME(0,0,0)</f>
        <v>40422</v>
      </c>
      <c r="C576">
        <v>80</v>
      </c>
      <c r="D576">
        <v>79.937423706000004</v>
      </c>
      <c r="E576">
        <v>50</v>
      </c>
      <c r="F576">
        <v>39.259704589999998</v>
      </c>
      <c r="G576">
        <v>1337.5462646000001</v>
      </c>
      <c r="H576">
        <v>1335.6962891000001</v>
      </c>
      <c r="I576">
        <v>1324.9279785000001</v>
      </c>
      <c r="J576">
        <v>1322.4052733999999</v>
      </c>
      <c r="K576">
        <v>1650</v>
      </c>
      <c r="L576">
        <v>0</v>
      </c>
      <c r="M576">
        <v>0</v>
      </c>
      <c r="N576">
        <v>1650</v>
      </c>
    </row>
    <row r="577" spans="1:14" x14ac:dyDescent="0.25">
      <c r="A577">
        <v>123.87545799999999</v>
      </c>
      <c r="B577" s="1">
        <f>DATE(2010,9,1) + TIME(21,0,39)</f>
        <v>40422.875451388885</v>
      </c>
      <c r="C577">
        <v>80</v>
      </c>
      <c r="D577">
        <v>79.937484741000006</v>
      </c>
      <c r="E577">
        <v>50</v>
      </c>
      <c r="F577">
        <v>39.645168304000002</v>
      </c>
      <c r="G577">
        <v>1337.5457764</v>
      </c>
      <c r="H577">
        <v>1335.6959228999999</v>
      </c>
      <c r="I577">
        <v>1324.9221190999999</v>
      </c>
      <c r="J577">
        <v>1322.4118652</v>
      </c>
      <c r="K577">
        <v>1650</v>
      </c>
      <c r="L577">
        <v>0</v>
      </c>
      <c r="M577">
        <v>0</v>
      </c>
      <c r="N577">
        <v>1650</v>
      </c>
    </row>
    <row r="578" spans="1:14" x14ac:dyDescent="0.25">
      <c r="A578">
        <v>124.76381600000001</v>
      </c>
      <c r="B578" s="1">
        <f>DATE(2010,9,2) + TIME(18,19,53)</f>
        <v>40423.763807870368</v>
      </c>
      <c r="C578">
        <v>80</v>
      </c>
      <c r="D578">
        <v>79.937538146999998</v>
      </c>
      <c r="E578">
        <v>50</v>
      </c>
      <c r="F578">
        <v>40.036052703999999</v>
      </c>
      <c r="G578">
        <v>1337.5426024999999</v>
      </c>
      <c r="H578">
        <v>1335.6936035000001</v>
      </c>
      <c r="I578">
        <v>1324.9342041</v>
      </c>
      <c r="J578">
        <v>1322.4310303</v>
      </c>
      <c r="K578">
        <v>1650</v>
      </c>
      <c r="L578">
        <v>0</v>
      </c>
      <c r="M578">
        <v>0</v>
      </c>
      <c r="N578">
        <v>1650</v>
      </c>
    </row>
    <row r="579" spans="1:14" x14ac:dyDescent="0.25">
      <c r="A579">
        <v>125.21545</v>
      </c>
      <c r="B579" s="1">
        <f>DATE(2010,9,3) + TIME(5,10,14)</f>
        <v>40424.215439814812</v>
      </c>
      <c r="C579">
        <v>80</v>
      </c>
      <c r="D579">
        <v>79.937561035000002</v>
      </c>
      <c r="E579">
        <v>50</v>
      </c>
      <c r="F579">
        <v>40.305404662999997</v>
      </c>
      <c r="G579">
        <v>1337.5393065999999</v>
      </c>
      <c r="H579">
        <v>1335.6911620999999</v>
      </c>
      <c r="I579">
        <v>1324.9486084</v>
      </c>
      <c r="J579">
        <v>1322.4488524999999</v>
      </c>
      <c r="K579">
        <v>1650</v>
      </c>
      <c r="L579">
        <v>0</v>
      </c>
      <c r="M579">
        <v>0</v>
      </c>
      <c r="N579">
        <v>1650</v>
      </c>
    </row>
    <row r="580" spans="1:14" x14ac:dyDescent="0.25">
      <c r="A580">
        <v>125.666445</v>
      </c>
      <c r="B580" s="1">
        <f>DATE(2010,9,3) + TIME(15,59,40)</f>
        <v>40424.666435185187</v>
      </c>
      <c r="C580">
        <v>80</v>
      </c>
      <c r="D580">
        <v>79.937591553000004</v>
      </c>
      <c r="E580">
        <v>50</v>
      </c>
      <c r="F580">
        <v>40.546131133999999</v>
      </c>
      <c r="G580">
        <v>1337.5377197</v>
      </c>
      <c r="H580">
        <v>1335.6899414</v>
      </c>
      <c r="I580">
        <v>1324.9544678</v>
      </c>
      <c r="J580">
        <v>1322.4605713000001</v>
      </c>
      <c r="K580">
        <v>1650</v>
      </c>
      <c r="L580">
        <v>0</v>
      </c>
      <c r="M580">
        <v>0</v>
      </c>
      <c r="N580">
        <v>1650</v>
      </c>
    </row>
    <row r="581" spans="1:14" x14ac:dyDescent="0.25">
      <c r="A581">
        <v>126.116095</v>
      </c>
      <c r="B581" s="1">
        <f>DATE(2010,9,4) + TIME(2,47,10)</f>
        <v>40425.116087962961</v>
      </c>
      <c r="C581">
        <v>80</v>
      </c>
      <c r="D581">
        <v>79.937614440999994</v>
      </c>
      <c r="E581">
        <v>50</v>
      </c>
      <c r="F581">
        <v>40.767860413000001</v>
      </c>
      <c r="G581">
        <v>1337.5360106999999</v>
      </c>
      <c r="H581">
        <v>1335.6888428</v>
      </c>
      <c r="I581">
        <v>1324.9605713000001</v>
      </c>
      <c r="J581">
        <v>1322.4716797000001</v>
      </c>
      <c r="K581">
        <v>1650</v>
      </c>
      <c r="L581">
        <v>0</v>
      </c>
      <c r="M581">
        <v>0</v>
      </c>
      <c r="N581">
        <v>1650</v>
      </c>
    </row>
    <row r="582" spans="1:14" x14ac:dyDescent="0.25">
      <c r="A582">
        <v>126.564791</v>
      </c>
      <c r="B582" s="1">
        <f>DATE(2010,9,4) + TIME(13,33,17)</f>
        <v>40425.564780092594</v>
      </c>
      <c r="C582">
        <v>80</v>
      </c>
      <c r="D582">
        <v>79.937644958000007</v>
      </c>
      <c r="E582">
        <v>50</v>
      </c>
      <c r="F582">
        <v>40.976894379000001</v>
      </c>
      <c r="G582">
        <v>1337.5344238</v>
      </c>
      <c r="H582">
        <v>1335.6876221</v>
      </c>
      <c r="I582">
        <v>1324.9666748</v>
      </c>
      <c r="J582">
        <v>1322.4824219</v>
      </c>
      <c r="K582">
        <v>1650</v>
      </c>
      <c r="L582">
        <v>0</v>
      </c>
      <c r="M582">
        <v>0</v>
      </c>
      <c r="N582">
        <v>1650</v>
      </c>
    </row>
    <row r="583" spans="1:14" x14ac:dyDescent="0.25">
      <c r="A583">
        <v>127.012913</v>
      </c>
      <c r="B583" s="1">
        <f>DATE(2010,9,5) + TIME(0,18,35)</f>
        <v>40426.01290509259</v>
      </c>
      <c r="C583">
        <v>80</v>
      </c>
      <c r="D583">
        <v>79.937675475999995</v>
      </c>
      <c r="E583">
        <v>50</v>
      </c>
      <c r="F583">
        <v>41.177246093999997</v>
      </c>
      <c r="G583">
        <v>1337.5328368999999</v>
      </c>
      <c r="H583">
        <v>1335.6865233999999</v>
      </c>
      <c r="I583">
        <v>1324.9727783000001</v>
      </c>
      <c r="J583">
        <v>1322.4929199000001</v>
      </c>
      <c r="K583">
        <v>1650</v>
      </c>
      <c r="L583">
        <v>0</v>
      </c>
      <c r="M583">
        <v>0</v>
      </c>
      <c r="N583">
        <v>1650</v>
      </c>
    </row>
    <row r="584" spans="1:14" x14ac:dyDescent="0.25">
      <c r="A584">
        <v>127.460837</v>
      </c>
      <c r="B584" s="1">
        <f>DATE(2010,9,5) + TIME(11,3,36)</f>
        <v>40426.460833333331</v>
      </c>
      <c r="C584">
        <v>80</v>
      </c>
      <c r="D584">
        <v>79.937698363999999</v>
      </c>
      <c r="E584">
        <v>50</v>
      </c>
      <c r="F584">
        <v>41.371490479000002</v>
      </c>
      <c r="G584">
        <v>1337.5313721</v>
      </c>
      <c r="H584">
        <v>1335.6854248</v>
      </c>
      <c r="I584">
        <v>1324.9790039</v>
      </c>
      <c r="J584">
        <v>1322.5031738</v>
      </c>
      <c r="K584">
        <v>1650</v>
      </c>
      <c r="L584">
        <v>0</v>
      </c>
      <c r="M584">
        <v>0</v>
      </c>
      <c r="N584">
        <v>1650</v>
      </c>
    </row>
    <row r="585" spans="1:14" x14ac:dyDescent="0.25">
      <c r="A585">
        <v>127.908761</v>
      </c>
      <c r="B585" s="1">
        <f>DATE(2010,9,5) + TIME(21,48,36)</f>
        <v>40426.908750000002</v>
      </c>
      <c r="C585">
        <v>80</v>
      </c>
      <c r="D585">
        <v>79.937728882000002</v>
      </c>
      <c r="E585">
        <v>50</v>
      </c>
      <c r="F585">
        <v>41.561260222999998</v>
      </c>
      <c r="G585">
        <v>1337.5297852000001</v>
      </c>
      <c r="H585">
        <v>1335.6842041</v>
      </c>
      <c r="I585">
        <v>1324.9851074000001</v>
      </c>
      <c r="J585">
        <v>1322.5133057</v>
      </c>
      <c r="K585">
        <v>1650</v>
      </c>
      <c r="L585">
        <v>0</v>
      </c>
      <c r="M585">
        <v>0</v>
      </c>
      <c r="N585">
        <v>1650</v>
      </c>
    </row>
    <row r="586" spans="1:14" x14ac:dyDescent="0.25">
      <c r="A586">
        <v>128.356685</v>
      </c>
      <c r="B586" s="1">
        <f>DATE(2010,9,6) + TIME(8,33,37)</f>
        <v>40427.356678240743</v>
      </c>
      <c r="C586">
        <v>80</v>
      </c>
      <c r="D586">
        <v>79.937759399000001</v>
      </c>
      <c r="E586">
        <v>50</v>
      </c>
      <c r="F586">
        <v>41.747566223</v>
      </c>
      <c r="G586">
        <v>1337.5281981999999</v>
      </c>
      <c r="H586">
        <v>1335.6831055</v>
      </c>
      <c r="I586">
        <v>1324.9913329999999</v>
      </c>
      <c r="J586">
        <v>1322.5234375</v>
      </c>
      <c r="K586">
        <v>1650</v>
      </c>
      <c r="L586">
        <v>0</v>
      </c>
      <c r="M586">
        <v>0</v>
      </c>
      <c r="N586">
        <v>1650</v>
      </c>
    </row>
    <row r="587" spans="1:14" x14ac:dyDescent="0.25">
      <c r="A587">
        <v>128.804609</v>
      </c>
      <c r="B587" s="1">
        <f>DATE(2010,9,6) + TIME(19,18,38)</f>
        <v>40427.804606481484</v>
      </c>
      <c r="C587">
        <v>80</v>
      </c>
      <c r="D587">
        <v>79.937789917000003</v>
      </c>
      <c r="E587">
        <v>50</v>
      </c>
      <c r="F587">
        <v>41.931056976000001</v>
      </c>
      <c r="G587">
        <v>1337.5267334</v>
      </c>
      <c r="H587">
        <v>1335.6820068</v>
      </c>
      <c r="I587">
        <v>1324.9974365</v>
      </c>
      <c r="J587">
        <v>1322.5334473</v>
      </c>
      <c r="K587">
        <v>1650</v>
      </c>
      <c r="L587">
        <v>0</v>
      </c>
      <c r="M587">
        <v>0</v>
      </c>
      <c r="N587">
        <v>1650</v>
      </c>
    </row>
    <row r="588" spans="1:14" x14ac:dyDescent="0.25">
      <c r="A588">
        <v>129.700458</v>
      </c>
      <c r="B588" s="1">
        <f>DATE(2010,9,7) + TIME(16,48,39)</f>
        <v>40428.70045138889</v>
      </c>
      <c r="C588">
        <v>80</v>
      </c>
      <c r="D588">
        <v>79.937858582000004</v>
      </c>
      <c r="E588">
        <v>50</v>
      </c>
      <c r="F588">
        <v>42.194408416999998</v>
      </c>
      <c r="G588">
        <v>1337.5251464999999</v>
      </c>
      <c r="H588">
        <v>1335.6809082</v>
      </c>
      <c r="I588">
        <v>1325.0021973</v>
      </c>
      <c r="J588">
        <v>1322.5446777</v>
      </c>
      <c r="K588">
        <v>1650</v>
      </c>
      <c r="L588">
        <v>0</v>
      </c>
      <c r="M588">
        <v>0</v>
      </c>
      <c r="N588">
        <v>1650</v>
      </c>
    </row>
    <row r="589" spans="1:14" x14ac:dyDescent="0.25">
      <c r="A589">
        <v>130.59698399999999</v>
      </c>
      <c r="B589" s="1">
        <f>DATE(2010,9,8) + TIME(14,19,39)</f>
        <v>40429.596979166665</v>
      </c>
      <c r="C589">
        <v>80</v>
      </c>
      <c r="D589">
        <v>79.937919617000006</v>
      </c>
      <c r="E589">
        <v>50</v>
      </c>
      <c r="F589">
        <v>42.505214690999999</v>
      </c>
      <c r="G589">
        <v>1337.5222168</v>
      </c>
      <c r="H589">
        <v>1335.6788329999999</v>
      </c>
      <c r="I589">
        <v>1325.0144043</v>
      </c>
      <c r="J589">
        <v>1322.5620117000001</v>
      </c>
      <c r="K589">
        <v>1650</v>
      </c>
      <c r="L589">
        <v>0</v>
      </c>
      <c r="M589">
        <v>0</v>
      </c>
      <c r="N589">
        <v>1650</v>
      </c>
    </row>
    <row r="590" spans="1:14" x14ac:dyDescent="0.25">
      <c r="A590">
        <v>131.50360599999999</v>
      </c>
      <c r="B590" s="1">
        <f>DATE(2010,9,9) + TIME(12,5,11)</f>
        <v>40430.503599537034</v>
      </c>
      <c r="C590">
        <v>80</v>
      </c>
      <c r="D590">
        <v>79.937980651999993</v>
      </c>
      <c r="E590">
        <v>50</v>
      </c>
      <c r="F590">
        <v>42.835704802999999</v>
      </c>
      <c r="G590">
        <v>1337.5191649999999</v>
      </c>
      <c r="H590">
        <v>1335.6766356999999</v>
      </c>
      <c r="I590">
        <v>1325.0266113</v>
      </c>
      <c r="J590">
        <v>1322.5804443</v>
      </c>
      <c r="K590">
        <v>1650</v>
      </c>
      <c r="L590">
        <v>0</v>
      </c>
      <c r="M590">
        <v>0</v>
      </c>
      <c r="N590">
        <v>1650</v>
      </c>
    </row>
    <row r="591" spans="1:14" x14ac:dyDescent="0.25">
      <c r="A591">
        <v>132.42315099999999</v>
      </c>
      <c r="B591" s="1">
        <f>DATE(2010,9,10) + TIME(10,9,20)</f>
        <v>40431.423148148147</v>
      </c>
      <c r="C591">
        <v>80</v>
      </c>
      <c r="D591">
        <v>79.938041686999995</v>
      </c>
      <c r="E591">
        <v>50</v>
      </c>
      <c r="F591">
        <v>43.174156189000001</v>
      </c>
      <c r="G591">
        <v>1337.5162353999999</v>
      </c>
      <c r="H591">
        <v>1335.6745605000001</v>
      </c>
      <c r="I591">
        <v>1325.0388184000001</v>
      </c>
      <c r="J591">
        <v>1322.5993652</v>
      </c>
      <c r="K591">
        <v>1650</v>
      </c>
      <c r="L591">
        <v>0</v>
      </c>
      <c r="M591">
        <v>0</v>
      </c>
      <c r="N591">
        <v>1650</v>
      </c>
    </row>
    <row r="592" spans="1:14" x14ac:dyDescent="0.25">
      <c r="A592">
        <v>133.356019</v>
      </c>
      <c r="B592" s="1">
        <f>DATE(2010,9,11) + TIME(8,32,40)</f>
        <v>40432.35601851852</v>
      </c>
      <c r="C592">
        <v>80</v>
      </c>
      <c r="D592">
        <v>79.938102721999996</v>
      </c>
      <c r="E592">
        <v>50</v>
      </c>
      <c r="F592">
        <v>43.515228270999998</v>
      </c>
      <c r="G592">
        <v>1337.5133057</v>
      </c>
      <c r="H592">
        <v>1335.6724853999999</v>
      </c>
      <c r="I592">
        <v>1325.0511475000001</v>
      </c>
      <c r="J592">
        <v>1322.6186522999999</v>
      </c>
      <c r="K592">
        <v>1650</v>
      </c>
      <c r="L592">
        <v>0</v>
      </c>
      <c r="M592">
        <v>0</v>
      </c>
      <c r="N592">
        <v>1650</v>
      </c>
    </row>
    <row r="593" spans="1:14" x14ac:dyDescent="0.25">
      <c r="A593">
        <v>134.30031500000001</v>
      </c>
      <c r="B593" s="1">
        <f>DATE(2010,9,12) + TIME(7,12,27)</f>
        <v>40433.300312500003</v>
      </c>
      <c r="C593">
        <v>80</v>
      </c>
      <c r="D593">
        <v>79.938163756999998</v>
      </c>
      <c r="E593">
        <v>50</v>
      </c>
      <c r="F593">
        <v>43.856033324999999</v>
      </c>
      <c r="G593">
        <v>1337.510376</v>
      </c>
      <c r="H593">
        <v>1335.6704102000001</v>
      </c>
      <c r="I593">
        <v>1325.0635986</v>
      </c>
      <c r="J593">
        <v>1322.6381836</v>
      </c>
      <c r="K593">
        <v>1650</v>
      </c>
      <c r="L593">
        <v>0</v>
      </c>
      <c r="M593">
        <v>0</v>
      </c>
      <c r="N593">
        <v>1650</v>
      </c>
    </row>
    <row r="594" spans="1:14" x14ac:dyDescent="0.25">
      <c r="A594">
        <v>135.259265</v>
      </c>
      <c r="B594" s="1">
        <f>DATE(2010,9,13) + TIME(6,13,20)</f>
        <v>40434.259259259263</v>
      </c>
      <c r="C594">
        <v>80</v>
      </c>
      <c r="D594">
        <v>79.938224792</v>
      </c>
      <c r="E594">
        <v>50</v>
      </c>
      <c r="F594">
        <v>44.195537567000002</v>
      </c>
      <c r="G594">
        <v>1337.5074463000001</v>
      </c>
      <c r="H594">
        <v>1335.6683350000001</v>
      </c>
      <c r="I594">
        <v>1325.0761719</v>
      </c>
      <c r="J594">
        <v>1322.6578368999999</v>
      </c>
      <c r="K594">
        <v>1650</v>
      </c>
      <c r="L594">
        <v>0</v>
      </c>
      <c r="M594">
        <v>0</v>
      </c>
      <c r="N594">
        <v>1650</v>
      </c>
    </row>
    <row r="595" spans="1:14" x14ac:dyDescent="0.25">
      <c r="A595">
        <v>136.22723500000001</v>
      </c>
      <c r="B595" s="1">
        <f>DATE(2010,9,14) + TIME(5,27,13)</f>
        <v>40435.227233796293</v>
      </c>
      <c r="C595">
        <v>80</v>
      </c>
      <c r="D595">
        <v>79.938285828000005</v>
      </c>
      <c r="E595">
        <v>50</v>
      </c>
      <c r="F595">
        <v>44.532409668</v>
      </c>
      <c r="G595">
        <v>1337.5045166</v>
      </c>
      <c r="H595">
        <v>1335.6662598</v>
      </c>
      <c r="I595">
        <v>1325.0888672000001</v>
      </c>
      <c r="J595">
        <v>1322.6776123</v>
      </c>
      <c r="K595">
        <v>1650</v>
      </c>
      <c r="L595">
        <v>0</v>
      </c>
      <c r="M595">
        <v>0</v>
      </c>
      <c r="N595">
        <v>1650</v>
      </c>
    </row>
    <row r="596" spans="1:14" x14ac:dyDescent="0.25">
      <c r="A596">
        <v>136.71722199999999</v>
      </c>
      <c r="B596" s="1">
        <f>DATE(2010,9,14) + TIME(17,12,47)</f>
        <v>40435.717210648145</v>
      </c>
      <c r="C596">
        <v>80</v>
      </c>
      <c r="D596">
        <v>79.938316345000004</v>
      </c>
      <c r="E596">
        <v>50</v>
      </c>
      <c r="F596">
        <v>44.766609191999997</v>
      </c>
      <c r="G596">
        <v>1337.5015868999999</v>
      </c>
      <c r="H596">
        <v>1335.6641846</v>
      </c>
      <c r="I596">
        <v>1325.1031493999999</v>
      </c>
      <c r="J596">
        <v>1322.6956786999999</v>
      </c>
      <c r="K596">
        <v>1650</v>
      </c>
      <c r="L596">
        <v>0</v>
      </c>
      <c r="M596">
        <v>0</v>
      </c>
      <c r="N596">
        <v>1650</v>
      </c>
    </row>
    <row r="597" spans="1:14" x14ac:dyDescent="0.25">
      <c r="A597">
        <v>137.20720900000001</v>
      </c>
      <c r="B597" s="1">
        <f>DATE(2010,9,15) + TIME(4,58,22)</f>
        <v>40436.207199074073</v>
      </c>
      <c r="C597">
        <v>80</v>
      </c>
      <c r="D597">
        <v>79.938339232999994</v>
      </c>
      <c r="E597">
        <v>50</v>
      </c>
      <c r="F597">
        <v>44.972076416</v>
      </c>
      <c r="G597">
        <v>1337.5001221</v>
      </c>
      <c r="H597">
        <v>1335.6632079999999</v>
      </c>
      <c r="I597">
        <v>1325.1094971</v>
      </c>
      <c r="J597">
        <v>1322.7073975000001</v>
      </c>
      <c r="K597">
        <v>1650</v>
      </c>
      <c r="L597">
        <v>0</v>
      </c>
      <c r="M597">
        <v>0</v>
      </c>
      <c r="N597">
        <v>1650</v>
      </c>
    </row>
    <row r="598" spans="1:14" x14ac:dyDescent="0.25">
      <c r="A598">
        <v>137.69719599999999</v>
      </c>
      <c r="B598" s="1">
        <f>DATE(2010,9,15) + TIME(16,43,57)</f>
        <v>40436.697187500002</v>
      </c>
      <c r="C598">
        <v>80</v>
      </c>
      <c r="D598">
        <v>79.938369750999996</v>
      </c>
      <c r="E598">
        <v>50</v>
      </c>
      <c r="F598">
        <v>45.159633636000002</v>
      </c>
      <c r="G598">
        <v>1337.4986572</v>
      </c>
      <c r="H598">
        <v>1335.6621094</v>
      </c>
      <c r="I598">
        <v>1325.1158447</v>
      </c>
      <c r="J598">
        <v>1322.7185059000001</v>
      </c>
      <c r="K598">
        <v>1650</v>
      </c>
      <c r="L598">
        <v>0</v>
      </c>
      <c r="M598">
        <v>0</v>
      </c>
      <c r="N598">
        <v>1650</v>
      </c>
    </row>
    <row r="599" spans="1:14" x14ac:dyDescent="0.25">
      <c r="A599">
        <v>138.18718200000001</v>
      </c>
      <c r="B599" s="1">
        <f>DATE(2010,9,16) + TIME(4,29,32)</f>
        <v>40437.187175925923</v>
      </c>
      <c r="C599">
        <v>80</v>
      </c>
      <c r="D599">
        <v>79.938400268999999</v>
      </c>
      <c r="E599">
        <v>50</v>
      </c>
      <c r="F599">
        <v>45.335754395000002</v>
      </c>
      <c r="G599">
        <v>1337.4971923999999</v>
      </c>
      <c r="H599">
        <v>1335.6611327999999</v>
      </c>
      <c r="I599">
        <v>1325.1223144999999</v>
      </c>
      <c r="J599">
        <v>1322.7290039</v>
      </c>
      <c r="K599">
        <v>1650</v>
      </c>
      <c r="L599">
        <v>0</v>
      </c>
      <c r="M599">
        <v>0</v>
      </c>
      <c r="N599">
        <v>1650</v>
      </c>
    </row>
    <row r="600" spans="1:14" x14ac:dyDescent="0.25">
      <c r="A600">
        <v>138.67716899999999</v>
      </c>
      <c r="B600" s="1">
        <f>DATE(2010,9,16) + TIME(16,15,7)</f>
        <v>40437.677164351851</v>
      </c>
      <c r="C600">
        <v>80</v>
      </c>
      <c r="D600">
        <v>79.938430785999998</v>
      </c>
      <c r="E600">
        <v>50</v>
      </c>
      <c r="F600">
        <v>45.504299164000003</v>
      </c>
      <c r="G600">
        <v>1337.4958495999999</v>
      </c>
      <c r="H600">
        <v>1335.6601562000001</v>
      </c>
      <c r="I600">
        <v>1325.1286620999999</v>
      </c>
      <c r="J600">
        <v>1322.7392577999999</v>
      </c>
      <c r="K600">
        <v>1650</v>
      </c>
      <c r="L600">
        <v>0</v>
      </c>
      <c r="M600">
        <v>0</v>
      </c>
      <c r="N600">
        <v>1650</v>
      </c>
    </row>
    <row r="601" spans="1:14" x14ac:dyDescent="0.25">
      <c r="A601">
        <v>139.16715600000001</v>
      </c>
      <c r="B601" s="1">
        <f>DATE(2010,9,17) + TIME(4,0,42)</f>
        <v>40438.16715277778</v>
      </c>
      <c r="C601">
        <v>80</v>
      </c>
      <c r="D601">
        <v>79.938468932999996</v>
      </c>
      <c r="E601">
        <v>50</v>
      </c>
      <c r="F601">
        <v>45.667575835999997</v>
      </c>
      <c r="G601">
        <v>1337.4943848</v>
      </c>
      <c r="H601">
        <v>1335.6591797000001</v>
      </c>
      <c r="I601">
        <v>1325.1350098</v>
      </c>
      <c r="J601">
        <v>1322.7492675999999</v>
      </c>
      <c r="K601">
        <v>1650</v>
      </c>
      <c r="L601">
        <v>0</v>
      </c>
      <c r="M601">
        <v>0</v>
      </c>
      <c r="N601">
        <v>1650</v>
      </c>
    </row>
    <row r="602" spans="1:14" x14ac:dyDescent="0.25">
      <c r="A602">
        <v>139.65714299999999</v>
      </c>
      <c r="B602" s="1">
        <f>DATE(2010,9,17) + TIME(15,46,17)</f>
        <v>40438.657141203701</v>
      </c>
      <c r="C602">
        <v>80</v>
      </c>
      <c r="D602">
        <v>79.938499450999998</v>
      </c>
      <c r="E602">
        <v>50</v>
      </c>
      <c r="F602">
        <v>45.826972961000003</v>
      </c>
      <c r="G602">
        <v>1337.4930420000001</v>
      </c>
      <c r="H602">
        <v>1335.6582031</v>
      </c>
      <c r="I602">
        <v>1325.1412353999999</v>
      </c>
      <c r="J602">
        <v>1322.7590332</v>
      </c>
      <c r="K602">
        <v>1650</v>
      </c>
      <c r="L602">
        <v>0</v>
      </c>
      <c r="M602">
        <v>0</v>
      </c>
      <c r="N602">
        <v>1650</v>
      </c>
    </row>
    <row r="603" spans="1:14" x14ac:dyDescent="0.25">
      <c r="A603">
        <v>140.14713</v>
      </c>
      <c r="B603" s="1">
        <f>DATE(2010,9,18) + TIME(3,31,52)</f>
        <v>40439.147129629629</v>
      </c>
      <c r="C603">
        <v>80</v>
      </c>
      <c r="D603">
        <v>79.938529967999997</v>
      </c>
      <c r="E603">
        <v>50</v>
      </c>
      <c r="F603">
        <v>45.983325958000002</v>
      </c>
      <c r="G603">
        <v>1337.4915771000001</v>
      </c>
      <c r="H603">
        <v>1335.6572266000001</v>
      </c>
      <c r="I603">
        <v>1325.1475829999999</v>
      </c>
      <c r="J603">
        <v>1322.7687988</v>
      </c>
      <c r="K603">
        <v>1650</v>
      </c>
      <c r="L603">
        <v>0</v>
      </c>
      <c r="M603">
        <v>0</v>
      </c>
      <c r="N603">
        <v>1650</v>
      </c>
    </row>
    <row r="604" spans="1:14" x14ac:dyDescent="0.25">
      <c r="A604">
        <v>140.63711699999999</v>
      </c>
      <c r="B604" s="1">
        <f>DATE(2010,9,18) + TIME(15,17,26)</f>
        <v>40439.637106481481</v>
      </c>
      <c r="C604">
        <v>80</v>
      </c>
      <c r="D604">
        <v>79.938560486</v>
      </c>
      <c r="E604">
        <v>50</v>
      </c>
      <c r="F604">
        <v>46.137138366999999</v>
      </c>
      <c r="G604">
        <v>1337.4902344</v>
      </c>
      <c r="H604">
        <v>1335.65625</v>
      </c>
      <c r="I604">
        <v>1325.1538086</v>
      </c>
      <c r="J604">
        <v>1322.7783202999999</v>
      </c>
      <c r="K604">
        <v>1650</v>
      </c>
      <c r="L604">
        <v>0</v>
      </c>
      <c r="M604">
        <v>0</v>
      </c>
      <c r="N604">
        <v>1650</v>
      </c>
    </row>
    <row r="605" spans="1:14" x14ac:dyDescent="0.25">
      <c r="A605">
        <v>141.127104</v>
      </c>
      <c r="B605" s="1">
        <f>DATE(2010,9,19) + TIME(3,3,1)</f>
        <v>40440.12709490741</v>
      </c>
      <c r="C605">
        <v>80</v>
      </c>
      <c r="D605">
        <v>79.938591002999999</v>
      </c>
      <c r="E605">
        <v>50</v>
      </c>
      <c r="F605">
        <v>46.288715363000001</v>
      </c>
      <c r="G605">
        <v>1337.4888916</v>
      </c>
      <c r="H605">
        <v>1335.6553954999999</v>
      </c>
      <c r="I605">
        <v>1325.1599120999999</v>
      </c>
      <c r="J605">
        <v>1322.7877197</v>
      </c>
      <c r="K605">
        <v>1650</v>
      </c>
      <c r="L605">
        <v>0</v>
      </c>
      <c r="M605">
        <v>0</v>
      </c>
      <c r="N605">
        <v>1650</v>
      </c>
    </row>
    <row r="606" spans="1:14" x14ac:dyDescent="0.25">
      <c r="A606">
        <v>142.107077</v>
      </c>
      <c r="B606" s="1">
        <f>DATE(2010,9,20) + TIME(2,34,11)</f>
        <v>40441.107071759259</v>
      </c>
      <c r="C606">
        <v>80</v>
      </c>
      <c r="D606">
        <v>79.938667296999995</v>
      </c>
      <c r="E606">
        <v>50</v>
      </c>
      <c r="F606">
        <v>46.501319885000001</v>
      </c>
      <c r="G606">
        <v>1337.4875488</v>
      </c>
      <c r="H606">
        <v>1335.6544189000001</v>
      </c>
      <c r="I606">
        <v>1325.1651611</v>
      </c>
      <c r="J606">
        <v>1322.7982178</v>
      </c>
      <c r="K606">
        <v>1650</v>
      </c>
      <c r="L606">
        <v>0</v>
      </c>
      <c r="M606">
        <v>0</v>
      </c>
      <c r="N606">
        <v>1650</v>
      </c>
    </row>
    <row r="607" spans="1:14" x14ac:dyDescent="0.25">
      <c r="A607">
        <v>143.0874</v>
      </c>
      <c r="B607" s="1">
        <f>DATE(2010,9,21) + TIME(2,5,51)</f>
        <v>40442.087395833332</v>
      </c>
      <c r="C607">
        <v>80</v>
      </c>
      <c r="D607">
        <v>79.938735961999996</v>
      </c>
      <c r="E607">
        <v>50</v>
      </c>
      <c r="F607">
        <v>46.757949828999998</v>
      </c>
      <c r="G607">
        <v>1337.4848632999999</v>
      </c>
      <c r="H607">
        <v>1335.6525879000001</v>
      </c>
      <c r="I607">
        <v>1325.1770019999999</v>
      </c>
      <c r="J607">
        <v>1322.8143310999999</v>
      </c>
      <c r="K607">
        <v>1650</v>
      </c>
      <c r="L607">
        <v>0</v>
      </c>
      <c r="M607">
        <v>0</v>
      </c>
      <c r="N607">
        <v>1650</v>
      </c>
    </row>
    <row r="608" spans="1:14" x14ac:dyDescent="0.25">
      <c r="A608">
        <v>144.081186</v>
      </c>
      <c r="B608" s="1">
        <f>DATE(2010,9,22) + TIME(1,56,54)</f>
        <v>40443.081180555557</v>
      </c>
      <c r="C608">
        <v>80</v>
      </c>
      <c r="D608">
        <v>79.938796996999997</v>
      </c>
      <c r="E608">
        <v>50</v>
      </c>
      <c r="F608">
        <v>47.030815124999997</v>
      </c>
      <c r="G608">
        <v>1337.4821777</v>
      </c>
      <c r="H608">
        <v>1335.6507568</v>
      </c>
      <c r="I608">
        <v>1325.1888428</v>
      </c>
      <c r="J608">
        <v>1322.831543</v>
      </c>
      <c r="K608">
        <v>1650</v>
      </c>
      <c r="L608">
        <v>0</v>
      </c>
      <c r="M608">
        <v>0</v>
      </c>
      <c r="N608">
        <v>1650</v>
      </c>
    </row>
    <row r="609" spans="1:14" x14ac:dyDescent="0.25">
      <c r="A609">
        <v>145.09157500000001</v>
      </c>
      <c r="B609" s="1">
        <f>DATE(2010,9,23) + TIME(2,11,52)</f>
        <v>40444.091574074075</v>
      </c>
      <c r="C609">
        <v>80</v>
      </c>
      <c r="D609">
        <v>79.938865661999998</v>
      </c>
      <c r="E609">
        <v>50</v>
      </c>
      <c r="F609">
        <v>47.309295654000003</v>
      </c>
      <c r="G609">
        <v>1337.4796143000001</v>
      </c>
      <c r="H609">
        <v>1335.6489257999999</v>
      </c>
      <c r="I609">
        <v>1325.2008057</v>
      </c>
      <c r="J609">
        <v>1322.8492432</v>
      </c>
      <c r="K609">
        <v>1650</v>
      </c>
      <c r="L609">
        <v>0</v>
      </c>
      <c r="M609">
        <v>0</v>
      </c>
      <c r="N609">
        <v>1650</v>
      </c>
    </row>
    <row r="610" spans="1:14" x14ac:dyDescent="0.25">
      <c r="A610">
        <v>146.119437</v>
      </c>
      <c r="B610" s="1">
        <f>DATE(2010,9,24) + TIME(2,51,59)</f>
        <v>40445.119432870371</v>
      </c>
      <c r="C610">
        <v>80</v>
      </c>
      <c r="D610">
        <v>79.938934325999995</v>
      </c>
      <c r="E610">
        <v>50</v>
      </c>
      <c r="F610">
        <v>47.588996887</v>
      </c>
      <c r="G610">
        <v>1337.4769286999999</v>
      </c>
      <c r="H610">
        <v>1335.6472168</v>
      </c>
      <c r="I610">
        <v>1325.2130127</v>
      </c>
      <c r="J610">
        <v>1322.8671875</v>
      </c>
      <c r="K610">
        <v>1650</v>
      </c>
      <c r="L610">
        <v>0</v>
      </c>
      <c r="M610">
        <v>0</v>
      </c>
      <c r="N610">
        <v>1650</v>
      </c>
    </row>
    <row r="611" spans="1:14" x14ac:dyDescent="0.25">
      <c r="A611">
        <v>147.15871999999999</v>
      </c>
      <c r="B611" s="1">
        <f>DATE(2010,9,25) + TIME(3,48,33)</f>
        <v>40446.158715277779</v>
      </c>
      <c r="C611">
        <v>80</v>
      </c>
      <c r="D611">
        <v>79.939002990999995</v>
      </c>
      <c r="E611">
        <v>50</v>
      </c>
      <c r="F611">
        <v>47.867271422999998</v>
      </c>
      <c r="G611">
        <v>1337.4742432</v>
      </c>
      <c r="H611">
        <v>1335.6453856999999</v>
      </c>
      <c r="I611">
        <v>1325.2252197</v>
      </c>
      <c r="J611">
        <v>1322.885376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148.21280300000001</v>
      </c>
      <c r="B612" s="1">
        <f>DATE(2010,9,26) + TIME(5,6,26)</f>
        <v>40447.212800925925</v>
      </c>
      <c r="C612">
        <v>80</v>
      </c>
      <c r="D612">
        <v>79.939071655000006</v>
      </c>
      <c r="E612">
        <v>50</v>
      </c>
      <c r="F612">
        <v>48.143039702999999</v>
      </c>
      <c r="G612">
        <v>1337.4716797000001</v>
      </c>
      <c r="H612">
        <v>1335.6435547000001</v>
      </c>
      <c r="I612">
        <v>1325.2375488</v>
      </c>
      <c r="J612">
        <v>1322.9035644999999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149.281969</v>
      </c>
      <c r="B613" s="1">
        <f>DATE(2010,9,27) + TIME(6,46,2)</f>
        <v>40448.281967592593</v>
      </c>
      <c r="C613">
        <v>80</v>
      </c>
      <c r="D613">
        <v>79.939140320000007</v>
      </c>
      <c r="E613">
        <v>50</v>
      </c>
      <c r="F613">
        <v>48.416004180999998</v>
      </c>
      <c r="G613">
        <v>1337.4689940999999</v>
      </c>
      <c r="H613">
        <v>1335.6418457</v>
      </c>
      <c r="I613">
        <v>1325.2498779</v>
      </c>
      <c r="J613">
        <v>1322.9217529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149.82080199999999</v>
      </c>
      <c r="B614" s="1">
        <f>DATE(2010,9,27) + TIME(19,41,57)</f>
        <v>40448.820798611108</v>
      </c>
      <c r="C614">
        <v>80</v>
      </c>
      <c r="D614">
        <v>79.939170837000006</v>
      </c>
      <c r="E614">
        <v>50</v>
      </c>
      <c r="F614">
        <v>48.609283447000003</v>
      </c>
      <c r="G614">
        <v>1337.4664307</v>
      </c>
      <c r="H614">
        <v>1335.6401367000001</v>
      </c>
      <c r="I614">
        <v>1325.2633057</v>
      </c>
      <c r="J614">
        <v>1322.9384766000001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150.35687300000001</v>
      </c>
      <c r="B615" s="1">
        <f>DATE(2010,9,28) + TIME(8,33,53)</f>
        <v>40449.356863425928</v>
      </c>
      <c r="C615">
        <v>80</v>
      </c>
      <c r="D615">
        <v>79.939201354999994</v>
      </c>
      <c r="E615">
        <v>50</v>
      </c>
      <c r="F615">
        <v>48.775028229</v>
      </c>
      <c r="G615">
        <v>1337.4650879000001</v>
      </c>
      <c r="H615">
        <v>1335.6391602000001</v>
      </c>
      <c r="I615">
        <v>1325.2697754000001</v>
      </c>
      <c r="J615">
        <v>1322.9494629000001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150.892529</v>
      </c>
      <c r="B616" s="1">
        <f>DATE(2010,9,28) + TIME(21,25,14)</f>
        <v>40449.892523148148</v>
      </c>
      <c r="C616">
        <v>80</v>
      </c>
      <c r="D616">
        <v>79.939231872999997</v>
      </c>
      <c r="E616">
        <v>50</v>
      </c>
      <c r="F616">
        <v>48.924663543999998</v>
      </c>
      <c r="G616">
        <v>1337.4638672000001</v>
      </c>
      <c r="H616">
        <v>1335.6383057</v>
      </c>
      <c r="I616">
        <v>1325.2761230000001</v>
      </c>
      <c r="J616">
        <v>1322.9594727000001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151.42818500000001</v>
      </c>
      <c r="B617" s="1">
        <f>DATE(2010,9,29) + TIME(10,16,35)</f>
        <v>40450.428182870368</v>
      </c>
      <c r="C617">
        <v>80</v>
      </c>
      <c r="D617">
        <v>79.939262389999996</v>
      </c>
      <c r="E617">
        <v>50</v>
      </c>
      <c r="F617">
        <v>49.064479828000003</v>
      </c>
      <c r="G617">
        <v>1337.4625243999999</v>
      </c>
      <c r="H617">
        <v>1335.6375731999999</v>
      </c>
      <c r="I617">
        <v>1325.2824707</v>
      </c>
      <c r="J617">
        <v>1322.9691161999999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151.96384</v>
      </c>
      <c r="B618" s="1">
        <f>DATE(2010,9,29) + TIME(23,7,55)</f>
        <v>40450.963831018518</v>
      </c>
      <c r="C618">
        <v>80</v>
      </c>
      <c r="D618">
        <v>79.939300536999994</v>
      </c>
      <c r="E618">
        <v>50</v>
      </c>
      <c r="F618">
        <v>49.198032378999997</v>
      </c>
      <c r="G618">
        <v>1337.4613036999999</v>
      </c>
      <c r="H618">
        <v>1335.6367187999999</v>
      </c>
      <c r="I618">
        <v>1325.2886963000001</v>
      </c>
      <c r="J618">
        <v>1322.9785156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153</v>
      </c>
      <c r="B619" s="1">
        <f>DATE(2010,10,1) + TIME(0,0,0)</f>
        <v>40452</v>
      </c>
      <c r="C619">
        <v>80</v>
      </c>
      <c r="D619">
        <v>79.939376831000004</v>
      </c>
      <c r="E619">
        <v>50</v>
      </c>
      <c r="F619">
        <v>49.375972748000002</v>
      </c>
      <c r="G619">
        <v>1337.4599608999999</v>
      </c>
      <c r="H619">
        <v>1335.6358643000001</v>
      </c>
      <c r="I619">
        <v>1325.2941894999999</v>
      </c>
      <c r="J619">
        <v>1322.9885254000001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153.53565599999999</v>
      </c>
      <c r="B620" s="1">
        <f>DATE(2010,10,1) + TIME(12,51,20)</f>
        <v>40452.53564814815</v>
      </c>
      <c r="C620">
        <v>80</v>
      </c>
      <c r="D620">
        <v>79.939407349000007</v>
      </c>
      <c r="E620">
        <v>50</v>
      </c>
      <c r="F620">
        <v>49.530384064000003</v>
      </c>
      <c r="G620">
        <v>1337.4576416</v>
      </c>
      <c r="H620">
        <v>1335.6342772999999</v>
      </c>
      <c r="I620">
        <v>1325.3061522999999</v>
      </c>
      <c r="J620">
        <v>1323.0023193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154.606967</v>
      </c>
      <c r="B621" s="1">
        <f>DATE(2010,10,2) + TIME(14,34,1)</f>
        <v>40453.606956018521</v>
      </c>
      <c r="C621">
        <v>80</v>
      </c>
      <c r="D621">
        <v>79.939483643000003</v>
      </c>
      <c r="E621">
        <v>50</v>
      </c>
      <c r="F621">
        <v>49.724304199000002</v>
      </c>
      <c r="G621">
        <v>1337.4564209</v>
      </c>
      <c r="H621">
        <v>1335.6334228999999</v>
      </c>
      <c r="I621">
        <v>1325.3116454999999</v>
      </c>
      <c r="J621">
        <v>1323.0130615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155.680903</v>
      </c>
      <c r="B622" s="1">
        <f>DATE(2010,10,3) + TIME(16,20,29)</f>
        <v>40454.680891203701</v>
      </c>
      <c r="C622">
        <v>80</v>
      </c>
      <c r="D622">
        <v>79.939552307</v>
      </c>
      <c r="E622">
        <v>50</v>
      </c>
      <c r="F622">
        <v>49.943183898999997</v>
      </c>
      <c r="G622">
        <v>1337.4539795000001</v>
      </c>
      <c r="H622">
        <v>1335.6318358999999</v>
      </c>
      <c r="I622">
        <v>1325.3232422000001</v>
      </c>
      <c r="J622">
        <v>1323.0286865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156.767717</v>
      </c>
      <c r="B623" s="1">
        <f>DATE(2010,10,4) + TIME(18,25,30)</f>
        <v>40455.767708333333</v>
      </c>
      <c r="C623">
        <v>80</v>
      </c>
      <c r="D623">
        <v>79.939620972</v>
      </c>
      <c r="E623">
        <v>50</v>
      </c>
      <c r="F623">
        <v>50.169441223</v>
      </c>
      <c r="G623">
        <v>1337.4515381000001</v>
      </c>
      <c r="H623">
        <v>1335.630249</v>
      </c>
      <c r="I623">
        <v>1325.3348389</v>
      </c>
      <c r="J623">
        <v>1323.0450439000001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157.87097399999999</v>
      </c>
      <c r="B624" s="1">
        <f>DATE(2010,10,5) + TIME(20,54,12)</f>
        <v>40456.870972222219</v>
      </c>
      <c r="C624">
        <v>80</v>
      </c>
      <c r="D624">
        <v>79.939697265999996</v>
      </c>
      <c r="E624">
        <v>50</v>
      </c>
      <c r="F624">
        <v>50.396766663000001</v>
      </c>
      <c r="G624">
        <v>1337.4492187999999</v>
      </c>
      <c r="H624">
        <v>1335.6286620999999</v>
      </c>
      <c r="I624">
        <v>1325.3466797000001</v>
      </c>
      <c r="J624">
        <v>1323.0616454999999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158.99135999999999</v>
      </c>
      <c r="B625" s="1">
        <f>DATE(2010,10,6) + TIME(23,47,33)</f>
        <v>40457.991354166668</v>
      </c>
      <c r="C625">
        <v>80</v>
      </c>
      <c r="D625">
        <v>79.939765929999993</v>
      </c>
      <c r="E625">
        <v>50</v>
      </c>
      <c r="F625">
        <v>50.622802733999997</v>
      </c>
      <c r="G625">
        <v>1337.4467772999999</v>
      </c>
      <c r="H625">
        <v>1335.6271973</v>
      </c>
      <c r="I625">
        <v>1325.3586425999999</v>
      </c>
      <c r="J625">
        <v>1323.0784911999999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160.12745100000001</v>
      </c>
      <c r="B626" s="1">
        <f>DATE(2010,10,8) + TIME(3,3,31)</f>
        <v>40459.127442129633</v>
      </c>
      <c r="C626">
        <v>80</v>
      </c>
      <c r="D626">
        <v>79.939842224000003</v>
      </c>
      <c r="E626">
        <v>50</v>
      </c>
      <c r="F626">
        <v>50.846679688000002</v>
      </c>
      <c r="G626">
        <v>1337.4443358999999</v>
      </c>
      <c r="H626">
        <v>1335.6256103999999</v>
      </c>
      <c r="I626">
        <v>1325.3707274999999</v>
      </c>
      <c r="J626">
        <v>1323.0955810999999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161.27478500000001</v>
      </c>
      <c r="B627" s="1">
        <f>DATE(2010,10,9) + TIME(6,35,41)</f>
        <v>40460.274780092594</v>
      </c>
      <c r="C627">
        <v>80</v>
      </c>
      <c r="D627">
        <v>79.939918517999999</v>
      </c>
      <c r="E627">
        <v>50</v>
      </c>
      <c r="F627">
        <v>51.067768096999998</v>
      </c>
      <c r="G627">
        <v>1337.4420166</v>
      </c>
      <c r="H627">
        <v>1335.6241454999999</v>
      </c>
      <c r="I627">
        <v>1325.3829346</v>
      </c>
      <c r="J627">
        <v>1323.1126709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162.43743499999999</v>
      </c>
      <c r="B628" s="1">
        <f>DATE(2010,10,10) + TIME(10,29,54)</f>
        <v>40461.437430555554</v>
      </c>
      <c r="C628">
        <v>80</v>
      </c>
      <c r="D628">
        <v>79.939987183</v>
      </c>
      <c r="E628">
        <v>50</v>
      </c>
      <c r="F628">
        <v>51.286014557000001</v>
      </c>
      <c r="G628">
        <v>1337.4395752</v>
      </c>
      <c r="H628">
        <v>1335.6225586</v>
      </c>
      <c r="I628">
        <v>1325.3951416</v>
      </c>
      <c r="J628">
        <v>1323.1298827999999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163.025713</v>
      </c>
      <c r="B629" s="1">
        <f>DATE(2010,10,11) + TIME(0,37,1)</f>
        <v>40462.025706018518</v>
      </c>
      <c r="C629">
        <v>80</v>
      </c>
      <c r="D629">
        <v>79.940017699999999</v>
      </c>
      <c r="E629">
        <v>50</v>
      </c>
      <c r="F629">
        <v>51.443504333</v>
      </c>
      <c r="G629">
        <v>1337.4372559000001</v>
      </c>
      <c r="H629">
        <v>1335.6210937999999</v>
      </c>
      <c r="I629">
        <v>1325.4080810999999</v>
      </c>
      <c r="J629">
        <v>1323.145874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163.613992</v>
      </c>
      <c r="B630" s="1">
        <f>DATE(2010,10,11) + TIME(14,44,8)</f>
        <v>40462.613981481481</v>
      </c>
      <c r="C630">
        <v>80</v>
      </c>
      <c r="D630">
        <v>79.940055846999996</v>
      </c>
      <c r="E630">
        <v>50</v>
      </c>
      <c r="F630">
        <v>51.576942443999997</v>
      </c>
      <c r="G630">
        <v>1337.4361572</v>
      </c>
      <c r="H630">
        <v>1335.6203613</v>
      </c>
      <c r="I630">
        <v>1325.4146728999999</v>
      </c>
      <c r="J630">
        <v>1323.15625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164.202203</v>
      </c>
      <c r="B631" s="1">
        <f>DATE(2010,10,12) + TIME(4,51,10)</f>
        <v>40463.202199074076</v>
      </c>
      <c r="C631">
        <v>80</v>
      </c>
      <c r="D631">
        <v>79.940093993999994</v>
      </c>
      <c r="E631">
        <v>50</v>
      </c>
      <c r="F631">
        <v>51.696880341000004</v>
      </c>
      <c r="G631">
        <v>1337.4349365</v>
      </c>
      <c r="H631">
        <v>1335.6196289</v>
      </c>
      <c r="I631">
        <v>1325.4211425999999</v>
      </c>
      <c r="J631">
        <v>1323.1660156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164.789524</v>
      </c>
      <c r="B632" s="1">
        <f>DATE(2010,10,12) + TIME(18,56,54)</f>
        <v>40463.789513888885</v>
      </c>
      <c r="C632">
        <v>80</v>
      </c>
      <c r="D632">
        <v>79.940124511999997</v>
      </c>
      <c r="E632">
        <v>50</v>
      </c>
      <c r="F632">
        <v>51.808887482000003</v>
      </c>
      <c r="G632">
        <v>1337.4337158000001</v>
      </c>
      <c r="H632">
        <v>1335.6188964999999</v>
      </c>
      <c r="I632">
        <v>1325.4274902</v>
      </c>
      <c r="J632">
        <v>1323.1751709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165.37651099999999</v>
      </c>
      <c r="B633" s="1">
        <f>DATE(2010,10,13) + TIME(9,2,10)</f>
        <v>40464.376504629632</v>
      </c>
      <c r="C633">
        <v>80</v>
      </c>
      <c r="D633">
        <v>79.940162658999995</v>
      </c>
      <c r="E633">
        <v>50</v>
      </c>
      <c r="F633">
        <v>51.916023254000002</v>
      </c>
      <c r="G633">
        <v>1337.4326172000001</v>
      </c>
      <c r="H633">
        <v>1335.6181641000001</v>
      </c>
      <c r="I633">
        <v>1325.4338379000001</v>
      </c>
      <c r="J633">
        <v>1323.184082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165.96349799999999</v>
      </c>
      <c r="B634" s="1">
        <f>DATE(2010,10,13) + TIME(23,7,26)</f>
        <v>40464.963495370372</v>
      </c>
      <c r="C634">
        <v>80</v>
      </c>
      <c r="D634">
        <v>79.940200806000007</v>
      </c>
      <c r="E634">
        <v>50</v>
      </c>
      <c r="F634">
        <v>52.019966125000003</v>
      </c>
      <c r="G634">
        <v>1337.4315185999999</v>
      </c>
      <c r="H634">
        <v>1335.6174315999999</v>
      </c>
      <c r="I634">
        <v>1325.4399414</v>
      </c>
      <c r="J634">
        <v>1323.1928711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166.55048400000001</v>
      </c>
      <c r="B635" s="1">
        <f>DATE(2010,10,14) + TIME(13,12,41)</f>
        <v>40465.550474537034</v>
      </c>
      <c r="C635">
        <v>80</v>
      </c>
      <c r="D635">
        <v>79.940238953000005</v>
      </c>
      <c r="E635">
        <v>50</v>
      </c>
      <c r="F635">
        <v>52.121623993</v>
      </c>
      <c r="G635">
        <v>1337.4302978999999</v>
      </c>
      <c r="H635">
        <v>1335.6166992000001</v>
      </c>
      <c r="I635">
        <v>1325.4460449000001</v>
      </c>
      <c r="J635">
        <v>1323.2014160000001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167.13747100000001</v>
      </c>
      <c r="B636" s="1">
        <f>DATE(2010,10,15) + TIME(3,17,57)</f>
        <v>40466.137465277781</v>
      </c>
      <c r="C636">
        <v>80</v>
      </c>
      <c r="D636">
        <v>79.940277100000003</v>
      </c>
      <c r="E636">
        <v>50</v>
      </c>
      <c r="F636">
        <v>52.221496582</v>
      </c>
      <c r="G636">
        <v>1337.4291992000001</v>
      </c>
      <c r="H636">
        <v>1335.6159668</v>
      </c>
      <c r="I636">
        <v>1325.4521483999999</v>
      </c>
      <c r="J636">
        <v>1323.2098389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168.31144499999999</v>
      </c>
      <c r="B637" s="1">
        <f>DATE(2010,10,16) + TIME(7,28,28)</f>
        <v>40467.311435185184</v>
      </c>
      <c r="C637">
        <v>80</v>
      </c>
      <c r="D637">
        <v>79.940361022999994</v>
      </c>
      <c r="E637">
        <v>50</v>
      </c>
      <c r="F637">
        <v>52.356140136999997</v>
      </c>
      <c r="G637">
        <v>1337.4281006000001</v>
      </c>
      <c r="H637">
        <v>1335.6153564000001</v>
      </c>
      <c r="I637">
        <v>1325.4578856999999</v>
      </c>
      <c r="J637">
        <v>1323.2191161999999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169.48728299999999</v>
      </c>
      <c r="B638" s="1">
        <f>DATE(2010,10,17) + TIME(11,41,41)</f>
        <v>40468.487280092595</v>
      </c>
      <c r="C638">
        <v>80</v>
      </c>
      <c r="D638">
        <v>79.940437317000004</v>
      </c>
      <c r="E638">
        <v>50</v>
      </c>
      <c r="F638">
        <v>52.525974273999999</v>
      </c>
      <c r="G638">
        <v>1337.4259033000001</v>
      </c>
      <c r="H638">
        <v>1335.6138916</v>
      </c>
      <c r="I638">
        <v>1325.4692382999999</v>
      </c>
      <c r="J638">
        <v>1323.2333983999999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170.67972700000001</v>
      </c>
      <c r="B639" s="1">
        <f>DATE(2010,10,18) + TIME(16,18,48)</f>
        <v>40469.679722222223</v>
      </c>
      <c r="C639">
        <v>80</v>
      </c>
      <c r="D639">
        <v>79.940513611</v>
      </c>
      <c r="E639">
        <v>50</v>
      </c>
      <c r="F639">
        <v>52.706829071000001</v>
      </c>
      <c r="G639">
        <v>1337.4237060999999</v>
      </c>
      <c r="H639">
        <v>1335.6125488</v>
      </c>
      <c r="I639">
        <v>1325.4807129000001</v>
      </c>
      <c r="J639">
        <v>1323.2487793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171.89289299999999</v>
      </c>
      <c r="B640" s="1">
        <f>DATE(2010,10,19) + TIME(21,25,45)</f>
        <v>40470.892881944441</v>
      </c>
      <c r="C640">
        <v>80</v>
      </c>
      <c r="D640">
        <v>79.940597534000005</v>
      </c>
      <c r="E640">
        <v>50</v>
      </c>
      <c r="F640">
        <v>52.891124724999997</v>
      </c>
      <c r="G640">
        <v>1337.4215088000001</v>
      </c>
      <c r="H640">
        <v>1335.6112060999999</v>
      </c>
      <c r="I640">
        <v>1325.4925536999999</v>
      </c>
      <c r="J640">
        <v>1323.2647704999999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173.12005400000001</v>
      </c>
      <c r="B641" s="1">
        <f>DATE(2010,10,21) + TIME(2,52,52)</f>
        <v>40472.120046296295</v>
      </c>
      <c r="C641">
        <v>80</v>
      </c>
      <c r="D641">
        <v>79.940673828000001</v>
      </c>
      <c r="E641">
        <v>50</v>
      </c>
      <c r="F641">
        <v>53.075820923000002</v>
      </c>
      <c r="G641">
        <v>1337.4194336</v>
      </c>
      <c r="H641">
        <v>1335.6098632999999</v>
      </c>
      <c r="I641">
        <v>1325.5046387</v>
      </c>
      <c r="J641">
        <v>1323.2810059000001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174.36337499999999</v>
      </c>
      <c r="B642" s="1">
        <f>DATE(2010,10,22) + TIME(8,43,15)</f>
        <v>40473.363368055558</v>
      </c>
      <c r="C642">
        <v>80</v>
      </c>
      <c r="D642">
        <v>79.940750121999997</v>
      </c>
      <c r="E642">
        <v>50</v>
      </c>
      <c r="F642">
        <v>53.259593963999997</v>
      </c>
      <c r="G642">
        <v>1337.4172363</v>
      </c>
      <c r="H642">
        <v>1335.6085204999999</v>
      </c>
      <c r="I642">
        <v>1325.5167236</v>
      </c>
      <c r="J642">
        <v>1323.2973632999999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175.626304</v>
      </c>
      <c r="B643" s="1">
        <f>DATE(2010,10,23) + TIME(15,1,52)</f>
        <v>40474.626296296294</v>
      </c>
      <c r="C643">
        <v>80</v>
      </c>
      <c r="D643">
        <v>79.940834045000003</v>
      </c>
      <c r="E643">
        <v>50</v>
      </c>
      <c r="F643">
        <v>53.442211151000002</v>
      </c>
      <c r="G643">
        <v>1337.4150391000001</v>
      </c>
      <c r="H643">
        <v>1335.6071777</v>
      </c>
      <c r="I643">
        <v>1325.5289307</v>
      </c>
      <c r="J643">
        <v>1323.3138428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176.90071399999999</v>
      </c>
      <c r="B644" s="1">
        <f>DATE(2010,10,24) + TIME(21,37,1)</f>
        <v>40475.900706018518</v>
      </c>
      <c r="C644">
        <v>80</v>
      </c>
      <c r="D644">
        <v>79.940910338999998</v>
      </c>
      <c r="E644">
        <v>50</v>
      </c>
      <c r="F644">
        <v>53.623306274000001</v>
      </c>
      <c r="G644">
        <v>1337.4128418</v>
      </c>
      <c r="H644">
        <v>1335.605957</v>
      </c>
      <c r="I644">
        <v>1325.5411377</v>
      </c>
      <c r="J644">
        <v>1323.3304443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177.54556099999999</v>
      </c>
      <c r="B645" s="1">
        <f>DATE(2010,10,25) + TIME(13,5,36)</f>
        <v>40476.545555555553</v>
      </c>
      <c r="C645">
        <v>80</v>
      </c>
      <c r="D645">
        <v>79.940940857000001</v>
      </c>
      <c r="E645">
        <v>50</v>
      </c>
      <c r="F645">
        <v>53.756660461000003</v>
      </c>
      <c r="G645">
        <v>1337.4107666</v>
      </c>
      <c r="H645">
        <v>1335.6046143000001</v>
      </c>
      <c r="I645">
        <v>1325.5538329999999</v>
      </c>
      <c r="J645">
        <v>1323.3459473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178.19040799999999</v>
      </c>
      <c r="B646" s="1">
        <f>DATE(2010,10,26) + TIME(4,34,11)</f>
        <v>40477.190405092595</v>
      </c>
      <c r="C646">
        <v>80</v>
      </c>
      <c r="D646">
        <v>79.940979003999999</v>
      </c>
      <c r="E646">
        <v>50</v>
      </c>
      <c r="F646">
        <v>53.868053435999997</v>
      </c>
      <c r="G646">
        <v>1337.409668</v>
      </c>
      <c r="H646">
        <v>1335.6040039</v>
      </c>
      <c r="I646">
        <v>1325.5605469</v>
      </c>
      <c r="J646">
        <v>1323.3560791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178.83498599999999</v>
      </c>
      <c r="B647" s="1">
        <f>DATE(2010,10,26) + TIME(20,2,22)</f>
        <v>40477.834976851853</v>
      </c>
      <c r="C647">
        <v>80</v>
      </c>
      <c r="D647">
        <v>79.941017150999997</v>
      </c>
      <c r="E647">
        <v>50</v>
      </c>
      <c r="F647">
        <v>53.967784881999997</v>
      </c>
      <c r="G647">
        <v>1337.4085693</v>
      </c>
      <c r="H647">
        <v>1335.6033935999999</v>
      </c>
      <c r="I647">
        <v>1325.5671387</v>
      </c>
      <c r="J647">
        <v>1323.3653564000001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179.47956400000001</v>
      </c>
      <c r="B648" s="1">
        <f>DATE(2010,10,27) + TIME(11,30,34)</f>
        <v>40478.479560185187</v>
      </c>
      <c r="C648">
        <v>80</v>
      </c>
      <c r="D648">
        <v>79.941062927000004</v>
      </c>
      <c r="E648">
        <v>50</v>
      </c>
      <c r="F648">
        <v>54.061096190999997</v>
      </c>
      <c r="G648">
        <v>1337.4075928</v>
      </c>
      <c r="H648">
        <v>1335.6027832</v>
      </c>
      <c r="I648">
        <v>1325.5734863</v>
      </c>
      <c r="J648">
        <v>1323.3742675999999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180.12414200000001</v>
      </c>
      <c r="B649" s="1">
        <f>DATE(2010,10,28) + TIME(2,58,45)</f>
        <v>40479.124131944445</v>
      </c>
      <c r="C649">
        <v>80</v>
      </c>
      <c r="D649">
        <v>79.941101074000002</v>
      </c>
      <c r="E649">
        <v>50</v>
      </c>
      <c r="F649">
        <v>54.150642394999998</v>
      </c>
      <c r="G649">
        <v>1337.4064940999999</v>
      </c>
      <c r="H649">
        <v>1335.6021728999999</v>
      </c>
      <c r="I649">
        <v>1325.5797118999999</v>
      </c>
      <c r="J649">
        <v>1323.3828125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180.768719</v>
      </c>
      <c r="B650" s="1">
        <f>DATE(2010,10,28) + TIME(18,26,57)</f>
        <v>40479.76871527778</v>
      </c>
      <c r="C650">
        <v>80</v>
      </c>
      <c r="D650">
        <v>79.941139221</v>
      </c>
      <c r="E650">
        <v>50</v>
      </c>
      <c r="F650">
        <v>54.237800598</v>
      </c>
      <c r="G650">
        <v>1337.4055175999999</v>
      </c>
      <c r="H650">
        <v>1335.6015625</v>
      </c>
      <c r="I650">
        <v>1325.5858154</v>
      </c>
      <c r="J650">
        <v>1323.3911132999999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181.413297</v>
      </c>
      <c r="B651" s="1">
        <f>DATE(2010,10,29) + TIME(9,55,8)</f>
        <v>40480.413287037038</v>
      </c>
      <c r="C651">
        <v>80</v>
      </c>
      <c r="D651">
        <v>79.941177367999998</v>
      </c>
      <c r="E651">
        <v>50</v>
      </c>
      <c r="F651">
        <v>54.323284149000003</v>
      </c>
      <c r="G651">
        <v>1337.4045410000001</v>
      </c>
      <c r="H651">
        <v>1335.6009521000001</v>
      </c>
      <c r="I651">
        <v>1325.5919189000001</v>
      </c>
      <c r="J651">
        <v>1323.3992920000001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182.057875</v>
      </c>
      <c r="B652" s="1">
        <f>DATE(2010,10,30) + TIME(1,23,20)</f>
        <v>40481.057870370372</v>
      </c>
      <c r="C652">
        <v>80</v>
      </c>
      <c r="D652">
        <v>79.941223144999995</v>
      </c>
      <c r="E652">
        <v>50</v>
      </c>
      <c r="F652">
        <v>54.407482147000003</v>
      </c>
      <c r="G652">
        <v>1337.4034423999999</v>
      </c>
      <c r="H652">
        <v>1335.6003418</v>
      </c>
      <c r="I652">
        <v>1325.5980225000001</v>
      </c>
      <c r="J652">
        <v>1323.4074707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182.70245199999999</v>
      </c>
      <c r="B653" s="1">
        <f>DATE(2010,10,30) + TIME(16,51,31)</f>
        <v>40481.70244212963</v>
      </c>
      <c r="C653">
        <v>80</v>
      </c>
      <c r="D653">
        <v>79.941261291999993</v>
      </c>
      <c r="E653">
        <v>50</v>
      </c>
      <c r="F653">
        <v>54.490604400999999</v>
      </c>
      <c r="G653">
        <v>1337.4024658000001</v>
      </c>
      <c r="H653">
        <v>1335.5997314000001</v>
      </c>
      <c r="I653">
        <v>1325.6040039</v>
      </c>
      <c r="J653">
        <v>1323.4154053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183.351226</v>
      </c>
      <c r="B654" s="1">
        <f>DATE(2010,10,31) + TIME(8,25,45)</f>
        <v>40482.351215277777</v>
      </c>
      <c r="C654">
        <v>80</v>
      </c>
      <c r="D654">
        <v>79.941299438000001</v>
      </c>
      <c r="E654">
        <v>50</v>
      </c>
      <c r="F654">
        <v>54.573043822999999</v>
      </c>
      <c r="G654">
        <v>1337.4014893000001</v>
      </c>
      <c r="H654">
        <v>1335.5991211</v>
      </c>
      <c r="I654">
        <v>1325.6099853999999</v>
      </c>
      <c r="J654">
        <v>1323.4234618999999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184</v>
      </c>
      <c r="B655" s="1">
        <f>DATE(2010,11,1) + TIME(0,0,0)</f>
        <v>40483</v>
      </c>
      <c r="C655">
        <v>80</v>
      </c>
      <c r="D655">
        <v>79.941345214999998</v>
      </c>
      <c r="E655">
        <v>50</v>
      </c>
      <c r="F655">
        <v>54.654724121000001</v>
      </c>
      <c r="G655">
        <v>1337.4005127</v>
      </c>
      <c r="H655">
        <v>1335.5985106999999</v>
      </c>
      <c r="I655">
        <v>1325.6159668</v>
      </c>
      <c r="J655">
        <v>1323.4313964999999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184.000001</v>
      </c>
      <c r="B656" s="1">
        <f>DATE(2010,11,1) + TIME(0,0,0)</f>
        <v>40483</v>
      </c>
      <c r="C656">
        <v>80</v>
      </c>
      <c r="D656">
        <v>79.941276549999998</v>
      </c>
      <c r="E656">
        <v>50</v>
      </c>
      <c r="F656">
        <v>54.654823303000001</v>
      </c>
      <c r="G656">
        <v>1335.1055908000001</v>
      </c>
      <c r="H656">
        <v>1334.7808838000001</v>
      </c>
      <c r="I656">
        <v>1328.3907471</v>
      </c>
      <c r="J656">
        <v>1326.3919678</v>
      </c>
      <c r="K656">
        <v>0</v>
      </c>
      <c r="L656">
        <v>1650</v>
      </c>
      <c r="M656">
        <v>1650</v>
      </c>
      <c r="N656">
        <v>0</v>
      </c>
    </row>
    <row r="657" spans="1:14" x14ac:dyDescent="0.25">
      <c r="A657">
        <v>184.00000399999999</v>
      </c>
      <c r="B657" s="1">
        <f>DATE(2010,11,1) + TIME(0,0,0)</f>
        <v>40483</v>
      </c>
      <c r="C657">
        <v>80</v>
      </c>
      <c r="D657">
        <v>79.941177367999998</v>
      </c>
      <c r="E657">
        <v>50</v>
      </c>
      <c r="F657">
        <v>54.654949188000003</v>
      </c>
      <c r="G657">
        <v>1334.4530029</v>
      </c>
      <c r="H657">
        <v>1334.1343993999999</v>
      </c>
      <c r="I657">
        <v>1329.3442382999999</v>
      </c>
      <c r="J657">
        <v>1327.5051269999999</v>
      </c>
      <c r="K657">
        <v>0</v>
      </c>
      <c r="L657">
        <v>1650</v>
      </c>
      <c r="M657">
        <v>1650</v>
      </c>
      <c r="N657">
        <v>0</v>
      </c>
    </row>
    <row r="658" spans="1:14" x14ac:dyDescent="0.25">
      <c r="A658">
        <v>184.000013</v>
      </c>
      <c r="B658" s="1">
        <f>DATE(2010,11,1) + TIME(0,0,1)</f>
        <v>40483.000011574077</v>
      </c>
      <c r="C658">
        <v>80</v>
      </c>
      <c r="D658">
        <v>79.941085814999994</v>
      </c>
      <c r="E658">
        <v>50</v>
      </c>
      <c r="F658">
        <v>54.655056000000002</v>
      </c>
      <c r="G658">
        <v>1333.7735596</v>
      </c>
      <c r="H658">
        <v>1333.4294434000001</v>
      </c>
      <c r="I658">
        <v>1330.5987548999999</v>
      </c>
      <c r="J658">
        <v>1328.7601318</v>
      </c>
      <c r="K658">
        <v>0</v>
      </c>
      <c r="L658">
        <v>1650</v>
      </c>
      <c r="M658">
        <v>1650</v>
      </c>
      <c r="N658">
        <v>0</v>
      </c>
    </row>
    <row r="659" spans="1:14" x14ac:dyDescent="0.25">
      <c r="A659">
        <v>184.00004000000001</v>
      </c>
      <c r="B659" s="1">
        <f>DATE(2010,11,1) + TIME(0,0,3)</f>
        <v>40483.000034722223</v>
      </c>
      <c r="C659">
        <v>80</v>
      </c>
      <c r="D659">
        <v>79.940979003999999</v>
      </c>
      <c r="E659">
        <v>50</v>
      </c>
      <c r="F659">
        <v>54.655059813999998</v>
      </c>
      <c r="G659">
        <v>1333.09375</v>
      </c>
      <c r="H659">
        <v>1332.7106934000001</v>
      </c>
      <c r="I659">
        <v>1331.9313964999999</v>
      </c>
      <c r="J659">
        <v>1330.0541992000001</v>
      </c>
      <c r="K659">
        <v>0</v>
      </c>
      <c r="L659">
        <v>1650</v>
      </c>
      <c r="M659">
        <v>1650</v>
      </c>
      <c r="N659">
        <v>0</v>
      </c>
    </row>
    <row r="660" spans="1:14" x14ac:dyDescent="0.25">
      <c r="A660">
        <v>184.00012100000001</v>
      </c>
      <c r="B660" s="1">
        <f>DATE(2010,11,1) + TIME(0,0,10)</f>
        <v>40483.000115740739</v>
      </c>
      <c r="C660">
        <v>80</v>
      </c>
      <c r="D660">
        <v>79.940864563000005</v>
      </c>
      <c r="E660">
        <v>50</v>
      </c>
      <c r="F660">
        <v>54.654727936</v>
      </c>
      <c r="G660">
        <v>1332.3826904</v>
      </c>
      <c r="H660">
        <v>1331.9547118999999</v>
      </c>
      <c r="I660">
        <v>1333.2535399999999</v>
      </c>
      <c r="J660">
        <v>1331.3415527</v>
      </c>
      <c r="K660">
        <v>0</v>
      </c>
      <c r="L660">
        <v>1650</v>
      </c>
      <c r="M660">
        <v>1650</v>
      </c>
      <c r="N660">
        <v>0</v>
      </c>
    </row>
    <row r="661" spans="1:14" x14ac:dyDescent="0.25">
      <c r="A661">
        <v>184.00036399999999</v>
      </c>
      <c r="B661" s="1">
        <f>DATE(2010,11,1) + TIME(0,0,31)</f>
        <v>40483.000358796293</v>
      </c>
      <c r="C661">
        <v>80</v>
      </c>
      <c r="D661">
        <v>79.940719603999995</v>
      </c>
      <c r="E661">
        <v>50</v>
      </c>
      <c r="F661">
        <v>54.653358459000003</v>
      </c>
      <c r="G661">
        <v>1331.6396483999999</v>
      </c>
      <c r="H661">
        <v>1331.1652832</v>
      </c>
      <c r="I661">
        <v>1334.5238036999999</v>
      </c>
      <c r="J661">
        <v>1332.5642089999999</v>
      </c>
      <c r="K661">
        <v>0</v>
      </c>
      <c r="L661">
        <v>1650</v>
      </c>
      <c r="M661">
        <v>1650</v>
      </c>
      <c r="N661">
        <v>0</v>
      </c>
    </row>
    <row r="662" spans="1:14" x14ac:dyDescent="0.25">
      <c r="A662">
        <v>184.001093</v>
      </c>
      <c r="B662" s="1">
        <f>DATE(2010,11,1) + TIME(0,1,34)</f>
        <v>40483.001087962963</v>
      </c>
      <c r="C662">
        <v>80</v>
      </c>
      <c r="D662">
        <v>79.940483092999997</v>
      </c>
      <c r="E662">
        <v>50</v>
      </c>
      <c r="F662">
        <v>54.648780823000003</v>
      </c>
      <c r="G662">
        <v>1330.9621582</v>
      </c>
      <c r="H662">
        <v>1330.4490966999999</v>
      </c>
      <c r="I662">
        <v>1335.5960693</v>
      </c>
      <c r="J662">
        <v>1333.5769043</v>
      </c>
      <c r="K662">
        <v>0</v>
      </c>
      <c r="L662">
        <v>1650</v>
      </c>
      <c r="M662">
        <v>1650</v>
      </c>
      <c r="N662">
        <v>0</v>
      </c>
    </row>
    <row r="663" spans="1:14" x14ac:dyDescent="0.25">
      <c r="A663">
        <v>184.00327999999999</v>
      </c>
      <c r="B663" s="1">
        <f>DATE(2010,11,1) + TIME(0,4,43)</f>
        <v>40483.003275462965</v>
      </c>
      <c r="C663">
        <v>80</v>
      </c>
      <c r="D663">
        <v>79.940002441000004</v>
      </c>
      <c r="E663">
        <v>50</v>
      </c>
      <c r="F663">
        <v>54.634471892999997</v>
      </c>
      <c r="G663">
        <v>1330.4768065999999</v>
      </c>
      <c r="H663">
        <v>1329.9433594</v>
      </c>
      <c r="I663">
        <v>1336.2910156</v>
      </c>
      <c r="J663">
        <v>1334.2266846</v>
      </c>
      <c r="K663">
        <v>0</v>
      </c>
      <c r="L663">
        <v>1650</v>
      </c>
      <c r="M663">
        <v>1650</v>
      </c>
      <c r="N663">
        <v>0</v>
      </c>
    </row>
    <row r="664" spans="1:14" x14ac:dyDescent="0.25">
      <c r="A664">
        <v>184.00984099999999</v>
      </c>
      <c r="B664" s="1">
        <f>DATE(2010,11,1) + TIME(0,14,10)</f>
        <v>40483.009837962964</v>
      </c>
      <c r="C664">
        <v>80</v>
      </c>
      <c r="D664">
        <v>79.938728333</v>
      </c>
      <c r="E664">
        <v>50</v>
      </c>
      <c r="F664">
        <v>54.591388702000003</v>
      </c>
      <c r="G664">
        <v>1330.2192382999999</v>
      </c>
      <c r="H664">
        <v>1329.6791992000001</v>
      </c>
      <c r="I664">
        <v>1336.5902100000001</v>
      </c>
      <c r="J664">
        <v>1334.5074463000001</v>
      </c>
      <c r="K664">
        <v>0</v>
      </c>
      <c r="L664">
        <v>1650</v>
      </c>
      <c r="M664">
        <v>1650</v>
      </c>
      <c r="N664">
        <v>0</v>
      </c>
    </row>
    <row r="665" spans="1:14" x14ac:dyDescent="0.25">
      <c r="A665">
        <v>184.02952400000001</v>
      </c>
      <c r="B665" s="1">
        <f>DATE(2010,11,1) + TIME(0,42,30)</f>
        <v>40483.029513888891</v>
      </c>
      <c r="C665">
        <v>80</v>
      </c>
      <c r="D665">
        <v>79.935012817</v>
      </c>
      <c r="E665">
        <v>50</v>
      </c>
      <c r="F665">
        <v>54.465969086000001</v>
      </c>
      <c r="G665">
        <v>1330.1331786999999</v>
      </c>
      <c r="H665">
        <v>1329.5910644999999</v>
      </c>
      <c r="I665">
        <v>1336.6350098</v>
      </c>
      <c r="J665">
        <v>1334.5555420000001</v>
      </c>
      <c r="K665">
        <v>0</v>
      </c>
      <c r="L665">
        <v>1650</v>
      </c>
      <c r="M665">
        <v>1650</v>
      </c>
      <c r="N665">
        <v>0</v>
      </c>
    </row>
    <row r="666" spans="1:14" x14ac:dyDescent="0.25">
      <c r="A666">
        <v>184.07050899999999</v>
      </c>
      <c r="B666" s="1">
        <f>DATE(2010,11,1) + TIME(1,41,31)</f>
        <v>40483.070497685185</v>
      </c>
      <c r="C666">
        <v>80</v>
      </c>
      <c r="D666">
        <v>79.927391052000004</v>
      </c>
      <c r="E666">
        <v>50</v>
      </c>
      <c r="F666">
        <v>54.221618651999997</v>
      </c>
      <c r="G666">
        <v>1330.1154785000001</v>
      </c>
      <c r="H666">
        <v>1329.5711670000001</v>
      </c>
      <c r="I666">
        <v>1336.597168</v>
      </c>
      <c r="J666">
        <v>1334.5327147999999</v>
      </c>
      <c r="K666">
        <v>0</v>
      </c>
      <c r="L666">
        <v>1650</v>
      </c>
      <c r="M666">
        <v>1650</v>
      </c>
      <c r="N666">
        <v>0</v>
      </c>
    </row>
    <row r="667" spans="1:14" x14ac:dyDescent="0.25">
      <c r="A667">
        <v>184.11368899999999</v>
      </c>
      <c r="B667" s="1">
        <f>DATE(2010,11,1) + TIME(2,43,42)</f>
        <v>40483.113680555558</v>
      </c>
      <c r="C667">
        <v>80</v>
      </c>
      <c r="D667">
        <v>79.919395446999999</v>
      </c>
      <c r="E667">
        <v>50</v>
      </c>
      <c r="F667">
        <v>53.980777740000001</v>
      </c>
      <c r="G667">
        <v>1330.1074219</v>
      </c>
      <c r="H667">
        <v>1329.5594481999999</v>
      </c>
      <c r="I667">
        <v>1336.5692139</v>
      </c>
      <c r="J667">
        <v>1334.5146483999999</v>
      </c>
      <c r="K667">
        <v>0</v>
      </c>
      <c r="L667">
        <v>1650</v>
      </c>
      <c r="M667">
        <v>1650</v>
      </c>
      <c r="N667">
        <v>0</v>
      </c>
    </row>
    <row r="668" spans="1:14" x14ac:dyDescent="0.25">
      <c r="A668">
        <v>184.15879100000001</v>
      </c>
      <c r="B668" s="1">
        <f>DATE(2010,11,1) + TIME(3,48,39)</f>
        <v>40483.158784722225</v>
      </c>
      <c r="C668">
        <v>80</v>
      </c>
      <c r="D668">
        <v>79.911071777000004</v>
      </c>
      <c r="E668">
        <v>50</v>
      </c>
      <c r="F668">
        <v>53.745521545000003</v>
      </c>
      <c r="G668">
        <v>1330.1003418</v>
      </c>
      <c r="H668">
        <v>1329.5488281</v>
      </c>
      <c r="I668">
        <v>1336.5439452999999</v>
      </c>
      <c r="J668">
        <v>1334.4984131000001</v>
      </c>
      <c r="K668">
        <v>0</v>
      </c>
      <c r="L668">
        <v>1650</v>
      </c>
      <c r="M668">
        <v>1650</v>
      </c>
      <c r="N668">
        <v>0</v>
      </c>
    </row>
    <row r="669" spans="1:14" x14ac:dyDescent="0.25">
      <c r="A669">
        <v>184.20592400000001</v>
      </c>
      <c r="B669" s="1">
        <f>DATE(2010,11,1) + TIME(4,56,31)</f>
        <v>40483.205914351849</v>
      </c>
      <c r="C669">
        <v>80</v>
      </c>
      <c r="D669">
        <v>79.902412415000001</v>
      </c>
      <c r="E669">
        <v>50</v>
      </c>
      <c r="F669">
        <v>53.515983581999997</v>
      </c>
      <c r="G669">
        <v>1330.0932617000001</v>
      </c>
      <c r="H669">
        <v>1329.5380858999999</v>
      </c>
      <c r="I669">
        <v>1336.5213623</v>
      </c>
      <c r="J669">
        <v>1334.4840088000001</v>
      </c>
      <c r="K669">
        <v>0</v>
      </c>
      <c r="L669">
        <v>1650</v>
      </c>
      <c r="M669">
        <v>1650</v>
      </c>
      <c r="N669">
        <v>0</v>
      </c>
    </row>
    <row r="670" spans="1:14" x14ac:dyDescent="0.25">
      <c r="A670">
        <v>184.25501199999999</v>
      </c>
      <c r="B670" s="1">
        <f>DATE(2010,11,1) + TIME(6,7,13)</f>
        <v>40483.255011574074</v>
      </c>
      <c r="C670">
        <v>80</v>
      </c>
      <c r="D670">
        <v>79.893432617000002</v>
      </c>
      <c r="E670">
        <v>50</v>
      </c>
      <c r="F670">
        <v>53.293144226000003</v>
      </c>
      <c r="G670">
        <v>1330.0861815999999</v>
      </c>
      <c r="H670">
        <v>1329.5273437999999</v>
      </c>
      <c r="I670">
        <v>1336.5014647999999</v>
      </c>
      <c r="J670">
        <v>1334.4713135</v>
      </c>
      <c r="K670">
        <v>0</v>
      </c>
      <c r="L670">
        <v>1650</v>
      </c>
      <c r="M670">
        <v>1650</v>
      </c>
      <c r="N670">
        <v>0</v>
      </c>
    </row>
    <row r="671" spans="1:14" x14ac:dyDescent="0.25">
      <c r="A671">
        <v>184.305407</v>
      </c>
      <c r="B671" s="1">
        <f>DATE(2010,11,1) + TIME(7,19,47)</f>
        <v>40483.305405092593</v>
      </c>
      <c r="C671">
        <v>80</v>
      </c>
      <c r="D671">
        <v>79.884254455999994</v>
      </c>
      <c r="E671">
        <v>50</v>
      </c>
      <c r="F671">
        <v>53.080024719000001</v>
      </c>
      <c r="G671">
        <v>1330.0791016000001</v>
      </c>
      <c r="H671">
        <v>1329.5166016000001</v>
      </c>
      <c r="I671">
        <v>1336.4849853999999</v>
      </c>
      <c r="J671">
        <v>1334.4608154</v>
      </c>
      <c r="K671">
        <v>0</v>
      </c>
      <c r="L671">
        <v>1650</v>
      </c>
      <c r="M671">
        <v>1650</v>
      </c>
      <c r="N671">
        <v>0</v>
      </c>
    </row>
    <row r="672" spans="1:14" x14ac:dyDescent="0.25">
      <c r="A672">
        <v>184.35719700000001</v>
      </c>
      <c r="B672" s="1">
        <f>DATE(2010,11,1) + TIME(8,34,21)</f>
        <v>40483.357187499998</v>
      </c>
      <c r="C672">
        <v>80</v>
      </c>
      <c r="D672">
        <v>79.874855041999993</v>
      </c>
      <c r="E672">
        <v>50</v>
      </c>
      <c r="F672">
        <v>52.876159668</v>
      </c>
      <c r="G672">
        <v>1330.0720214999999</v>
      </c>
      <c r="H672">
        <v>1329.5058594</v>
      </c>
      <c r="I672">
        <v>1336.4713135</v>
      </c>
      <c r="J672">
        <v>1334.4521483999999</v>
      </c>
      <c r="K672">
        <v>0</v>
      </c>
      <c r="L672">
        <v>1650</v>
      </c>
      <c r="M672">
        <v>1650</v>
      </c>
      <c r="N672">
        <v>0</v>
      </c>
    </row>
    <row r="673" spans="1:14" x14ac:dyDescent="0.25">
      <c r="A673">
        <v>184.410493</v>
      </c>
      <c r="B673" s="1">
        <f>DATE(2010,11,1) + TIME(9,51,6)</f>
        <v>40483.410486111112</v>
      </c>
      <c r="C673">
        <v>80</v>
      </c>
      <c r="D673">
        <v>79.865234375</v>
      </c>
      <c r="E673">
        <v>50</v>
      </c>
      <c r="F673">
        <v>52.681095122999999</v>
      </c>
      <c r="G673">
        <v>1330.0649414</v>
      </c>
      <c r="H673">
        <v>1329.4951172000001</v>
      </c>
      <c r="I673">
        <v>1336.4602050999999</v>
      </c>
      <c r="J673">
        <v>1334.4453125</v>
      </c>
      <c r="K673">
        <v>0</v>
      </c>
      <c r="L673">
        <v>1650</v>
      </c>
      <c r="M673">
        <v>1650</v>
      </c>
      <c r="N673">
        <v>0</v>
      </c>
    </row>
    <row r="674" spans="1:14" x14ac:dyDescent="0.25">
      <c r="A674">
        <v>184.46540899999999</v>
      </c>
      <c r="B674" s="1">
        <f>DATE(2010,11,1) + TIME(11,10,11)</f>
        <v>40483.465405092589</v>
      </c>
      <c r="C674">
        <v>80</v>
      </c>
      <c r="D674">
        <v>79.855361938000001</v>
      </c>
      <c r="E674">
        <v>50</v>
      </c>
      <c r="F674">
        <v>52.494434357000003</v>
      </c>
      <c r="G674">
        <v>1330.0579834</v>
      </c>
      <c r="H674">
        <v>1329.4844971</v>
      </c>
      <c r="I674">
        <v>1336.4517822</v>
      </c>
      <c r="J674">
        <v>1334.4401855000001</v>
      </c>
      <c r="K674">
        <v>0</v>
      </c>
      <c r="L674">
        <v>1650</v>
      </c>
      <c r="M674">
        <v>1650</v>
      </c>
      <c r="N674">
        <v>0</v>
      </c>
    </row>
    <row r="675" spans="1:14" x14ac:dyDescent="0.25">
      <c r="A675">
        <v>184.52207200000001</v>
      </c>
      <c r="B675" s="1">
        <f>DATE(2010,11,1) + TIME(12,31,47)</f>
        <v>40483.52207175926</v>
      </c>
      <c r="C675">
        <v>80</v>
      </c>
      <c r="D675">
        <v>79.845230103000006</v>
      </c>
      <c r="E675">
        <v>50</v>
      </c>
      <c r="F675">
        <v>52.315834045000003</v>
      </c>
      <c r="G675">
        <v>1330.0509033000001</v>
      </c>
      <c r="H675">
        <v>1329.4737548999999</v>
      </c>
      <c r="I675">
        <v>1336.4458007999999</v>
      </c>
      <c r="J675">
        <v>1334.4365233999999</v>
      </c>
      <c r="K675">
        <v>0</v>
      </c>
      <c r="L675">
        <v>1650</v>
      </c>
      <c r="M675">
        <v>1650</v>
      </c>
      <c r="N675">
        <v>0</v>
      </c>
    </row>
    <row r="676" spans="1:14" x14ac:dyDescent="0.25">
      <c r="A676">
        <v>184.58059499999999</v>
      </c>
      <c r="B676" s="1">
        <f>DATE(2010,11,1) + TIME(13,56,3)</f>
        <v>40483.580590277779</v>
      </c>
      <c r="C676">
        <v>80</v>
      </c>
      <c r="D676">
        <v>79.834815978999998</v>
      </c>
      <c r="E676">
        <v>50</v>
      </c>
      <c r="F676">
        <v>52.145050048999998</v>
      </c>
      <c r="G676">
        <v>1330.0439452999999</v>
      </c>
      <c r="H676">
        <v>1329.4631348</v>
      </c>
      <c r="I676">
        <v>1336.4421387</v>
      </c>
      <c r="J676">
        <v>1334.4345702999999</v>
      </c>
      <c r="K676">
        <v>0</v>
      </c>
      <c r="L676">
        <v>1650</v>
      </c>
      <c r="M676">
        <v>1650</v>
      </c>
      <c r="N676">
        <v>0</v>
      </c>
    </row>
    <row r="677" spans="1:14" x14ac:dyDescent="0.25">
      <c r="A677">
        <v>184.64114599999999</v>
      </c>
      <c r="B677" s="1">
        <f>DATE(2010,11,1) + TIME(15,23,15)</f>
        <v>40483.641145833331</v>
      </c>
      <c r="C677">
        <v>80</v>
      </c>
      <c r="D677">
        <v>79.824104309000006</v>
      </c>
      <c r="E677">
        <v>50</v>
      </c>
      <c r="F677">
        <v>51.981758118000002</v>
      </c>
      <c r="G677">
        <v>1330.0368652</v>
      </c>
      <c r="H677">
        <v>1329.4523925999999</v>
      </c>
      <c r="I677">
        <v>1336.4406738</v>
      </c>
      <c r="J677">
        <v>1334.4339600000001</v>
      </c>
      <c r="K677">
        <v>0</v>
      </c>
      <c r="L677">
        <v>1650</v>
      </c>
      <c r="M677">
        <v>1650</v>
      </c>
      <c r="N677">
        <v>0</v>
      </c>
    </row>
    <row r="678" spans="1:14" x14ac:dyDescent="0.25">
      <c r="A678">
        <v>184.703914</v>
      </c>
      <c r="B678" s="1">
        <f>DATE(2010,11,1) + TIME(16,53,38)</f>
        <v>40483.703912037039</v>
      </c>
      <c r="C678">
        <v>80</v>
      </c>
      <c r="D678">
        <v>79.813056946000003</v>
      </c>
      <c r="E678">
        <v>50</v>
      </c>
      <c r="F678">
        <v>51.825672150000003</v>
      </c>
      <c r="G678">
        <v>1330.0297852000001</v>
      </c>
      <c r="H678">
        <v>1329.4416504000001</v>
      </c>
      <c r="I678">
        <v>1336.4414062000001</v>
      </c>
      <c r="J678">
        <v>1334.4348144999999</v>
      </c>
      <c r="K678">
        <v>0</v>
      </c>
      <c r="L678">
        <v>1650</v>
      </c>
      <c r="M678">
        <v>1650</v>
      </c>
      <c r="N678">
        <v>0</v>
      </c>
    </row>
    <row r="679" spans="1:14" x14ac:dyDescent="0.25">
      <c r="A679">
        <v>184.76909800000001</v>
      </c>
      <c r="B679" s="1">
        <f>DATE(2010,11,1) + TIME(18,27,30)</f>
        <v>40483.769097222219</v>
      </c>
      <c r="C679">
        <v>80</v>
      </c>
      <c r="D679">
        <v>79.801658630000006</v>
      </c>
      <c r="E679">
        <v>50</v>
      </c>
      <c r="F679">
        <v>51.676567077999998</v>
      </c>
      <c r="G679">
        <v>1330.0225829999999</v>
      </c>
      <c r="H679">
        <v>1329.4307861</v>
      </c>
      <c r="I679">
        <v>1336.4440918</v>
      </c>
      <c r="J679">
        <v>1334.4370117000001</v>
      </c>
      <c r="K679">
        <v>0</v>
      </c>
      <c r="L679">
        <v>1650</v>
      </c>
      <c r="M679">
        <v>1650</v>
      </c>
      <c r="N679">
        <v>0</v>
      </c>
    </row>
    <row r="680" spans="1:14" x14ac:dyDescent="0.25">
      <c r="A680">
        <v>184.83692300000001</v>
      </c>
      <c r="B680" s="1">
        <f>DATE(2010,11,1) + TIME(20,5,10)</f>
        <v>40483.836921296293</v>
      </c>
      <c r="C680">
        <v>80</v>
      </c>
      <c r="D680">
        <v>79.789871215999995</v>
      </c>
      <c r="E680">
        <v>50</v>
      </c>
      <c r="F680">
        <v>51.534244536999999</v>
      </c>
      <c r="G680">
        <v>1330.0153809000001</v>
      </c>
      <c r="H680">
        <v>1329.4197998</v>
      </c>
      <c r="I680">
        <v>1336.4487305</v>
      </c>
      <c r="J680">
        <v>1334.4404297000001</v>
      </c>
      <c r="K680">
        <v>0</v>
      </c>
      <c r="L680">
        <v>1650</v>
      </c>
      <c r="M680">
        <v>1650</v>
      </c>
      <c r="N680">
        <v>0</v>
      </c>
    </row>
    <row r="681" spans="1:14" x14ac:dyDescent="0.25">
      <c r="A681">
        <v>184.90763799999999</v>
      </c>
      <c r="B681" s="1">
        <f>DATE(2010,11,1) + TIME(21,46,59)</f>
        <v>40483.907627314817</v>
      </c>
      <c r="C681">
        <v>80</v>
      </c>
      <c r="D681">
        <v>79.777664185000006</v>
      </c>
      <c r="E681">
        <v>50</v>
      </c>
      <c r="F681">
        <v>51.398544311999999</v>
      </c>
      <c r="G681">
        <v>1330.0080565999999</v>
      </c>
      <c r="H681">
        <v>1329.4086914</v>
      </c>
      <c r="I681">
        <v>1336.4552002</v>
      </c>
      <c r="J681">
        <v>1334.4450684000001</v>
      </c>
      <c r="K681">
        <v>0</v>
      </c>
      <c r="L681">
        <v>1650</v>
      </c>
      <c r="M681">
        <v>1650</v>
      </c>
      <c r="N681">
        <v>0</v>
      </c>
    </row>
    <row r="682" spans="1:14" x14ac:dyDescent="0.25">
      <c r="A682">
        <v>184.981537</v>
      </c>
      <c r="B682" s="1">
        <f>DATE(2010,11,1) + TIME(23,33,24)</f>
        <v>40483.981527777774</v>
      </c>
      <c r="C682">
        <v>80</v>
      </c>
      <c r="D682">
        <v>79.764991760000001</v>
      </c>
      <c r="E682">
        <v>50</v>
      </c>
      <c r="F682">
        <v>51.269309997999997</v>
      </c>
      <c r="G682">
        <v>1330.0006103999999</v>
      </c>
      <c r="H682">
        <v>1329.3974608999999</v>
      </c>
      <c r="I682">
        <v>1336.4633789</v>
      </c>
      <c r="J682">
        <v>1334.4508057</v>
      </c>
      <c r="K682">
        <v>0</v>
      </c>
      <c r="L682">
        <v>1650</v>
      </c>
      <c r="M682">
        <v>1650</v>
      </c>
      <c r="N682">
        <v>0</v>
      </c>
    </row>
    <row r="683" spans="1:14" x14ac:dyDescent="0.25">
      <c r="A683">
        <v>185.05896799999999</v>
      </c>
      <c r="B683" s="1">
        <f>DATE(2010,11,2) + TIME(1,24,54)</f>
        <v>40484.058958333335</v>
      </c>
      <c r="C683">
        <v>80</v>
      </c>
      <c r="D683">
        <v>79.751815796000002</v>
      </c>
      <c r="E683">
        <v>50</v>
      </c>
      <c r="F683">
        <v>51.146396637000002</v>
      </c>
      <c r="G683">
        <v>1329.9930420000001</v>
      </c>
      <c r="H683">
        <v>1329.3859863</v>
      </c>
      <c r="I683">
        <v>1336.4731445</v>
      </c>
      <c r="J683">
        <v>1334.4575195</v>
      </c>
      <c r="K683">
        <v>0</v>
      </c>
      <c r="L683">
        <v>1650</v>
      </c>
      <c r="M683">
        <v>1650</v>
      </c>
      <c r="N683">
        <v>0</v>
      </c>
    </row>
    <row r="684" spans="1:14" x14ac:dyDescent="0.25">
      <c r="A684">
        <v>185.14032700000001</v>
      </c>
      <c r="B684" s="1">
        <f>DATE(2010,11,2) + TIME(3,22,4)</f>
        <v>40484.140324074076</v>
      </c>
      <c r="C684">
        <v>80</v>
      </c>
      <c r="D684">
        <v>79.738075256000002</v>
      </c>
      <c r="E684">
        <v>50</v>
      </c>
      <c r="F684">
        <v>51.029689789000003</v>
      </c>
      <c r="G684">
        <v>1329.9853516000001</v>
      </c>
      <c r="H684">
        <v>1329.3742675999999</v>
      </c>
      <c r="I684">
        <v>1336.484375</v>
      </c>
      <c r="J684">
        <v>1334.465332</v>
      </c>
      <c r="K684">
        <v>0</v>
      </c>
      <c r="L684">
        <v>1650</v>
      </c>
      <c r="M684">
        <v>1650</v>
      </c>
      <c r="N684">
        <v>0</v>
      </c>
    </row>
    <row r="685" spans="1:14" x14ac:dyDescent="0.25">
      <c r="A685">
        <v>185.226079</v>
      </c>
      <c r="B685" s="1">
        <f>DATE(2010,11,2) + TIME(5,25,33)</f>
        <v>40484.226076388892</v>
      </c>
      <c r="C685">
        <v>80</v>
      </c>
      <c r="D685">
        <v>79.723701477000006</v>
      </c>
      <c r="E685">
        <v>50</v>
      </c>
      <c r="F685">
        <v>50.919097899999997</v>
      </c>
      <c r="G685">
        <v>1329.9774170000001</v>
      </c>
      <c r="H685">
        <v>1329.3623047000001</v>
      </c>
      <c r="I685">
        <v>1336.4970702999999</v>
      </c>
      <c r="J685">
        <v>1334.4741211</v>
      </c>
      <c r="K685">
        <v>0</v>
      </c>
      <c r="L685">
        <v>1650</v>
      </c>
      <c r="M685">
        <v>1650</v>
      </c>
      <c r="N685">
        <v>0</v>
      </c>
    </row>
    <row r="686" spans="1:14" x14ac:dyDescent="0.25">
      <c r="A686">
        <v>185.31677099999999</v>
      </c>
      <c r="B686" s="1">
        <f>DATE(2010,11,2) + TIME(7,36,9)</f>
        <v>40484.316770833335</v>
      </c>
      <c r="C686">
        <v>80</v>
      </c>
      <c r="D686">
        <v>79.708641052000004</v>
      </c>
      <c r="E686">
        <v>50</v>
      </c>
      <c r="F686">
        <v>50.814540862999998</v>
      </c>
      <c r="G686">
        <v>1329.9692382999999</v>
      </c>
      <c r="H686">
        <v>1329.3499756000001</v>
      </c>
      <c r="I686">
        <v>1336.5109863</v>
      </c>
      <c r="J686">
        <v>1334.4836425999999</v>
      </c>
      <c r="K686">
        <v>0</v>
      </c>
      <c r="L686">
        <v>1650</v>
      </c>
      <c r="M686">
        <v>1650</v>
      </c>
      <c r="N686">
        <v>0</v>
      </c>
    </row>
    <row r="687" spans="1:14" x14ac:dyDescent="0.25">
      <c r="A687">
        <v>185.413061</v>
      </c>
      <c r="B687" s="1">
        <f>DATE(2010,11,2) + TIME(9,54,48)</f>
        <v>40484.413055555553</v>
      </c>
      <c r="C687">
        <v>80</v>
      </c>
      <c r="D687">
        <v>79.692794800000001</v>
      </c>
      <c r="E687">
        <v>50</v>
      </c>
      <c r="F687">
        <v>50.715965271000002</v>
      </c>
      <c r="G687">
        <v>1329.9608154</v>
      </c>
      <c r="H687">
        <v>1329.3372803</v>
      </c>
      <c r="I687">
        <v>1336.526001</v>
      </c>
      <c r="J687">
        <v>1334.4940185999999</v>
      </c>
      <c r="K687">
        <v>0</v>
      </c>
      <c r="L687">
        <v>1650</v>
      </c>
      <c r="M687">
        <v>1650</v>
      </c>
      <c r="N687">
        <v>0</v>
      </c>
    </row>
    <row r="688" spans="1:14" x14ac:dyDescent="0.25">
      <c r="A688">
        <v>185.515737</v>
      </c>
      <c r="B688" s="1">
        <f>DATE(2010,11,2) + TIME(12,22,39)</f>
        <v>40484.515729166669</v>
      </c>
      <c r="C688">
        <v>80</v>
      </c>
      <c r="D688">
        <v>79.676055907999995</v>
      </c>
      <c r="E688">
        <v>50</v>
      </c>
      <c r="F688">
        <v>50.623317718999999</v>
      </c>
      <c r="G688">
        <v>1329.9521483999999</v>
      </c>
      <c r="H688">
        <v>1329.3242187999999</v>
      </c>
      <c r="I688">
        <v>1336.5421143000001</v>
      </c>
      <c r="J688">
        <v>1334.5050048999999</v>
      </c>
      <c r="K688">
        <v>0</v>
      </c>
      <c r="L688">
        <v>1650</v>
      </c>
      <c r="M688">
        <v>1650</v>
      </c>
      <c r="N688">
        <v>0</v>
      </c>
    </row>
    <row r="689" spans="1:14" x14ac:dyDescent="0.25">
      <c r="A689">
        <v>185.625764</v>
      </c>
      <c r="B689" s="1">
        <f>DATE(2010,11,2) + TIME(15,1,6)</f>
        <v>40484.625763888886</v>
      </c>
      <c r="C689">
        <v>80</v>
      </c>
      <c r="D689">
        <v>79.658309936999999</v>
      </c>
      <c r="E689">
        <v>50</v>
      </c>
      <c r="F689">
        <v>50.536571502999998</v>
      </c>
      <c r="G689">
        <v>1329.9429932</v>
      </c>
      <c r="H689">
        <v>1329.3105469</v>
      </c>
      <c r="I689">
        <v>1336.5592041</v>
      </c>
      <c r="J689">
        <v>1334.5167236</v>
      </c>
      <c r="K689">
        <v>0</v>
      </c>
      <c r="L689">
        <v>1650</v>
      </c>
      <c r="M689">
        <v>1650</v>
      </c>
      <c r="N689">
        <v>0</v>
      </c>
    </row>
    <row r="690" spans="1:14" x14ac:dyDescent="0.25">
      <c r="A690">
        <v>185.744338</v>
      </c>
      <c r="B690" s="1">
        <f>DATE(2010,11,2) + TIME(17,51,50)</f>
        <v>40484.744328703702</v>
      </c>
      <c r="C690">
        <v>80</v>
      </c>
      <c r="D690">
        <v>79.639396667</v>
      </c>
      <c r="E690">
        <v>50</v>
      </c>
      <c r="F690">
        <v>50.455715179000002</v>
      </c>
      <c r="G690">
        <v>1329.9334716999999</v>
      </c>
      <c r="H690">
        <v>1329.2962646000001</v>
      </c>
      <c r="I690">
        <v>1336.5770264</v>
      </c>
      <c r="J690">
        <v>1334.5289307</v>
      </c>
      <c r="K690">
        <v>0</v>
      </c>
      <c r="L690">
        <v>1650</v>
      </c>
      <c r="M690">
        <v>1650</v>
      </c>
      <c r="N690">
        <v>0</v>
      </c>
    </row>
    <row r="691" spans="1:14" x14ac:dyDescent="0.25">
      <c r="A691">
        <v>185.87295700000001</v>
      </c>
      <c r="B691" s="1">
        <f>DATE(2010,11,2) + TIME(20,57,3)</f>
        <v>40484.87295138889</v>
      </c>
      <c r="C691">
        <v>80</v>
      </c>
      <c r="D691">
        <v>79.619125366000006</v>
      </c>
      <c r="E691">
        <v>50</v>
      </c>
      <c r="F691">
        <v>50.380748748999999</v>
      </c>
      <c r="G691">
        <v>1329.9234618999999</v>
      </c>
      <c r="H691">
        <v>1329.28125</v>
      </c>
      <c r="I691">
        <v>1336.5954589999999</v>
      </c>
      <c r="J691">
        <v>1334.541626</v>
      </c>
      <c r="K691">
        <v>0</v>
      </c>
      <c r="L691">
        <v>1650</v>
      </c>
      <c r="M691">
        <v>1650</v>
      </c>
      <c r="N691">
        <v>0</v>
      </c>
    </row>
    <row r="692" spans="1:14" x14ac:dyDescent="0.25">
      <c r="A692">
        <v>186.013509</v>
      </c>
      <c r="B692" s="1">
        <f>DATE(2010,11,3) + TIME(0,19,27)</f>
        <v>40485.013506944444</v>
      </c>
      <c r="C692">
        <v>80</v>
      </c>
      <c r="D692">
        <v>79.597274780000006</v>
      </c>
      <c r="E692">
        <v>50</v>
      </c>
      <c r="F692">
        <v>50.311695098999998</v>
      </c>
      <c r="G692">
        <v>1329.9127197</v>
      </c>
      <c r="H692">
        <v>1329.2653809000001</v>
      </c>
      <c r="I692">
        <v>1336.6143798999999</v>
      </c>
      <c r="J692">
        <v>1334.5545654</v>
      </c>
      <c r="K692">
        <v>0</v>
      </c>
      <c r="L692">
        <v>1650</v>
      </c>
      <c r="M692">
        <v>1650</v>
      </c>
      <c r="N692">
        <v>0</v>
      </c>
    </row>
    <row r="693" spans="1:14" x14ac:dyDescent="0.25">
      <c r="A693">
        <v>186.16332600000001</v>
      </c>
      <c r="B693" s="1">
        <f>DATE(2010,11,3) + TIME(3,55,11)</f>
        <v>40485.163321759261</v>
      </c>
      <c r="C693">
        <v>80</v>
      </c>
      <c r="D693">
        <v>79.574256896999998</v>
      </c>
      <c r="E693">
        <v>50</v>
      </c>
      <c r="F693">
        <v>50.250328064000001</v>
      </c>
      <c r="G693">
        <v>1329.9013672000001</v>
      </c>
      <c r="H693">
        <v>1329.2485352000001</v>
      </c>
      <c r="I693">
        <v>1336.6342772999999</v>
      </c>
      <c r="J693">
        <v>1334.5682373</v>
      </c>
      <c r="K693">
        <v>0</v>
      </c>
      <c r="L693">
        <v>1650</v>
      </c>
      <c r="M693">
        <v>1650</v>
      </c>
      <c r="N693">
        <v>0</v>
      </c>
    </row>
    <row r="694" spans="1:14" x14ac:dyDescent="0.25">
      <c r="A694">
        <v>186.32227800000001</v>
      </c>
      <c r="B694" s="1">
        <f>DATE(2010,11,3) + TIME(7,44,4)</f>
        <v>40485.322268518517</v>
      </c>
      <c r="C694">
        <v>80</v>
      </c>
      <c r="D694">
        <v>79.550117493000002</v>
      </c>
      <c r="E694">
        <v>50</v>
      </c>
      <c r="F694">
        <v>50.196628570999998</v>
      </c>
      <c r="G694">
        <v>1329.8896483999999</v>
      </c>
      <c r="H694">
        <v>1329.2310791</v>
      </c>
      <c r="I694">
        <v>1336.6539307</v>
      </c>
      <c r="J694">
        <v>1334.5816649999999</v>
      </c>
      <c r="K694">
        <v>0</v>
      </c>
      <c r="L694">
        <v>1650</v>
      </c>
      <c r="M694">
        <v>1650</v>
      </c>
      <c r="N694">
        <v>0</v>
      </c>
    </row>
    <row r="695" spans="1:14" x14ac:dyDescent="0.25">
      <c r="A695">
        <v>186.48521400000001</v>
      </c>
      <c r="B695" s="1">
        <f>DATE(2010,11,3) + TIME(11,38,42)</f>
        <v>40485.485208333332</v>
      </c>
      <c r="C695">
        <v>80</v>
      </c>
      <c r="D695">
        <v>79.525581360000004</v>
      </c>
      <c r="E695">
        <v>50</v>
      </c>
      <c r="F695">
        <v>50.151466370000001</v>
      </c>
      <c r="G695">
        <v>1329.8773193</v>
      </c>
      <c r="H695">
        <v>1329.2130127</v>
      </c>
      <c r="I695">
        <v>1336.6732178</v>
      </c>
      <c r="J695">
        <v>1334.5948486</v>
      </c>
      <c r="K695">
        <v>0</v>
      </c>
      <c r="L695">
        <v>1650</v>
      </c>
      <c r="M695">
        <v>1650</v>
      </c>
      <c r="N695">
        <v>0</v>
      </c>
    </row>
    <row r="696" spans="1:14" x14ac:dyDescent="0.25">
      <c r="A696">
        <v>186.648752</v>
      </c>
      <c r="B696" s="1">
        <f>DATE(2010,11,3) + TIME(15,34,12)</f>
        <v>40485.64875</v>
      </c>
      <c r="C696">
        <v>80</v>
      </c>
      <c r="D696">
        <v>79.501113892000006</v>
      </c>
      <c r="E696">
        <v>50</v>
      </c>
      <c r="F696">
        <v>50.114334106000001</v>
      </c>
      <c r="G696">
        <v>1329.8649902</v>
      </c>
      <c r="H696">
        <v>1329.1948242000001</v>
      </c>
      <c r="I696">
        <v>1336.6910399999999</v>
      </c>
      <c r="J696">
        <v>1334.6069336</v>
      </c>
      <c r="K696">
        <v>0</v>
      </c>
      <c r="L696">
        <v>1650</v>
      </c>
      <c r="M696">
        <v>1650</v>
      </c>
      <c r="N696">
        <v>0</v>
      </c>
    </row>
    <row r="697" spans="1:14" x14ac:dyDescent="0.25">
      <c r="A697">
        <v>186.81391600000001</v>
      </c>
      <c r="B697" s="1">
        <f>DATE(2010,11,3) + TIME(19,32,2)</f>
        <v>40485.81391203704</v>
      </c>
      <c r="C697">
        <v>80</v>
      </c>
      <c r="D697">
        <v>79.4765625</v>
      </c>
      <c r="E697">
        <v>50</v>
      </c>
      <c r="F697">
        <v>50.083698273000003</v>
      </c>
      <c r="G697">
        <v>1329.8526611</v>
      </c>
      <c r="H697">
        <v>1329.1768798999999</v>
      </c>
      <c r="I697">
        <v>1336.706543</v>
      </c>
      <c r="J697">
        <v>1334.6176757999999</v>
      </c>
      <c r="K697">
        <v>0</v>
      </c>
      <c r="L697">
        <v>1650</v>
      </c>
      <c r="M697">
        <v>1650</v>
      </c>
      <c r="N697">
        <v>0</v>
      </c>
    </row>
    <row r="698" spans="1:14" x14ac:dyDescent="0.25">
      <c r="A698">
        <v>186.98152899999999</v>
      </c>
      <c r="B698" s="1">
        <f>DATE(2010,11,3) + TIME(23,33,24)</f>
        <v>40485.981527777774</v>
      </c>
      <c r="C698">
        <v>80</v>
      </c>
      <c r="D698">
        <v>79.451835631999998</v>
      </c>
      <c r="E698">
        <v>50</v>
      </c>
      <c r="F698">
        <v>50.058399199999997</v>
      </c>
      <c r="G698">
        <v>1329.8404541</v>
      </c>
      <c r="H698">
        <v>1329.1590576000001</v>
      </c>
      <c r="I698">
        <v>1336.7200928</v>
      </c>
      <c r="J698">
        <v>1334.6269531</v>
      </c>
      <c r="K698">
        <v>0</v>
      </c>
      <c r="L698">
        <v>1650</v>
      </c>
      <c r="M698">
        <v>1650</v>
      </c>
      <c r="N698">
        <v>0</v>
      </c>
    </row>
    <row r="699" spans="1:14" x14ac:dyDescent="0.25">
      <c r="A699">
        <v>187.15240900000001</v>
      </c>
      <c r="B699" s="1">
        <f>DATE(2010,11,4) + TIME(3,39,28)</f>
        <v>40486.152407407404</v>
      </c>
      <c r="C699">
        <v>80</v>
      </c>
      <c r="D699">
        <v>79.426811217999997</v>
      </c>
      <c r="E699">
        <v>50</v>
      </c>
      <c r="F699">
        <v>50.037498474000003</v>
      </c>
      <c r="G699">
        <v>1329.828125</v>
      </c>
      <c r="H699">
        <v>1329.1411132999999</v>
      </c>
      <c r="I699">
        <v>1336.7318115</v>
      </c>
      <c r="J699">
        <v>1334.6351318</v>
      </c>
      <c r="K699">
        <v>0</v>
      </c>
      <c r="L699">
        <v>1650</v>
      </c>
      <c r="M699">
        <v>1650</v>
      </c>
      <c r="N699">
        <v>0</v>
      </c>
    </row>
    <row r="700" spans="1:14" x14ac:dyDescent="0.25">
      <c r="A700">
        <v>187.32736299999999</v>
      </c>
      <c r="B700" s="1">
        <f>DATE(2010,11,4) + TIME(7,51,24)</f>
        <v>40486.327361111114</v>
      </c>
      <c r="C700">
        <v>80</v>
      </c>
      <c r="D700">
        <v>79.401390075999998</v>
      </c>
      <c r="E700">
        <v>50</v>
      </c>
      <c r="F700">
        <v>50.020256042</v>
      </c>
      <c r="G700">
        <v>1329.8157959</v>
      </c>
      <c r="H700">
        <v>1329.1230469</v>
      </c>
      <c r="I700">
        <v>1336.7416992000001</v>
      </c>
      <c r="J700">
        <v>1334.6420897999999</v>
      </c>
      <c r="K700">
        <v>0</v>
      </c>
      <c r="L700">
        <v>1650</v>
      </c>
      <c r="M700">
        <v>1650</v>
      </c>
      <c r="N700">
        <v>0</v>
      </c>
    </row>
    <row r="701" spans="1:14" x14ac:dyDescent="0.25">
      <c r="A701">
        <v>187.507306</v>
      </c>
      <c r="B701" s="1">
        <f>DATE(2010,11,4) + TIME(12,10,31)</f>
        <v>40486.507303240738</v>
      </c>
      <c r="C701">
        <v>80</v>
      </c>
      <c r="D701">
        <v>79.375465392999999</v>
      </c>
      <c r="E701">
        <v>50</v>
      </c>
      <c r="F701">
        <v>50.006061553999999</v>
      </c>
      <c r="G701">
        <v>1329.8032227000001</v>
      </c>
      <c r="H701">
        <v>1329.1049805</v>
      </c>
      <c r="I701">
        <v>1336.7501221</v>
      </c>
      <c r="J701">
        <v>1334.6479492000001</v>
      </c>
      <c r="K701">
        <v>0</v>
      </c>
      <c r="L701">
        <v>1650</v>
      </c>
      <c r="M701">
        <v>1650</v>
      </c>
      <c r="N701">
        <v>0</v>
      </c>
    </row>
    <row r="702" spans="1:14" x14ac:dyDescent="0.25">
      <c r="A702">
        <v>187.693186</v>
      </c>
      <c r="B702" s="1">
        <f>DATE(2010,11,4) + TIME(16,38,11)</f>
        <v>40486.693182870367</v>
      </c>
      <c r="C702">
        <v>80</v>
      </c>
      <c r="D702">
        <v>79.348907471000004</v>
      </c>
      <c r="E702">
        <v>50</v>
      </c>
      <c r="F702">
        <v>49.994403839</v>
      </c>
      <c r="G702">
        <v>1329.7905272999999</v>
      </c>
      <c r="H702">
        <v>1329.0865478999999</v>
      </c>
      <c r="I702">
        <v>1336.7569579999999</v>
      </c>
      <c r="J702">
        <v>1334.6529541</v>
      </c>
      <c r="K702">
        <v>0</v>
      </c>
      <c r="L702">
        <v>1650</v>
      </c>
      <c r="M702">
        <v>1650</v>
      </c>
      <c r="N702">
        <v>0</v>
      </c>
    </row>
    <row r="703" spans="1:14" x14ac:dyDescent="0.25">
      <c r="A703">
        <v>187.88604799999999</v>
      </c>
      <c r="B703" s="1">
        <f>DATE(2010,11,4) + TIME(21,15,54)</f>
        <v>40486.886041666665</v>
      </c>
      <c r="C703">
        <v>80</v>
      </c>
      <c r="D703">
        <v>79.321601868000002</v>
      </c>
      <c r="E703">
        <v>50</v>
      </c>
      <c r="F703">
        <v>49.984874724999997</v>
      </c>
      <c r="G703">
        <v>1329.7775879000001</v>
      </c>
      <c r="H703">
        <v>1329.067749</v>
      </c>
      <c r="I703">
        <v>1336.7625731999999</v>
      </c>
      <c r="J703">
        <v>1334.6569824000001</v>
      </c>
      <c r="K703">
        <v>0</v>
      </c>
      <c r="L703">
        <v>1650</v>
      </c>
      <c r="M703">
        <v>1650</v>
      </c>
      <c r="N703">
        <v>0</v>
      </c>
    </row>
    <row r="704" spans="1:14" x14ac:dyDescent="0.25">
      <c r="A704">
        <v>188.08710300000001</v>
      </c>
      <c r="B704" s="1">
        <f>DATE(2010,11,5) + TIME(2,5,25)</f>
        <v>40487.087094907409</v>
      </c>
      <c r="C704">
        <v>80</v>
      </c>
      <c r="D704">
        <v>79.293411254999995</v>
      </c>
      <c r="E704">
        <v>50</v>
      </c>
      <c r="F704">
        <v>49.977123259999999</v>
      </c>
      <c r="G704">
        <v>1329.7642822</v>
      </c>
      <c r="H704">
        <v>1329.0485839999999</v>
      </c>
      <c r="I704">
        <v>1336.7667236</v>
      </c>
      <c r="J704">
        <v>1334.6601562000001</v>
      </c>
      <c r="K704">
        <v>0</v>
      </c>
      <c r="L704">
        <v>1650</v>
      </c>
      <c r="M704">
        <v>1650</v>
      </c>
      <c r="N704">
        <v>0</v>
      </c>
    </row>
    <row r="705" spans="1:14" x14ac:dyDescent="0.25">
      <c r="A705">
        <v>188.297755</v>
      </c>
      <c r="B705" s="1">
        <f>DATE(2010,11,5) + TIME(7,8,46)</f>
        <v>40487.297754629632</v>
      </c>
      <c r="C705">
        <v>80</v>
      </c>
      <c r="D705">
        <v>79.264167786000002</v>
      </c>
      <c r="E705">
        <v>50</v>
      </c>
      <c r="F705">
        <v>49.970867157000001</v>
      </c>
      <c r="G705">
        <v>1329.7506103999999</v>
      </c>
      <c r="H705">
        <v>1329.0289307</v>
      </c>
      <c r="I705">
        <v>1336.7696533000001</v>
      </c>
      <c r="J705">
        <v>1334.6624756000001</v>
      </c>
      <c r="K705">
        <v>0</v>
      </c>
      <c r="L705">
        <v>1650</v>
      </c>
      <c r="M705">
        <v>1650</v>
      </c>
      <c r="N705">
        <v>0</v>
      </c>
    </row>
    <row r="706" spans="1:14" x14ac:dyDescent="0.25">
      <c r="A706">
        <v>188.519599</v>
      </c>
      <c r="B706" s="1">
        <f>DATE(2010,11,5) + TIME(12,28,13)</f>
        <v>40487.519594907404</v>
      </c>
      <c r="C706">
        <v>80</v>
      </c>
      <c r="D706">
        <v>79.233688353999995</v>
      </c>
      <c r="E706">
        <v>50</v>
      </c>
      <c r="F706">
        <v>49.965854645</v>
      </c>
      <c r="G706">
        <v>1329.7364502</v>
      </c>
      <c r="H706">
        <v>1329.0086670000001</v>
      </c>
      <c r="I706">
        <v>1336.7714844</v>
      </c>
      <c r="J706">
        <v>1334.6640625</v>
      </c>
      <c r="K706">
        <v>0</v>
      </c>
      <c r="L706">
        <v>1650</v>
      </c>
      <c r="M706">
        <v>1650</v>
      </c>
      <c r="N706">
        <v>0</v>
      </c>
    </row>
    <row r="707" spans="1:14" x14ac:dyDescent="0.25">
      <c r="A707">
        <v>188.75341700000001</v>
      </c>
      <c r="B707" s="1">
        <f>DATE(2010,11,5) + TIME(18,4,55)</f>
        <v>40487.75341435185</v>
      </c>
      <c r="C707">
        <v>80</v>
      </c>
      <c r="D707">
        <v>79.201911925999994</v>
      </c>
      <c r="E707">
        <v>50</v>
      </c>
      <c r="F707">
        <v>49.961894989000001</v>
      </c>
      <c r="G707">
        <v>1329.7218018000001</v>
      </c>
      <c r="H707">
        <v>1328.987793</v>
      </c>
      <c r="I707">
        <v>1336.7720947</v>
      </c>
      <c r="J707">
        <v>1334.6649170000001</v>
      </c>
      <c r="K707">
        <v>0</v>
      </c>
      <c r="L707">
        <v>1650</v>
      </c>
      <c r="M707">
        <v>1650</v>
      </c>
      <c r="N707">
        <v>0</v>
      </c>
    </row>
    <row r="708" spans="1:14" x14ac:dyDescent="0.25">
      <c r="A708">
        <v>188.99954299999999</v>
      </c>
      <c r="B708" s="1">
        <f>DATE(2010,11,5) + TIME(23,59,20)</f>
        <v>40487.999537037038</v>
      </c>
      <c r="C708">
        <v>80</v>
      </c>
      <c r="D708">
        <v>79.168800353999998</v>
      </c>
      <c r="E708">
        <v>50</v>
      </c>
      <c r="F708">
        <v>49.958820342999999</v>
      </c>
      <c r="G708">
        <v>1329.7066649999999</v>
      </c>
      <c r="H708">
        <v>1328.9660644999999</v>
      </c>
      <c r="I708">
        <v>1336.7717285000001</v>
      </c>
      <c r="J708">
        <v>1334.6651611</v>
      </c>
      <c r="K708">
        <v>0</v>
      </c>
      <c r="L708">
        <v>1650</v>
      </c>
      <c r="M708">
        <v>1650</v>
      </c>
      <c r="N708">
        <v>0</v>
      </c>
    </row>
    <row r="709" spans="1:14" x14ac:dyDescent="0.25">
      <c r="A709">
        <v>189.260155</v>
      </c>
      <c r="B709" s="1">
        <f>DATE(2010,11,6) + TIME(6,14,37)</f>
        <v>40488.260150462964</v>
      </c>
      <c r="C709">
        <v>80</v>
      </c>
      <c r="D709">
        <v>79.134124756000006</v>
      </c>
      <c r="E709">
        <v>50</v>
      </c>
      <c r="F709">
        <v>49.956459045000003</v>
      </c>
      <c r="G709">
        <v>1329.6907959</v>
      </c>
      <c r="H709">
        <v>1328.9434814000001</v>
      </c>
      <c r="I709">
        <v>1336.7702637</v>
      </c>
      <c r="J709">
        <v>1334.6645507999999</v>
      </c>
      <c r="K709">
        <v>0</v>
      </c>
      <c r="L709">
        <v>1650</v>
      </c>
      <c r="M709">
        <v>1650</v>
      </c>
      <c r="N709">
        <v>0</v>
      </c>
    </row>
    <row r="710" spans="1:14" x14ac:dyDescent="0.25">
      <c r="A710">
        <v>189.53628499999999</v>
      </c>
      <c r="B710" s="1">
        <f>DATE(2010,11,6) + TIME(12,52,15)</f>
        <v>40488.53628472222</v>
      </c>
      <c r="C710">
        <v>80</v>
      </c>
      <c r="D710">
        <v>79.097785950000002</v>
      </c>
      <c r="E710">
        <v>50</v>
      </c>
      <c r="F710">
        <v>49.954677582000002</v>
      </c>
      <c r="G710">
        <v>1329.6743164</v>
      </c>
      <c r="H710">
        <v>1328.9200439000001</v>
      </c>
      <c r="I710">
        <v>1336.7677002</v>
      </c>
      <c r="J710">
        <v>1334.6634521000001</v>
      </c>
      <c r="K710">
        <v>0</v>
      </c>
      <c r="L710">
        <v>1650</v>
      </c>
      <c r="M710">
        <v>1650</v>
      </c>
      <c r="N710">
        <v>0</v>
      </c>
    </row>
    <row r="711" spans="1:14" x14ac:dyDescent="0.25">
      <c r="A711">
        <v>189.829016</v>
      </c>
      <c r="B711" s="1">
        <f>DATE(2010,11,6) + TIME(19,53,46)</f>
        <v>40488.829004629632</v>
      </c>
      <c r="C711">
        <v>80</v>
      </c>
      <c r="D711">
        <v>79.059684752999999</v>
      </c>
      <c r="E711">
        <v>50</v>
      </c>
      <c r="F711">
        <v>49.953365325999997</v>
      </c>
      <c r="G711">
        <v>1329.6572266000001</v>
      </c>
      <c r="H711">
        <v>1328.8957519999999</v>
      </c>
      <c r="I711">
        <v>1336.7642822</v>
      </c>
      <c r="J711">
        <v>1334.6616211</v>
      </c>
      <c r="K711">
        <v>0</v>
      </c>
      <c r="L711">
        <v>1650</v>
      </c>
      <c r="M711">
        <v>1650</v>
      </c>
      <c r="N711">
        <v>0</v>
      </c>
    </row>
    <row r="712" spans="1:14" x14ac:dyDescent="0.25">
      <c r="A712">
        <v>190.135515</v>
      </c>
      <c r="B712" s="1">
        <f>DATE(2010,11,7) + TIME(3,15,8)</f>
        <v>40489.135509259257</v>
      </c>
      <c r="C712">
        <v>80</v>
      </c>
      <c r="D712">
        <v>79.020118713000002</v>
      </c>
      <c r="E712">
        <v>50</v>
      </c>
      <c r="F712">
        <v>49.952430724999999</v>
      </c>
      <c r="G712">
        <v>1329.6392822</v>
      </c>
      <c r="H712">
        <v>1328.8703613</v>
      </c>
      <c r="I712">
        <v>1336.7598877</v>
      </c>
      <c r="J712">
        <v>1334.6591797000001</v>
      </c>
      <c r="K712">
        <v>0</v>
      </c>
      <c r="L712">
        <v>1650</v>
      </c>
      <c r="M712">
        <v>1650</v>
      </c>
      <c r="N712">
        <v>0</v>
      </c>
    </row>
    <row r="713" spans="1:14" x14ac:dyDescent="0.25">
      <c r="A713">
        <v>190.443454</v>
      </c>
      <c r="B713" s="1">
        <f>DATE(2010,11,7) + TIME(10,38,34)</f>
        <v>40489.443449074075</v>
      </c>
      <c r="C713">
        <v>80</v>
      </c>
      <c r="D713">
        <v>78.980400084999999</v>
      </c>
      <c r="E713">
        <v>50</v>
      </c>
      <c r="F713">
        <v>49.951793670999997</v>
      </c>
      <c r="G713">
        <v>1329.6208495999999</v>
      </c>
      <c r="H713">
        <v>1328.8443603999999</v>
      </c>
      <c r="I713">
        <v>1336.7547606999999</v>
      </c>
      <c r="J713">
        <v>1334.6563721</v>
      </c>
      <c r="K713">
        <v>0</v>
      </c>
      <c r="L713">
        <v>1650</v>
      </c>
      <c r="M713">
        <v>1650</v>
      </c>
      <c r="N713">
        <v>0</v>
      </c>
    </row>
    <row r="714" spans="1:14" x14ac:dyDescent="0.25">
      <c r="A714">
        <v>190.75473400000001</v>
      </c>
      <c r="B714" s="1">
        <f>DATE(2010,11,7) + TIME(18,6,49)</f>
        <v>40489.754733796297</v>
      </c>
      <c r="C714">
        <v>80</v>
      </c>
      <c r="D714">
        <v>78.940353393999999</v>
      </c>
      <c r="E714">
        <v>50</v>
      </c>
      <c r="F714">
        <v>49.951362609999997</v>
      </c>
      <c r="G714">
        <v>1329.6025391000001</v>
      </c>
      <c r="H714">
        <v>1328.8184814000001</v>
      </c>
      <c r="I714">
        <v>1336.7492675999999</v>
      </c>
      <c r="J714">
        <v>1334.6531981999999</v>
      </c>
      <c r="K714">
        <v>0</v>
      </c>
      <c r="L714">
        <v>1650</v>
      </c>
      <c r="M714">
        <v>1650</v>
      </c>
      <c r="N714">
        <v>0</v>
      </c>
    </row>
    <row r="715" spans="1:14" x14ac:dyDescent="0.25">
      <c r="A715">
        <v>191.071269</v>
      </c>
      <c r="B715" s="1">
        <f>DATE(2010,11,8) + TIME(1,42,37)</f>
        <v>40490.071261574078</v>
      </c>
      <c r="C715">
        <v>80</v>
      </c>
      <c r="D715">
        <v>78.899826050000001</v>
      </c>
      <c r="E715">
        <v>50</v>
      </c>
      <c r="F715">
        <v>49.951076508</v>
      </c>
      <c r="G715">
        <v>1329.5841064000001</v>
      </c>
      <c r="H715">
        <v>1328.7924805</v>
      </c>
      <c r="I715">
        <v>1336.7432861</v>
      </c>
      <c r="J715">
        <v>1334.6497803</v>
      </c>
      <c r="K715">
        <v>0</v>
      </c>
      <c r="L715">
        <v>1650</v>
      </c>
      <c r="M715">
        <v>1650</v>
      </c>
      <c r="N715">
        <v>0</v>
      </c>
    </row>
    <row r="716" spans="1:14" x14ac:dyDescent="0.25">
      <c r="A716">
        <v>191.394926</v>
      </c>
      <c r="B716" s="1">
        <f>DATE(2010,11,8) + TIME(9,28,41)</f>
        <v>40490.394918981481</v>
      </c>
      <c r="C716">
        <v>80</v>
      </c>
      <c r="D716">
        <v>78.858642578000001</v>
      </c>
      <c r="E716">
        <v>50</v>
      </c>
      <c r="F716">
        <v>49.950885773000003</v>
      </c>
      <c r="G716">
        <v>1329.5656738</v>
      </c>
      <c r="H716">
        <v>1328.7664795000001</v>
      </c>
      <c r="I716">
        <v>1336.7370605000001</v>
      </c>
      <c r="J716">
        <v>1334.6461182</v>
      </c>
      <c r="K716">
        <v>0</v>
      </c>
      <c r="L716">
        <v>1650</v>
      </c>
      <c r="M716">
        <v>1650</v>
      </c>
      <c r="N716">
        <v>0</v>
      </c>
    </row>
    <row r="717" spans="1:14" x14ac:dyDescent="0.25">
      <c r="A717">
        <v>191.727879</v>
      </c>
      <c r="B717" s="1">
        <f>DATE(2010,11,8) + TIME(17,28,8)</f>
        <v>40490.727870370371</v>
      </c>
      <c r="C717">
        <v>80</v>
      </c>
      <c r="D717">
        <v>78.816581725999995</v>
      </c>
      <c r="E717">
        <v>50</v>
      </c>
      <c r="F717">
        <v>49.950763702000003</v>
      </c>
      <c r="G717">
        <v>1329.546875</v>
      </c>
      <c r="H717">
        <v>1328.7401123</v>
      </c>
      <c r="I717">
        <v>1336.7304687999999</v>
      </c>
      <c r="J717">
        <v>1334.6423339999999</v>
      </c>
      <c r="K717">
        <v>0</v>
      </c>
      <c r="L717">
        <v>1650</v>
      </c>
      <c r="M717">
        <v>1650</v>
      </c>
      <c r="N717">
        <v>0</v>
      </c>
    </row>
    <row r="718" spans="1:14" x14ac:dyDescent="0.25">
      <c r="A718">
        <v>192.072191</v>
      </c>
      <c r="B718" s="1">
        <f>DATE(2010,11,9) + TIME(1,43,57)</f>
        <v>40491.072187500002</v>
      </c>
      <c r="C718">
        <v>80</v>
      </c>
      <c r="D718">
        <v>78.773460388000004</v>
      </c>
      <c r="E718">
        <v>50</v>
      </c>
      <c r="F718">
        <v>49.950691223</v>
      </c>
      <c r="G718">
        <v>1329.5279541</v>
      </c>
      <c r="H718">
        <v>1328.713501</v>
      </c>
      <c r="I718">
        <v>1336.7236327999999</v>
      </c>
      <c r="J718">
        <v>1334.6383057</v>
      </c>
      <c r="K718">
        <v>0</v>
      </c>
      <c r="L718">
        <v>1650</v>
      </c>
      <c r="M718">
        <v>1650</v>
      </c>
      <c r="N718">
        <v>0</v>
      </c>
    </row>
    <row r="719" spans="1:14" x14ac:dyDescent="0.25">
      <c r="A719">
        <v>192.42650399999999</v>
      </c>
      <c r="B719" s="1">
        <f>DATE(2010,11,9) + TIME(10,14,9)</f>
        <v>40491.426493055558</v>
      </c>
      <c r="C719">
        <v>80</v>
      </c>
      <c r="D719">
        <v>78.729408264</v>
      </c>
      <c r="E719">
        <v>50</v>
      </c>
      <c r="F719">
        <v>49.950645446999999</v>
      </c>
      <c r="G719">
        <v>1329.5086670000001</v>
      </c>
      <c r="H719">
        <v>1328.6864014</v>
      </c>
      <c r="I719">
        <v>1336.7165527</v>
      </c>
      <c r="J719">
        <v>1334.6341553</v>
      </c>
      <c r="K719">
        <v>0</v>
      </c>
      <c r="L719">
        <v>1650</v>
      </c>
      <c r="M719">
        <v>1650</v>
      </c>
      <c r="N719">
        <v>0</v>
      </c>
    </row>
    <row r="720" spans="1:14" x14ac:dyDescent="0.25">
      <c r="A720">
        <v>192.790188</v>
      </c>
      <c r="B720" s="1">
        <f>DATE(2010,11,9) + TIME(18,57,52)</f>
        <v>40491.790185185186</v>
      </c>
      <c r="C720">
        <v>80</v>
      </c>
      <c r="D720">
        <v>78.684486389</v>
      </c>
      <c r="E720">
        <v>50</v>
      </c>
      <c r="F720">
        <v>49.950622559000003</v>
      </c>
      <c r="G720">
        <v>1329.4890137</v>
      </c>
      <c r="H720">
        <v>1328.6589355000001</v>
      </c>
      <c r="I720">
        <v>1336.7093506000001</v>
      </c>
      <c r="J720">
        <v>1334.6298827999999</v>
      </c>
      <c r="K720">
        <v>0</v>
      </c>
      <c r="L720">
        <v>1650</v>
      </c>
      <c r="M720">
        <v>1650</v>
      </c>
      <c r="N720">
        <v>0</v>
      </c>
    </row>
    <row r="721" spans="1:14" x14ac:dyDescent="0.25">
      <c r="A721">
        <v>193.16522499999999</v>
      </c>
      <c r="B721" s="1">
        <f>DATE(2010,11,10) + TIME(3,57,55)</f>
        <v>40492.165219907409</v>
      </c>
      <c r="C721">
        <v>80</v>
      </c>
      <c r="D721">
        <v>78.638519286999994</v>
      </c>
      <c r="E721">
        <v>50</v>
      </c>
      <c r="F721">
        <v>49.950607300000001</v>
      </c>
      <c r="G721">
        <v>1329.4691161999999</v>
      </c>
      <c r="H721">
        <v>1328.6311035000001</v>
      </c>
      <c r="I721">
        <v>1336.7020264</v>
      </c>
      <c r="J721">
        <v>1334.6256103999999</v>
      </c>
      <c r="K721">
        <v>0</v>
      </c>
      <c r="L721">
        <v>1650</v>
      </c>
      <c r="M721">
        <v>1650</v>
      </c>
      <c r="N721">
        <v>0</v>
      </c>
    </row>
    <row r="722" spans="1:14" x14ac:dyDescent="0.25">
      <c r="A722">
        <v>193.55387300000001</v>
      </c>
      <c r="B722" s="1">
        <f>DATE(2010,11,10) + TIME(13,17,34)</f>
        <v>40492.553865740738</v>
      </c>
      <c r="C722">
        <v>80</v>
      </c>
      <c r="D722">
        <v>78.591285705999994</v>
      </c>
      <c r="E722">
        <v>50</v>
      </c>
      <c r="F722">
        <v>49.950599670000003</v>
      </c>
      <c r="G722">
        <v>1329.4489745999999</v>
      </c>
      <c r="H722">
        <v>1328.6027832</v>
      </c>
      <c r="I722">
        <v>1336.6944579999999</v>
      </c>
      <c r="J722">
        <v>1334.6212158000001</v>
      </c>
      <c r="K722">
        <v>0</v>
      </c>
      <c r="L722">
        <v>1650</v>
      </c>
      <c r="M722">
        <v>1650</v>
      </c>
      <c r="N722">
        <v>0</v>
      </c>
    </row>
    <row r="723" spans="1:14" x14ac:dyDescent="0.25">
      <c r="A723">
        <v>193.95886400000001</v>
      </c>
      <c r="B723" s="1">
        <f>DATE(2010,11,10) + TIME(23,0,45)</f>
        <v>40492.958854166667</v>
      </c>
      <c r="C723">
        <v>80</v>
      </c>
      <c r="D723">
        <v>78.542541503999999</v>
      </c>
      <c r="E723">
        <v>50</v>
      </c>
      <c r="F723">
        <v>49.950595856</v>
      </c>
      <c r="G723">
        <v>1329.4283447</v>
      </c>
      <c r="H723">
        <v>1328.5739745999999</v>
      </c>
      <c r="I723">
        <v>1336.6868896000001</v>
      </c>
      <c r="J723">
        <v>1334.6166992000001</v>
      </c>
      <c r="K723">
        <v>0</v>
      </c>
      <c r="L723">
        <v>1650</v>
      </c>
      <c r="M723">
        <v>1650</v>
      </c>
      <c r="N723">
        <v>0</v>
      </c>
    </row>
    <row r="724" spans="1:14" x14ac:dyDescent="0.25">
      <c r="A724">
        <v>194.383072</v>
      </c>
      <c r="B724" s="1">
        <f>DATE(2010,11,11) + TIME(9,11,37)</f>
        <v>40493.383067129631</v>
      </c>
      <c r="C724">
        <v>80</v>
      </c>
      <c r="D724">
        <v>78.491996764999996</v>
      </c>
      <c r="E724">
        <v>50</v>
      </c>
      <c r="F724">
        <v>49.950592041</v>
      </c>
      <c r="G724">
        <v>1329.4071045000001</v>
      </c>
      <c r="H724">
        <v>1328.5444336</v>
      </c>
      <c r="I724">
        <v>1336.6790771000001</v>
      </c>
      <c r="J724">
        <v>1334.6121826000001</v>
      </c>
      <c r="K724">
        <v>0</v>
      </c>
      <c r="L724">
        <v>1650</v>
      </c>
      <c r="M724">
        <v>1650</v>
      </c>
      <c r="N724">
        <v>0</v>
      </c>
    </row>
    <row r="725" spans="1:14" x14ac:dyDescent="0.25">
      <c r="A725">
        <v>194.82914199999999</v>
      </c>
      <c r="B725" s="1">
        <f>DATE(2010,11,11) + TIME(19,53,57)</f>
        <v>40493.829131944447</v>
      </c>
      <c r="C725">
        <v>80</v>
      </c>
      <c r="D725">
        <v>78.439407349000007</v>
      </c>
      <c r="E725">
        <v>50</v>
      </c>
      <c r="F725">
        <v>49.950588226000001</v>
      </c>
      <c r="G725">
        <v>1329.3852539</v>
      </c>
      <c r="H725">
        <v>1328.5140381000001</v>
      </c>
      <c r="I725">
        <v>1336.6711425999999</v>
      </c>
      <c r="J725">
        <v>1334.6075439000001</v>
      </c>
      <c r="K725">
        <v>0</v>
      </c>
      <c r="L725">
        <v>1650</v>
      </c>
      <c r="M725">
        <v>1650</v>
      </c>
      <c r="N725">
        <v>0</v>
      </c>
    </row>
    <row r="726" spans="1:14" x14ac:dyDescent="0.25">
      <c r="A726">
        <v>195.29350299999999</v>
      </c>
      <c r="B726" s="1">
        <f>DATE(2010,11,12) + TIME(7,2,38)</f>
        <v>40494.293495370373</v>
      </c>
      <c r="C726">
        <v>80</v>
      </c>
      <c r="D726">
        <v>78.385017395000006</v>
      </c>
      <c r="E726">
        <v>50</v>
      </c>
      <c r="F726">
        <v>49.950576781999999</v>
      </c>
      <c r="G726">
        <v>1329.3626709</v>
      </c>
      <c r="H726">
        <v>1328.4826660000001</v>
      </c>
      <c r="I726">
        <v>1336.6629639</v>
      </c>
      <c r="J726">
        <v>1334.6029053</v>
      </c>
      <c r="K726">
        <v>0</v>
      </c>
      <c r="L726">
        <v>1650</v>
      </c>
      <c r="M726">
        <v>1650</v>
      </c>
      <c r="N726">
        <v>0</v>
      </c>
    </row>
    <row r="727" spans="1:14" x14ac:dyDescent="0.25">
      <c r="A727">
        <v>195.77873700000001</v>
      </c>
      <c r="B727" s="1">
        <f>DATE(2010,11,12) + TIME(18,41,22)</f>
        <v>40494.778726851851</v>
      </c>
      <c r="C727">
        <v>80</v>
      </c>
      <c r="D727">
        <v>78.328613281000003</v>
      </c>
      <c r="E727">
        <v>50</v>
      </c>
      <c r="F727">
        <v>49.950565337999997</v>
      </c>
      <c r="G727">
        <v>1329.3394774999999</v>
      </c>
      <c r="H727">
        <v>1328.4505615</v>
      </c>
      <c r="I727">
        <v>1336.6547852000001</v>
      </c>
      <c r="J727">
        <v>1334.5981445</v>
      </c>
      <c r="K727">
        <v>0</v>
      </c>
      <c r="L727">
        <v>1650</v>
      </c>
      <c r="M727">
        <v>1650</v>
      </c>
      <c r="N727">
        <v>0</v>
      </c>
    </row>
    <row r="728" spans="1:14" x14ac:dyDescent="0.25">
      <c r="A728">
        <v>196.270644</v>
      </c>
      <c r="B728" s="1">
        <f>DATE(2010,11,13) + TIME(6,29,43)</f>
        <v>40495.270636574074</v>
      </c>
      <c r="C728">
        <v>80</v>
      </c>
      <c r="D728">
        <v>78.271316528</v>
      </c>
      <c r="E728">
        <v>50</v>
      </c>
      <c r="F728">
        <v>49.950550079000003</v>
      </c>
      <c r="G728">
        <v>1329.3156738</v>
      </c>
      <c r="H728">
        <v>1328.4176024999999</v>
      </c>
      <c r="I728">
        <v>1336.6463623</v>
      </c>
      <c r="J728">
        <v>1334.5933838000001</v>
      </c>
      <c r="K728">
        <v>0</v>
      </c>
      <c r="L728">
        <v>1650</v>
      </c>
      <c r="M728">
        <v>1650</v>
      </c>
      <c r="N728">
        <v>0</v>
      </c>
    </row>
    <row r="729" spans="1:14" x14ac:dyDescent="0.25">
      <c r="A729">
        <v>196.768688</v>
      </c>
      <c r="B729" s="1">
        <f>DATE(2010,11,13) + TIME(18,26,54)</f>
        <v>40495.768680555557</v>
      </c>
      <c r="C729">
        <v>80</v>
      </c>
      <c r="D729">
        <v>78.213272094999994</v>
      </c>
      <c r="E729">
        <v>50</v>
      </c>
      <c r="F729">
        <v>49.950527190999999</v>
      </c>
      <c r="G729">
        <v>1329.2918701000001</v>
      </c>
      <c r="H729">
        <v>1328.3845214999999</v>
      </c>
      <c r="I729">
        <v>1336.6381836</v>
      </c>
      <c r="J729">
        <v>1334.5887451000001</v>
      </c>
      <c r="K729">
        <v>0</v>
      </c>
      <c r="L729">
        <v>1650</v>
      </c>
      <c r="M729">
        <v>1650</v>
      </c>
      <c r="N729">
        <v>0</v>
      </c>
    </row>
    <row r="730" spans="1:14" x14ac:dyDescent="0.25">
      <c r="A730">
        <v>197.27613700000001</v>
      </c>
      <c r="B730" s="1">
        <f>DATE(2010,11,14) + TIME(6,37,38)</f>
        <v>40496.276134259257</v>
      </c>
      <c r="C730">
        <v>80</v>
      </c>
      <c r="D730">
        <v>78.154273986999996</v>
      </c>
      <c r="E730">
        <v>50</v>
      </c>
      <c r="F730">
        <v>49.950504303000002</v>
      </c>
      <c r="G730">
        <v>1329.2678223</v>
      </c>
      <c r="H730">
        <v>1328.3513184000001</v>
      </c>
      <c r="I730">
        <v>1336.630249</v>
      </c>
      <c r="J730">
        <v>1334.5842285000001</v>
      </c>
      <c r="K730">
        <v>0</v>
      </c>
      <c r="L730">
        <v>1650</v>
      </c>
      <c r="M730">
        <v>1650</v>
      </c>
      <c r="N730">
        <v>0</v>
      </c>
    </row>
    <row r="731" spans="1:14" x14ac:dyDescent="0.25">
      <c r="A731">
        <v>197.79493500000001</v>
      </c>
      <c r="B731" s="1">
        <f>DATE(2010,11,14) + TIME(19,4,42)</f>
        <v>40496.794930555552</v>
      </c>
      <c r="C731">
        <v>80</v>
      </c>
      <c r="D731">
        <v>78.094200134000005</v>
      </c>
      <c r="E731">
        <v>50</v>
      </c>
      <c r="F731">
        <v>49.950481414999999</v>
      </c>
      <c r="G731">
        <v>1329.2437743999999</v>
      </c>
      <c r="H731">
        <v>1328.3179932</v>
      </c>
      <c r="I731">
        <v>1336.6223144999999</v>
      </c>
      <c r="J731">
        <v>1334.5797118999999</v>
      </c>
      <c r="K731">
        <v>0</v>
      </c>
      <c r="L731">
        <v>1650</v>
      </c>
      <c r="M731">
        <v>1650</v>
      </c>
      <c r="N731">
        <v>0</v>
      </c>
    </row>
    <row r="732" spans="1:14" x14ac:dyDescent="0.25">
      <c r="A732">
        <v>198.322203</v>
      </c>
      <c r="B732" s="1">
        <f>DATE(2010,11,15) + TIME(7,43,58)</f>
        <v>40497.322199074071</v>
      </c>
      <c r="C732">
        <v>80</v>
      </c>
      <c r="D732">
        <v>78.033256531000006</v>
      </c>
      <c r="E732">
        <v>50</v>
      </c>
      <c r="F732">
        <v>49.950450897000003</v>
      </c>
      <c r="G732">
        <v>1329.2193603999999</v>
      </c>
      <c r="H732">
        <v>1328.2843018000001</v>
      </c>
      <c r="I732">
        <v>1336.6145019999999</v>
      </c>
      <c r="J732">
        <v>1334.5754394999999</v>
      </c>
      <c r="K732">
        <v>0</v>
      </c>
      <c r="L732">
        <v>1650</v>
      </c>
      <c r="M732">
        <v>1650</v>
      </c>
      <c r="N732">
        <v>0</v>
      </c>
    </row>
    <row r="733" spans="1:14" x14ac:dyDescent="0.25">
      <c r="A733">
        <v>198.86152300000001</v>
      </c>
      <c r="B733" s="1">
        <f>DATE(2010,11,15) + TIME(20,40,35)</f>
        <v>40497.861516203702</v>
      </c>
      <c r="C733">
        <v>80</v>
      </c>
      <c r="D733">
        <v>77.971168517999999</v>
      </c>
      <c r="E733">
        <v>50</v>
      </c>
      <c r="F733">
        <v>49.950420379999997</v>
      </c>
      <c r="G733">
        <v>1329.1950684000001</v>
      </c>
      <c r="H733">
        <v>1328.2506103999999</v>
      </c>
      <c r="I733">
        <v>1336.6068115</v>
      </c>
      <c r="J733">
        <v>1334.5711670000001</v>
      </c>
      <c r="K733">
        <v>0</v>
      </c>
      <c r="L733">
        <v>1650</v>
      </c>
      <c r="M733">
        <v>1650</v>
      </c>
      <c r="N733">
        <v>0</v>
      </c>
    </row>
    <row r="734" spans="1:14" x14ac:dyDescent="0.25">
      <c r="A734">
        <v>199.41610299999999</v>
      </c>
      <c r="B734" s="1">
        <f>DATE(2010,11,16) + TIME(9,59,11)</f>
        <v>40498.41609953704</v>
      </c>
      <c r="C734">
        <v>80</v>
      </c>
      <c r="D734">
        <v>77.907646178999997</v>
      </c>
      <c r="E734">
        <v>50</v>
      </c>
      <c r="F734">
        <v>49.950389862000002</v>
      </c>
      <c r="G734">
        <v>1329.1704102000001</v>
      </c>
      <c r="H734">
        <v>1328.2166748</v>
      </c>
      <c r="I734">
        <v>1336.5991211</v>
      </c>
      <c r="J734">
        <v>1334.5668945</v>
      </c>
      <c r="K734">
        <v>0</v>
      </c>
      <c r="L734">
        <v>1650</v>
      </c>
      <c r="M734">
        <v>1650</v>
      </c>
      <c r="N734">
        <v>0</v>
      </c>
    </row>
    <row r="735" spans="1:14" x14ac:dyDescent="0.25">
      <c r="A735">
        <v>199.98931899999999</v>
      </c>
      <c r="B735" s="1">
        <f>DATE(2010,11,16) + TIME(23,44,37)</f>
        <v>40498.989317129628</v>
      </c>
      <c r="C735">
        <v>80</v>
      </c>
      <c r="D735">
        <v>77.842369079999997</v>
      </c>
      <c r="E735">
        <v>50</v>
      </c>
      <c r="F735">
        <v>49.950359343999999</v>
      </c>
      <c r="G735">
        <v>1329.1455077999999</v>
      </c>
      <c r="H735">
        <v>1328.1823730000001</v>
      </c>
      <c r="I735">
        <v>1336.5915527</v>
      </c>
      <c r="J735">
        <v>1334.5627440999999</v>
      </c>
      <c r="K735">
        <v>0</v>
      </c>
      <c r="L735">
        <v>1650</v>
      </c>
      <c r="M735">
        <v>1650</v>
      </c>
      <c r="N735">
        <v>0</v>
      </c>
    </row>
    <row r="736" spans="1:14" x14ac:dyDescent="0.25">
      <c r="A736">
        <v>200.58495400000001</v>
      </c>
      <c r="B736" s="1">
        <f>DATE(2010,11,17) + TIME(14,2,20)</f>
        <v>40499.584953703707</v>
      </c>
      <c r="C736">
        <v>80</v>
      </c>
      <c r="D736">
        <v>77.774955750000004</v>
      </c>
      <c r="E736">
        <v>50</v>
      </c>
      <c r="F736">
        <v>49.950325012</v>
      </c>
      <c r="G736">
        <v>1329.1201172000001</v>
      </c>
      <c r="H736">
        <v>1328.1474608999999</v>
      </c>
      <c r="I736">
        <v>1336.5839844</v>
      </c>
      <c r="J736">
        <v>1334.5587158000001</v>
      </c>
      <c r="K736">
        <v>0</v>
      </c>
      <c r="L736">
        <v>1650</v>
      </c>
      <c r="M736">
        <v>1650</v>
      </c>
      <c r="N736">
        <v>0</v>
      </c>
    </row>
    <row r="737" spans="1:14" x14ac:dyDescent="0.25">
      <c r="A737">
        <v>201.204803</v>
      </c>
      <c r="B737" s="1">
        <f>DATE(2010,11,18) + TIME(4,54,55)</f>
        <v>40500.20480324074</v>
      </c>
      <c r="C737">
        <v>80</v>
      </c>
      <c r="D737">
        <v>77.705131531000006</v>
      </c>
      <c r="E737">
        <v>50</v>
      </c>
      <c r="F737">
        <v>49.950290680000002</v>
      </c>
      <c r="G737">
        <v>1329.0942382999999</v>
      </c>
      <c r="H737">
        <v>1328.1119385</v>
      </c>
      <c r="I737">
        <v>1336.5764160000001</v>
      </c>
      <c r="J737">
        <v>1334.5545654</v>
      </c>
      <c r="K737">
        <v>0</v>
      </c>
      <c r="L737">
        <v>1650</v>
      </c>
      <c r="M737">
        <v>1650</v>
      </c>
      <c r="N737">
        <v>0</v>
      </c>
    </row>
    <row r="738" spans="1:14" x14ac:dyDescent="0.25">
      <c r="A738">
        <v>201.84298000000001</v>
      </c>
      <c r="B738" s="1">
        <f>DATE(2010,11,18) + TIME(20,13,53)</f>
        <v>40500.842974537038</v>
      </c>
      <c r="C738">
        <v>80</v>
      </c>
      <c r="D738">
        <v>77.633178710999999</v>
      </c>
      <c r="E738">
        <v>50</v>
      </c>
      <c r="F738">
        <v>49.950256348000003</v>
      </c>
      <c r="G738">
        <v>1329.0676269999999</v>
      </c>
      <c r="H738">
        <v>1328.0755615</v>
      </c>
      <c r="I738">
        <v>1336.5687256000001</v>
      </c>
      <c r="J738">
        <v>1334.5505370999999</v>
      </c>
      <c r="K738">
        <v>0</v>
      </c>
      <c r="L738">
        <v>1650</v>
      </c>
      <c r="M738">
        <v>1650</v>
      </c>
      <c r="N738">
        <v>0</v>
      </c>
    </row>
    <row r="739" spans="1:14" x14ac:dyDescent="0.25">
      <c r="A739">
        <v>202.503715</v>
      </c>
      <c r="B739" s="1">
        <f>DATE(2010,11,19) + TIME(12,5,20)</f>
        <v>40501.503703703704</v>
      </c>
      <c r="C739">
        <v>80</v>
      </c>
      <c r="D739">
        <v>77.558776855000005</v>
      </c>
      <c r="E739">
        <v>50</v>
      </c>
      <c r="F739">
        <v>49.950222015000001</v>
      </c>
      <c r="G739">
        <v>1329.0407714999999</v>
      </c>
      <c r="H739">
        <v>1328.0386963000001</v>
      </c>
      <c r="I739">
        <v>1336.5611572</v>
      </c>
      <c r="J739">
        <v>1334.5465088000001</v>
      </c>
      <c r="K739">
        <v>0</v>
      </c>
      <c r="L739">
        <v>1650</v>
      </c>
      <c r="M739">
        <v>1650</v>
      </c>
      <c r="N739">
        <v>0</v>
      </c>
    </row>
    <row r="740" spans="1:14" x14ac:dyDescent="0.25">
      <c r="A740">
        <v>203.176018</v>
      </c>
      <c r="B740" s="1">
        <f>DATE(2010,11,20) + TIME(4,13,27)</f>
        <v>40502.176006944443</v>
      </c>
      <c r="C740">
        <v>80</v>
      </c>
      <c r="D740">
        <v>77.482582092000001</v>
      </c>
      <c r="E740">
        <v>50</v>
      </c>
      <c r="F740">
        <v>49.950187683000003</v>
      </c>
      <c r="G740">
        <v>1329.0133057</v>
      </c>
      <c r="H740">
        <v>1328.0012207</v>
      </c>
      <c r="I740">
        <v>1336.5534668</v>
      </c>
      <c r="J740">
        <v>1334.5424805</v>
      </c>
      <c r="K740">
        <v>0</v>
      </c>
      <c r="L740">
        <v>1650</v>
      </c>
      <c r="M740">
        <v>1650</v>
      </c>
      <c r="N740">
        <v>0</v>
      </c>
    </row>
    <row r="741" spans="1:14" x14ac:dyDescent="0.25">
      <c r="A741">
        <v>203.86259799999999</v>
      </c>
      <c r="B741" s="1">
        <f>DATE(2010,11,20) + TIME(20,42,8)</f>
        <v>40502.862592592595</v>
      </c>
      <c r="C741">
        <v>80</v>
      </c>
      <c r="D741">
        <v>77.404510497999993</v>
      </c>
      <c r="E741">
        <v>50</v>
      </c>
      <c r="F741">
        <v>49.950153350999997</v>
      </c>
      <c r="G741">
        <v>1328.9857178</v>
      </c>
      <c r="H741">
        <v>1327.9633789</v>
      </c>
      <c r="I741">
        <v>1336.5460204999999</v>
      </c>
      <c r="J741">
        <v>1334.5386963000001</v>
      </c>
      <c r="K741">
        <v>0</v>
      </c>
      <c r="L741">
        <v>1650</v>
      </c>
      <c r="M741">
        <v>1650</v>
      </c>
      <c r="N741">
        <v>0</v>
      </c>
    </row>
    <row r="742" spans="1:14" x14ac:dyDescent="0.25">
      <c r="A742">
        <v>204.568039</v>
      </c>
      <c r="B742" s="1">
        <f>DATE(2010,11,21) + TIME(13,37,58)</f>
        <v>40503.568032407406</v>
      </c>
      <c r="C742">
        <v>80</v>
      </c>
      <c r="D742">
        <v>77.324241638000004</v>
      </c>
      <c r="E742">
        <v>50</v>
      </c>
      <c r="F742">
        <v>49.950119018999999</v>
      </c>
      <c r="G742">
        <v>1328.9578856999999</v>
      </c>
      <c r="H742">
        <v>1327.9254149999999</v>
      </c>
      <c r="I742">
        <v>1336.5385742000001</v>
      </c>
      <c r="J742">
        <v>1334.5349120999999</v>
      </c>
      <c r="K742">
        <v>0</v>
      </c>
      <c r="L742">
        <v>1650</v>
      </c>
      <c r="M742">
        <v>1650</v>
      </c>
      <c r="N742">
        <v>0</v>
      </c>
    </row>
    <row r="743" spans="1:14" x14ac:dyDescent="0.25">
      <c r="A743">
        <v>205.285045</v>
      </c>
      <c r="B743" s="1">
        <f>DATE(2010,11,22) + TIME(6,50,27)</f>
        <v>40504.285034722219</v>
      </c>
      <c r="C743">
        <v>80</v>
      </c>
      <c r="D743">
        <v>77.242164611999996</v>
      </c>
      <c r="E743">
        <v>50</v>
      </c>
      <c r="F743">
        <v>49.950084685999997</v>
      </c>
      <c r="G743">
        <v>1328.9298096</v>
      </c>
      <c r="H743">
        <v>1327.8870850000001</v>
      </c>
      <c r="I743">
        <v>1336.53125</v>
      </c>
      <c r="J743">
        <v>1334.5311279</v>
      </c>
      <c r="K743">
        <v>0</v>
      </c>
      <c r="L743">
        <v>1650</v>
      </c>
      <c r="M743">
        <v>1650</v>
      </c>
      <c r="N743">
        <v>0</v>
      </c>
    </row>
    <row r="744" spans="1:14" x14ac:dyDescent="0.25">
      <c r="A744">
        <v>206.01076499999999</v>
      </c>
      <c r="B744" s="1">
        <f>DATE(2010,11,23) + TIME(0,15,30)</f>
        <v>40505.010763888888</v>
      </c>
      <c r="C744">
        <v>80</v>
      </c>
      <c r="D744">
        <v>77.158523560000006</v>
      </c>
      <c r="E744">
        <v>50</v>
      </c>
      <c r="F744">
        <v>49.950050353999998</v>
      </c>
      <c r="G744">
        <v>1328.9016113</v>
      </c>
      <c r="H744">
        <v>1327.8486327999999</v>
      </c>
      <c r="I744">
        <v>1336.5240478999999</v>
      </c>
      <c r="J744">
        <v>1334.5274658000001</v>
      </c>
      <c r="K744">
        <v>0</v>
      </c>
      <c r="L744">
        <v>1650</v>
      </c>
      <c r="M744">
        <v>1650</v>
      </c>
      <c r="N744">
        <v>0</v>
      </c>
    </row>
    <row r="745" spans="1:14" x14ac:dyDescent="0.25">
      <c r="A745">
        <v>206.75074000000001</v>
      </c>
      <c r="B745" s="1">
        <f>DATE(2010,11,23) + TIME(18,1,3)</f>
        <v>40505.75072916667</v>
      </c>
      <c r="C745">
        <v>80</v>
      </c>
      <c r="D745">
        <v>77.073020935000002</v>
      </c>
      <c r="E745">
        <v>50</v>
      </c>
      <c r="F745">
        <v>49.950019836000003</v>
      </c>
      <c r="G745">
        <v>1328.8735352000001</v>
      </c>
      <c r="H745">
        <v>1327.8103027</v>
      </c>
      <c r="I745">
        <v>1336.5169678</v>
      </c>
      <c r="J745">
        <v>1334.5239257999999</v>
      </c>
      <c r="K745">
        <v>0</v>
      </c>
      <c r="L745">
        <v>1650</v>
      </c>
      <c r="M745">
        <v>1650</v>
      </c>
      <c r="N745">
        <v>0</v>
      </c>
    </row>
    <row r="746" spans="1:14" x14ac:dyDescent="0.25">
      <c r="A746">
        <v>207.50920600000001</v>
      </c>
      <c r="B746" s="1">
        <f>DATE(2010,11,24) + TIME(12,13,15)</f>
        <v>40506.509201388886</v>
      </c>
      <c r="C746">
        <v>80</v>
      </c>
      <c r="D746">
        <v>76.985282897999994</v>
      </c>
      <c r="E746">
        <v>50</v>
      </c>
      <c r="F746">
        <v>49.949985503999997</v>
      </c>
      <c r="G746">
        <v>1328.8452147999999</v>
      </c>
      <c r="H746">
        <v>1327.7717285000001</v>
      </c>
      <c r="I746">
        <v>1336.5100098</v>
      </c>
      <c r="J746">
        <v>1334.5205077999999</v>
      </c>
      <c r="K746">
        <v>0</v>
      </c>
      <c r="L746">
        <v>1650</v>
      </c>
      <c r="M746">
        <v>1650</v>
      </c>
      <c r="N746">
        <v>0</v>
      </c>
    </row>
    <row r="747" spans="1:14" x14ac:dyDescent="0.25">
      <c r="A747">
        <v>208.290809</v>
      </c>
      <c r="B747" s="1">
        <f>DATE(2010,11,25) + TIME(6,58,45)</f>
        <v>40507.290798611109</v>
      </c>
      <c r="C747">
        <v>80</v>
      </c>
      <c r="D747">
        <v>76.894836425999998</v>
      </c>
      <c r="E747">
        <v>50</v>
      </c>
      <c r="F747">
        <v>49.949954986999998</v>
      </c>
      <c r="G747">
        <v>1328.8167725000001</v>
      </c>
      <c r="H747">
        <v>1327.7330322</v>
      </c>
      <c r="I747">
        <v>1336.5030518000001</v>
      </c>
      <c r="J747">
        <v>1334.5172118999999</v>
      </c>
      <c r="K747">
        <v>0</v>
      </c>
      <c r="L747">
        <v>1650</v>
      </c>
      <c r="M747">
        <v>1650</v>
      </c>
      <c r="N747">
        <v>0</v>
      </c>
    </row>
    <row r="748" spans="1:14" x14ac:dyDescent="0.25">
      <c r="A748">
        <v>209.10066599999999</v>
      </c>
      <c r="B748" s="1">
        <f>DATE(2010,11,26) + TIME(2,24,57)</f>
        <v>40508.100659722222</v>
      </c>
      <c r="C748">
        <v>80</v>
      </c>
      <c r="D748">
        <v>76.801124572999996</v>
      </c>
      <c r="E748">
        <v>50</v>
      </c>
      <c r="F748">
        <v>49.949928284000002</v>
      </c>
      <c r="G748">
        <v>1328.7878418</v>
      </c>
      <c r="H748">
        <v>1327.6938477000001</v>
      </c>
      <c r="I748">
        <v>1336.4962158000001</v>
      </c>
      <c r="J748">
        <v>1334.5137939000001</v>
      </c>
      <c r="K748">
        <v>0</v>
      </c>
      <c r="L748">
        <v>1650</v>
      </c>
      <c r="M748">
        <v>1650</v>
      </c>
      <c r="N748">
        <v>0</v>
      </c>
    </row>
    <row r="749" spans="1:14" x14ac:dyDescent="0.25">
      <c r="A749">
        <v>209.93414000000001</v>
      </c>
      <c r="B749" s="1">
        <f>DATE(2010,11,26) + TIME(22,25,9)</f>
        <v>40508.934131944443</v>
      </c>
      <c r="C749">
        <v>80</v>
      </c>
      <c r="D749">
        <v>76.704139709000003</v>
      </c>
      <c r="E749">
        <v>50</v>
      </c>
      <c r="F749">
        <v>49.949897765999999</v>
      </c>
      <c r="G749">
        <v>1328.7585449000001</v>
      </c>
      <c r="H749">
        <v>1327.6540527</v>
      </c>
      <c r="I749">
        <v>1336.4892577999999</v>
      </c>
      <c r="J749">
        <v>1334.5104980000001</v>
      </c>
      <c r="K749">
        <v>0</v>
      </c>
      <c r="L749">
        <v>1650</v>
      </c>
      <c r="M749">
        <v>1650</v>
      </c>
      <c r="N749">
        <v>0</v>
      </c>
    </row>
    <row r="750" spans="1:14" x14ac:dyDescent="0.25">
      <c r="A750">
        <v>210.79100299999999</v>
      </c>
      <c r="B750" s="1">
        <f>DATE(2010,11,27) + TIME(18,59,2)</f>
        <v>40509.790995370371</v>
      </c>
      <c r="C750">
        <v>80</v>
      </c>
      <c r="D750">
        <v>76.603813170999999</v>
      </c>
      <c r="E750">
        <v>50</v>
      </c>
      <c r="F750">
        <v>49.949871063000003</v>
      </c>
      <c r="G750">
        <v>1328.7288818</v>
      </c>
      <c r="H750">
        <v>1327.6137695</v>
      </c>
      <c r="I750">
        <v>1336.4822998</v>
      </c>
      <c r="J750">
        <v>1334.5073242000001</v>
      </c>
      <c r="K750">
        <v>0</v>
      </c>
      <c r="L750">
        <v>1650</v>
      </c>
      <c r="M750">
        <v>1650</v>
      </c>
      <c r="N750">
        <v>0</v>
      </c>
    </row>
    <row r="751" spans="1:14" x14ac:dyDescent="0.25">
      <c r="A751">
        <v>211.678909</v>
      </c>
      <c r="B751" s="1">
        <f>DATE(2010,11,28) + TIME(16,17,37)</f>
        <v>40510.678900462961</v>
      </c>
      <c r="C751">
        <v>80</v>
      </c>
      <c r="D751">
        <v>76.499588012999993</v>
      </c>
      <c r="E751">
        <v>50</v>
      </c>
      <c r="F751">
        <v>49.94984436</v>
      </c>
      <c r="G751">
        <v>1328.6988524999999</v>
      </c>
      <c r="H751">
        <v>1327.5731201000001</v>
      </c>
      <c r="I751">
        <v>1336.4754639</v>
      </c>
      <c r="J751">
        <v>1334.5040283000001</v>
      </c>
      <c r="K751">
        <v>0</v>
      </c>
      <c r="L751">
        <v>1650</v>
      </c>
      <c r="M751">
        <v>1650</v>
      </c>
      <c r="N751">
        <v>0</v>
      </c>
    </row>
    <row r="752" spans="1:14" x14ac:dyDescent="0.25">
      <c r="A752">
        <v>212.57426100000001</v>
      </c>
      <c r="B752" s="1">
        <f>DATE(2010,11,29) + TIME(13,46,56)</f>
        <v>40511.574259259258</v>
      </c>
      <c r="C752">
        <v>80</v>
      </c>
      <c r="D752">
        <v>76.392623900999993</v>
      </c>
      <c r="E752">
        <v>50</v>
      </c>
      <c r="F752">
        <v>49.949817656999997</v>
      </c>
      <c r="G752">
        <v>1328.6682129000001</v>
      </c>
      <c r="H752">
        <v>1327.5318603999999</v>
      </c>
      <c r="I752">
        <v>1336.4686279</v>
      </c>
      <c r="J752">
        <v>1334.5008545000001</v>
      </c>
      <c r="K752">
        <v>0</v>
      </c>
      <c r="L752">
        <v>1650</v>
      </c>
      <c r="M752">
        <v>1650</v>
      </c>
      <c r="N752">
        <v>0</v>
      </c>
    </row>
    <row r="753" spans="1:14" x14ac:dyDescent="0.25">
      <c r="A753">
        <v>213.482338</v>
      </c>
      <c r="B753" s="1">
        <f>DATE(2010,11,30) + TIME(11,34,33)</f>
        <v>40512.48232638889</v>
      </c>
      <c r="C753">
        <v>80</v>
      </c>
      <c r="D753">
        <v>76.283096313000001</v>
      </c>
      <c r="E753">
        <v>50</v>
      </c>
      <c r="F753">
        <v>49.949794769</v>
      </c>
      <c r="G753">
        <v>1328.6378173999999</v>
      </c>
      <c r="H753">
        <v>1327.4906006000001</v>
      </c>
      <c r="I753">
        <v>1336.4617920000001</v>
      </c>
      <c r="J753">
        <v>1334.4978027</v>
      </c>
      <c r="K753">
        <v>0</v>
      </c>
      <c r="L753">
        <v>1650</v>
      </c>
      <c r="M753">
        <v>1650</v>
      </c>
      <c r="N753">
        <v>0</v>
      </c>
    </row>
    <row r="754" spans="1:14" x14ac:dyDescent="0.25">
      <c r="A754">
        <v>214</v>
      </c>
      <c r="B754" s="1">
        <f>DATE(2010,12,1) + TIME(0,0,0)</f>
        <v>40513</v>
      </c>
      <c r="C754">
        <v>80</v>
      </c>
      <c r="D754">
        <v>76.202766417999996</v>
      </c>
      <c r="E754">
        <v>50</v>
      </c>
      <c r="F754">
        <v>49.949764252000001</v>
      </c>
      <c r="G754">
        <v>1328.6081543</v>
      </c>
      <c r="H754">
        <v>1327.4512939000001</v>
      </c>
      <c r="I754">
        <v>1336.4550781</v>
      </c>
      <c r="J754">
        <v>1334.494751</v>
      </c>
      <c r="K754">
        <v>0</v>
      </c>
      <c r="L754">
        <v>1650</v>
      </c>
      <c r="M754">
        <v>1650</v>
      </c>
      <c r="N754">
        <v>0</v>
      </c>
    </row>
    <row r="755" spans="1:14" x14ac:dyDescent="0.25">
      <c r="A755">
        <v>214.92187300000001</v>
      </c>
      <c r="B755" s="1">
        <f>DATE(2010,12,1) + TIME(22,7,29)</f>
        <v>40513.921863425923</v>
      </c>
      <c r="C755">
        <v>80</v>
      </c>
      <c r="D755">
        <v>76.098388671999999</v>
      </c>
      <c r="E755">
        <v>50</v>
      </c>
      <c r="F755">
        <v>49.949748993</v>
      </c>
      <c r="G755">
        <v>1328.5877685999999</v>
      </c>
      <c r="H755">
        <v>1327.4219971</v>
      </c>
      <c r="I755">
        <v>1336.4515381000001</v>
      </c>
      <c r="J755">
        <v>1334.4931641000001</v>
      </c>
      <c r="K755">
        <v>0</v>
      </c>
      <c r="L755">
        <v>1650</v>
      </c>
      <c r="M755">
        <v>1650</v>
      </c>
      <c r="N755">
        <v>0</v>
      </c>
    </row>
    <row r="756" spans="1:14" x14ac:dyDescent="0.25">
      <c r="A756">
        <v>215.875137</v>
      </c>
      <c r="B756" s="1">
        <f>DATE(2010,12,2) + TIME(21,0,11)</f>
        <v>40514.875127314815</v>
      </c>
      <c r="C756">
        <v>80</v>
      </c>
      <c r="D756">
        <v>75.986442565999994</v>
      </c>
      <c r="E756">
        <v>50</v>
      </c>
      <c r="F756">
        <v>49.949733733999999</v>
      </c>
      <c r="G756">
        <v>1328.5588379000001</v>
      </c>
      <c r="H756">
        <v>1327.3833007999999</v>
      </c>
      <c r="I756">
        <v>1336.4450684000001</v>
      </c>
      <c r="J756">
        <v>1334.4903564000001</v>
      </c>
      <c r="K756">
        <v>0</v>
      </c>
      <c r="L756">
        <v>1650</v>
      </c>
      <c r="M756">
        <v>1650</v>
      </c>
      <c r="N756">
        <v>0</v>
      </c>
    </row>
    <row r="757" spans="1:14" x14ac:dyDescent="0.25">
      <c r="A757">
        <v>216.85361399999999</v>
      </c>
      <c r="B757" s="1">
        <f>DATE(2010,12,3) + TIME(20,29,12)</f>
        <v>40515.85361111111</v>
      </c>
      <c r="C757">
        <v>80</v>
      </c>
      <c r="D757">
        <v>75.868606567</v>
      </c>
      <c r="E757">
        <v>50</v>
      </c>
      <c r="F757">
        <v>49.949714661000002</v>
      </c>
      <c r="G757">
        <v>1328.5289307</v>
      </c>
      <c r="H757">
        <v>1327.3432617000001</v>
      </c>
      <c r="I757">
        <v>1336.4387207</v>
      </c>
      <c r="J757">
        <v>1334.4875488</v>
      </c>
      <c r="K757">
        <v>0</v>
      </c>
      <c r="L757">
        <v>1650</v>
      </c>
      <c r="M757">
        <v>1650</v>
      </c>
      <c r="N757">
        <v>0</v>
      </c>
    </row>
    <row r="758" spans="1:14" x14ac:dyDescent="0.25">
      <c r="A758">
        <v>217.864068</v>
      </c>
      <c r="B758" s="1">
        <f>DATE(2010,12,4) + TIME(20,44,15)</f>
        <v>40516.864062499997</v>
      </c>
      <c r="C758">
        <v>80</v>
      </c>
      <c r="D758">
        <v>75.745368958</v>
      </c>
      <c r="E758">
        <v>50</v>
      </c>
      <c r="F758">
        <v>49.949699402</v>
      </c>
      <c r="G758">
        <v>1328.4984131000001</v>
      </c>
      <c r="H758">
        <v>1327.3023682</v>
      </c>
      <c r="I758">
        <v>1336.432251</v>
      </c>
      <c r="J758">
        <v>1334.4848632999999</v>
      </c>
      <c r="K758">
        <v>0</v>
      </c>
      <c r="L758">
        <v>1650</v>
      </c>
      <c r="M758">
        <v>1650</v>
      </c>
      <c r="N758">
        <v>0</v>
      </c>
    </row>
    <row r="759" spans="1:14" x14ac:dyDescent="0.25">
      <c r="A759">
        <v>218.91381699999999</v>
      </c>
      <c r="B759" s="1">
        <f>DATE(2010,12,5) + TIME(21,55,53)</f>
        <v>40517.913807870369</v>
      </c>
      <c r="C759">
        <v>80</v>
      </c>
      <c r="D759">
        <v>75.616508483999993</v>
      </c>
      <c r="E759">
        <v>50</v>
      </c>
      <c r="F759">
        <v>49.949680327999999</v>
      </c>
      <c r="G759">
        <v>1328.4674072</v>
      </c>
      <c r="H759">
        <v>1327.2606201000001</v>
      </c>
      <c r="I759">
        <v>1336.4259033000001</v>
      </c>
      <c r="J759">
        <v>1334.4821777</v>
      </c>
      <c r="K759">
        <v>0</v>
      </c>
      <c r="L759">
        <v>1650</v>
      </c>
      <c r="M759">
        <v>1650</v>
      </c>
      <c r="N759">
        <v>0</v>
      </c>
    </row>
    <row r="760" spans="1:14" x14ac:dyDescent="0.25">
      <c r="A760">
        <v>219.98118400000001</v>
      </c>
      <c r="B760" s="1">
        <f>DATE(2010,12,6) + TIME(23,32,54)</f>
        <v>40518.981180555558</v>
      </c>
      <c r="C760">
        <v>80</v>
      </c>
      <c r="D760">
        <v>75.483047485</v>
      </c>
      <c r="E760">
        <v>50</v>
      </c>
      <c r="F760">
        <v>49.949665070000002</v>
      </c>
      <c r="G760">
        <v>1328.4357910000001</v>
      </c>
      <c r="H760">
        <v>1327.2182617000001</v>
      </c>
      <c r="I760">
        <v>1336.4194336</v>
      </c>
      <c r="J760">
        <v>1334.4793701000001</v>
      </c>
      <c r="K760">
        <v>0</v>
      </c>
      <c r="L760">
        <v>1650</v>
      </c>
      <c r="M760">
        <v>1650</v>
      </c>
      <c r="N760">
        <v>0</v>
      </c>
    </row>
    <row r="761" spans="1:14" x14ac:dyDescent="0.25">
      <c r="A761">
        <v>221.067511</v>
      </c>
      <c r="B761" s="1">
        <f>DATE(2010,12,8) + TIME(1,37,12)</f>
        <v>40520.067499999997</v>
      </c>
      <c r="C761">
        <v>80</v>
      </c>
      <c r="D761">
        <v>75.345619201999995</v>
      </c>
      <c r="E761">
        <v>50</v>
      </c>
      <c r="F761">
        <v>49.949649811</v>
      </c>
      <c r="G761">
        <v>1328.4040527</v>
      </c>
      <c r="H761">
        <v>1327.1756591999999</v>
      </c>
      <c r="I761">
        <v>1336.4129639</v>
      </c>
      <c r="J761">
        <v>1334.4768065999999</v>
      </c>
      <c r="K761">
        <v>0</v>
      </c>
      <c r="L761">
        <v>1650</v>
      </c>
      <c r="M761">
        <v>1650</v>
      </c>
      <c r="N761">
        <v>0</v>
      </c>
    </row>
    <row r="762" spans="1:14" x14ac:dyDescent="0.25">
      <c r="A762">
        <v>222.176535</v>
      </c>
      <c r="B762" s="1">
        <f>DATE(2010,12,9) + TIME(4,14,12)</f>
        <v>40521.176527777781</v>
      </c>
      <c r="C762">
        <v>80</v>
      </c>
      <c r="D762">
        <v>75.204315186000002</v>
      </c>
      <c r="E762">
        <v>50</v>
      </c>
      <c r="F762">
        <v>49.949638366999999</v>
      </c>
      <c r="G762">
        <v>1328.3723144999999</v>
      </c>
      <c r="H762">
        <v>1327.1328125</v>
      </c>
      <c r="I762">
        <v>1336.4066161999999</v>
      </c>
      <c r="J762">
        <v>1334.4742432</v>
      </c>
      <c r="K762">
        <v>0</v>
      </c>
      <c r="L762">
        <v>1650</v>
      </c>
      <c r="M762">
        <v>1650</v>
      </c>
      <c r="N762">
        <v>0</v>
      </c>
    </row>
    <row r="763" spans="1:14" x14ac:dyDescent="0.25">
      <c r="A763">
        <v>223.298179</v>
      </c>
      <c r="B763" s="1">
        <f>DATE(2010,12,10) + TIME(7,9,22)</f>
        <v>40522.298171296294</v>
      </c>
      <c r="C763">
        <v>80</v>
      </c>
      <c r="D763">
        <v>75.059684752999999</v>
      </c>
      <c r="E763">
        <v>50</v>
      </c>
      <c r="F763">
        <v>49.949623107999997</v>
      </c>
      <c r="G763">
        <v>1328.3404541</v>
      </c>
      <c r="H763">
        <v>1327.0900879000001</v>
      </c>
      <c r="I763">
        <v>1336.4003906</v>
      </c>
      <c r="J763">
        <v>1334.4716797000001</v>
      </c>
      <c r="K763">
        <v>0</v>
      </c>
      <c r="L763">
        <v>1650</v>
      </c>
      <c r="M763">
        <v>1650</v>
      </c>
      <c r="N763">
        <v>0</v>
      </c>
    </row>
    <row r="764" spans="1:14" x14ac:dyDescent="0.25">
      <c r="A764">
        <v>224.43281999999999</v>
      </c>
      <c r="B764" s="1">
        <f>DATE(2010,12,11) + TIME(10,23,15)</f>
        <v>40523.432812500003</v>
      </c>
      <c r="C764">
        <v>80</v>
      </c>
      <c r="D764">
        <v>74.912025451999995</v>
      </c>
      <c r="E764">
        <v>50</v>
      </c>
      <c r="F764">
        <v>49.949611664000003</v>
      </c>
      <c r="G764">
        <v>1328.3087158000001</v>
      </c>
      <c r="H764">
        <v>1327.0473632999999</v>
      </c>
      <c r="I764">
        <v>1336.3942870999999</v>
      </c>
      <c r="J764">
        <v>1334.4692382999999</v>
      </c>
      <c r="K764">
        <v>0</v>
      </c>
      <c r="L764">
        <v>1650</v>
      </c>
      <c r="M764">
        <v>1650</v>
      </c>
      <c r="N764">
        <v>0</v>
      </c>
    </row>
    <row r="765" spans="1:14" x14ac:dyDescent="0.25">
      <c r="A765">
        <v>225.58632399999999</v>
      </c>
      <c r="B765" s="1">
        <f>DATE(2010,12,12) + TIME(14,4,18)</f>
        <v>40524.586319444446</v>
      </c>
      <c r="C765">
        <v>80</v>
      </c>
      <c r="D765">
        <v>74.761161803999997</v>
      </c>
      <c r="E765">
        <v>50</v>
      </c>
      <c r="F765">
        <v>49.949604033999996</v>
      </c>
      <c r="G765">
        <v>1328.2770995999999</v>
      </c>
      <c r="H765">
        <v>1327.0050048999999</v>
      </c>
      <c r="I765">
        <v>1336.3881836</v>
      </c>
      <c r="J765">
        <v>1334.4669189000001</v>
      </c>
      <c r="K765">
        <v>0</v>
      </c>
      <c r="L765">
        <v>1650</v>
      </c>
      <c r="M765">
        <v>1650</v>
      </c>
      <c r="N765">
        <v>0</v>
      </c>
    </row>
    <row r="766" spans="1:14" x14ac:dyDescent="0.25">
      <c r="A766">
        <v>226.766321</v>
      </c>
      <c r="B766" s="1">
        <f>DATE(2010,12,13) + TIME(18,23,30)</f>
        <v>40525.766319444447</v>
      </c>
      <c r="C766">
        <v>80</v>
      </c>
      <c r="D766">
        <v>74.606575011999993</v>
      </c>
      <c r="E766">
        <v>50</v>
      </c>
      <c r="F766">
        <v>49.949596405000001</v>
      </c>
      <c r="G766">
        <v>1328.2456055</v>
      </c>
      <c r="H766">
        <v>1326.9627685999999</v>
      </c>
      <c r="I766">
        <v>1336.3822021000001</v>
      </c>
      <c r="J766">
        <v>1334.4645995999999</v>
      </c>
      <c r="K766">
        <v>0</v>
      </c>
      <c r="L766">
        <v>1650</v>
      </c>
      <c r="M766">
        <v>1650</v>
      </c>
      <c r="N766">
        <v>0</v>
      </c>
    </row>
    <row r="767" spans="1:14" x14ac:dyDescent="0.25">
      <c r="A767">
        <v>227.973555</v>
      </c>
      <c r="B767" s="1">
        <f>DATE(2010,12,14) + TIME(23,21,55)</f>
        <v>40526.973553240743</v>
      </c>
      <c r="C767">
        <v>80</v>
      </c>
      <c r="D767">
        <v>74.447822571000003</v>
      </c>
      <c r="E767">
        <v>50</v>
      </c>
      <c r="F767">
        <v>49.949588775999999</v>
      </c>
      <c r="G767">
        <v>1328.2141113</v>
      </c>
      <c r="H767">
        <v>1326.9204102000001</v>
      </c>
      <c r="I767">
        <v>1336.3762207</v>
      </c>
      <c r="J767">
        <v>1334.4622803</v>
      </c>
      <c r="K767">
        <v>0</v>
      </c>
      <c r="L767">
        <v>1650</v>
      </c>
      <c r="M767">
        <v>1650</v>
      </c>
      <c r="N767">
        <v>0</v>
      </c>
    </row>
    <row r="768" spans="1:14" x14ac:dyDescent="0.25">
      <c r="A768">
        <v>229.21408700000001</v>
      </c>
      <c r="B768" s="1">
        <f>DATE(2010,12,16) + TIME(5,8,17)</f>
        <v>40528.214085648149</v>
      </c>
      <c r="C768">
        <v>80</v>
      </c>
      <c r="D768">
        <v>74.284339904999996</v>
      </c>
      <c r="E768">
        <v>50</v>
      </c>
      <c r="F768">
        <v>49.949584960999999</v>
      </c>
      <c r="G768">
        <v>1328.1823730000001</v>
      </c>
      <c r="H768">
        <v>1326.8780518000001</v>
      </c>
      <c r="I768">
        <v>1336.3703613</v>
      </c>
      <c r="J768">
        <v>1334.4600829999999</v>
      </c>
      <c r="K768">
        <v>0</v>
      </c>
      <c r="L768">
        <v>1650</v>
      </c>
      <c r="M768">
        <v>1650</v>
      </c>
      <c r="N768">
        <v>0</v>
      </c>
    </row>
    <row r="769" spans="1:14" x14ac:dyDescent="0.25">
      <c r="A769">
        <v>230.49575400000001</v>
      </c>
      <c r="B769" s="1">
        <f>DATE(2010,12,17) + TIME(11,53,53)</f>
        <v>40529.495752314811</v>
      </c>
      <c r="C769">
        <v>80</v>
      </c>
      <c r="D769">
        <v>74.115341186999999</v>
      </c>
      <c r="E769">
        <v>50</v>
      </c>
      <c r="F769">
        <v>49.949584960999999</v>
      </c>
      <c r="G769">
        <v>1328.1505127</v>
      </c>
      <c r="H769">
        <v>1326.8353271000001</v>
      </c>
      <c r="I769">
        <v>1336.3643798999999</v>
      </c>
      <c r="J769">
        <v>1334.4578856999999</v>
      </c>
      <c r="K769">
        <v>0</v>
      </c>
      <c r="L769">
        <v>1650</v>
      </c>
      <c r="M769">
        <v>1650</v>
      </c>
      <c r="N769">
        <v>0</v>
      </c>
    </row>
    <row r="770" spans="1:14" x14ac:dyDescent="0.25">
      <c r="A770">
        <v>231.80022500000001</v>
      </c>
      <c r="B770" s="1">
        <f>DATE(2010,12,18) + TIME(19,12,19)</f>
        <v>40530.800219907411</v>
      </c>
      <c r="C770">
        <v>80</v>
      </c>
      <c r="D770">
        <v>73.941207886000001</v>
      </c>
      <c r="E770">
        <v>50</v>
      </c>
      <c r="F770">
        <v>49.949581146</v>
      </c>
      <c r="G770">
        <v>1328.1182861</v>
      </c>
      <c r="H770">
        <v>1326.7923584</v>
      </c>
      <c r="I770">
        <v>1336.3583983999999</v>
      </c>
      <c r="J770">
        <v>1334.4556885</v>
      </c>
      <c r="K770">
        <v>0</v>
      </c>
      <c r="L770">
        <v>1650</v>
      </c>
      <c r="M770">
        <v>1650</v>
      </c>
      <c r="N770">
        <v>0</v>
      </c>
    </row>
    <row r="771" spans="1:14" x14ac:dyDescent="0.25">
      <c r="A771">
        <v>233.10627600000001</v>
      </c>
      <c r="B771" s="1">
        <f>DATE(2010,12,20) + TIME(2,33,2)</f>
        <v>40532.106273148151</v>
      </c>
      <c r="C771">
        <v>80</v>
      </c>
      <c r="D771">
        <v>73.763763428000004</v>
      </c>
      <c r="E771">
        <v>50</v>
      </c>
      <c r="F771">
        <v>49.949581146</v>
      </c>
      <c r="G771">
        <v>1328.0860596</v>
      </c>
      <c r="H771">
        <v>1326.7492675999999</v>
      </c>
      <c r="I771">
        <v>1336.3525391000001</v>
      </c>
      <c r="J771">
        <v>1334.4536132999999</v>
      </c>
      <c r="K771">
        <v>0</v>
      </c>
      <c r="L771">
        <v>1650</v>
      </c>
      <c r="M771">
        <v>1650</v>
      </c>
      <c r="N771">
        <v>0</v>
      </c>
    </row>
    <row r="772" spans="1:14" x14ac:dyDescent="0.25">
      <c r="A772">
        <v>234.42335</v>
      </c>
      <c r="B772" s="1">
        <f>DATE(2010,12,21) + TIME(10,9,37)</f>
        <v>40533.423344907409</v>
      </c>
      <c r="C772">
        <v>80</v>
      </c>
      <c r="D772">
        <v>73.583908081000004</v>
      </c>
      <c r="E772">
        <v>50</v>
      </c>
      <c r="F772">
        <v>49.949581146</v>
      </c>
      <c r="G772">
        <v>1328.0541992000001</v>
      </c>
      <c r="H772">
        <v>1326.706543</v>
      </c>
      <c r="I772">
        <v>1336.3468018000001</v>
      </c>
      <c r="J772">
        <v>1334.4515381000001</v>
      </c>
      <c r="K772">
        <v>0</v>
      </c>
      <c r="L772">
        <v>1650</v>
      </c>
      <c r="M772">
        <v>1650</v>
      </c>
      <c r="N772">
        <v>0</v>
      </c>
    </row>
    <row r="773" spans="1:14" x14ac:dyDescent="0.25">
      <c r="A773">
        <v>235.76070300000001</v>
      </c>
      <c r="B773" s="1">
        <f>DATE(2010,12,22) + TIME(18,15,24)</f>
        <v>40534.760694444441</v>
      </c>
      <c r="C773">
        <v>80</v>
      </c>
      <c r="D773">
        <v>73.401252747000001</v>
      </c>
      <c r="E773">
        <v>50</v>
      </c>
      <c r="F773">
        <v>49.949584960999999</v>
      </c>
      <c r="G773">
        <v>1328.0227050999999</v>
      </c>
      <c r="H773">
        <v>1326.6643065999999</v>
      </c>
      <c r="I773">
        <v>1336.3410644999999</v>
      </c>
      <c r="J773">
        <v>1334.4495850000001</v>
      </c>
      <c r="K773">
        <v>0</v>
      </c>
      <c r="L773">
        <v>1650</v>
      </c>
      <c r="M773">
        <v>1650</v>
      </c>
      <c r="N773">
        <v>0</v>
      </c>
    </row>
    <row r="774" spans="1:14" x14ac:dyDescent="0.25">
      <c r="A774">
        <v>237.126047</v>
      </c>
      <c r="B774" s="1">
        <f>DATE(2010,12,24) + TIME(3,1,30)</f>
        <v>40536.12604166667</v>
      </c>
      <c r="C774">
        <v>80</v>
      </c>
      <c r="D774">
        <v>73.214988708000007</v>
      </c>
      <c r="E774">
        <v>50</v>
      </c>
      <c r="F774">
        <v>49.949588775999999</v>
      </c>
      <c r="G774">
        <v>1327.9913329999999</v>
      </c>
      <c r="H774">
        <v>1326.6224365</v>
      </c>
      <c r="I774">
        <v>1336.3354492000001</v>
      </c>
      <c r="J774">
        <v>1334.4475098</v>
      </c>
      <c r="K774">
        <v>0</v>
      </c>
      <c r="L774">
        <v>1650</v>
      </c>
      <c r="M774">
        <v>1650</v>
      </c>
      <c r="N774">
        <v>0</v>
      </c>
    </row>
    <row r="775" spans="1:14" x14ac:dyDescent="0.25">
      <c r="A775">
        <v>238.51460700000001</v>
      </c>
      <c r="B775" s="1">
        <f>DATE(2010,12,25) + TIME(12,21,2)</f>
        <v>40537.514606481483</v>
      </c>
      <c r="C775">
        <v>80</v>
      </c>
      <c r="D775">
        <v>73.024795531999999</v>
      </c>
      <c r="E775">
        <v>50</v>
      </c>
      <c r="F775">
        <v>49.949592590000002</v>
      </c>
      <c r="G775">
        <v>1327.9600829999999</v>
      </c>
      <c r="H775">
        <v>1326.5805664</v>
      </c>
      <c r="I775">
        <v>1336.3299560999999</v>
      </c>
      <c r="J775">
        <v>1334.4456786999999</v>
      </c>
      <c r="K775">
        <v>0</v>
      </c>
      <c r="L775">
        <v>1650</v>
      </c>
      <c r="M775">
        <v>1650</v>
      </c>
      <c r="N775">
        <v>0</v>
      </c>
    </row>
    <row r="776" spans="1:14" x14ac:dyDescent="0.25">
      <c r="A776">
        <v>239.936207</v>
      </c>
      <c r="B776" s="1">
        <f>DATE(2010,12,26) + TIME(22,28,8)</f>
        <v>40538.936203703706</v>
      </c>
      <c r="C776">
        <v>80</v>
      </c>
      <c r="D776">
        <v>72.830238342000001</v>
      </c>
      <c r="E776">
        <v>50</v>
      </c>
      <c r="F776">
        <v>49.949604033999996</v>
      </c>
      <c r="G776">
        <v>1327.9288329999999</v>
      </c>
      <c r="H776">
        <v>1326.5388184000001</v>
      </c>
      <c r="I776">
        <v>1336.3243408000001</v>
      </c>
      <c r="J776">
        <v>1334.4437256000001</v>
      </c>
      <c r="K776">
        <v>0</v>
      </c>
      <c r="L776">
        <v>1650</v>
      </c>
      <c r="M776">
        <v>1650</v>
      </c>
      <c r="N776">
        <v>0</v>
      </c>
    </row>
    <row r="777" spans="1:14" x14ac:dyDescent="0.25">
      <c r="A777">
        <v>241.401129</v>
      </c>
      <c r="B777" s="1">
        <f>DATE(2010,12,28) + TIME(9,37,37)</f>
        <v>40540.401122685187</v>
      </c>
      <c r="C777">
        <v>80</v>
      </c>
      <c r="D777">
        <v>72.630317688000005</v>
      </c>
      <c r="E777">
        <v>50</v>
      </c>
      <c r="F777">
        <v>49.949611664000003</v>
      </c>
      <c r="G777">
        <v>1327.8974608999999</v>
      </c>
      <c r="H777">
        <v>1326.4969481999999</v>
      </c>
      <c r="I777">
        <v>1336.3188477000001</v>
      </c>
      <c r="J777">
        <v>1334.4418945</v>
      </c>
      <c r="K777">
        <v>0</v>
      </c>
      <c r="L777">
        <v>1650</v>
      </c>
      <c r="M777">
        <v>1650</v>
      </c>
      <c r="N777">
        <v>0</v>
      </c>
    </row>
    <row r="778" spans="1:14" x14ac:dyDescent="0.25">
      <c r="A778">
        <v>242.87083000000001</v>
      </c>
      <c r="B778" s="1">
        <f>DATE(2010,12,29) + TIME(20,53,59)</f>
        <v>40541.870821759258</v>
      </c>
      <c r="C778">
        <v>80</v>
      </c>
      <c r="D778">
        <v>72.426132202000005</v>
      </c>
      <c r="E778">
        <v>50</v>
      </c>
      <c r="F778">
        <v>49.949623107999997</v>
      </c>
      <c r="G778">
        <v>1327.8659668</v>
      </c>
      <c r="H778">
        <v>1326.4549560999999</v>
      </c>
      <c r="I778">
        <v>1336.3132324000001</v>
      </c>
      <c r="J778">
        <v>1334.4400635</v>
      </c>
      <c r="K778">
        <v>0</v>
      </c>
      <c r="L778">
        <v>1650</v>
      </c>
      <c r="M778">
        <v>1650</v>
      </c>
      <c r="N778">
        <v>0</v>
      </c>
    </row>
    <row r="779" spans="1:14" x14ac:dyDescent="0.25">
      <c r="A779">
        <v>244.35510199999999</v>
      </c>
      <c r="B779" s="1">
        <f>DATE(2010,12,31) + TIME(8,31,20)</f>
        <v>40543.355092592596</v>
      </c>
      <c r="C779">
        <v>80</v>
      </c>
      <c r="D779">
        <v>72.219230651999993</v>
      </c>
      <c r="E779">
        <v>50</v>
      </c>
      <c r="F779">
        <v>49.949634551999999</v>
      </c>
      <c r="G779">
        <v>1327.8348389</v>
      </c>
      <c r="H779">
        <v>1326.4132079999999</v>
      </c>
      <c r="I779">
        <v>1336.3078613</v>
      </c>
      <c r="J779">
        <v>1334.4382324000001</v>
      </c>
      <c r="K779">
        <v>0</v>
      </c>
      <c r="L779">
        <v>1650</v>
      </c>
      <c r="M779">
        <v>1650</v>
      </c>
      <c r="N779">
        <v>0</v>
      </c>
    </row>
    <row r="780" spans="1:14" x14ac:dyDescent="0.25">
      <c r="A780">
        <v>245</v>
      </c>
      <c r="B780" s="1">
        <f>DATE(2011,1,1) + TIME(0,0,0)</f>
        <v>40544</v>
      </c>
      <c r="C780">
        <v>80</v>
      </c>
      <c r="D780">
        <v>72.075752257999994</v>
      </c>
      <c r="E780">
        <v>50</v>
      </c>
      <c r="F780">
        <v>49.949615479000002</v>
      </c>
      <c r="G780">
        <v>1327.8044434000001</v>
      </c>
      <c r="H780">
        <v>1326.3741454999999</v>
      </c>
      <c r="I780">
        <v>1336.3023682</v>
      </c>
      <c r="J780">
        <v>1334.4364014</v>
      </c>
      <c r="K780">
        <v>0</v>
      </c>
      <c r="L780">
        <v>1650</v>
      </c>
      <c r="M780">
        <v>1650</v>
      </c>
      <c r="N780">
        <v>0</v>
      </c>
    </row>
    <row r="781" spans="1:14" x14ac:dyDescent="0.25">
      <c r="A781">
        <v>246.510052</v>
      </c>
      <c r="B781" s="1">
        <f>DATE(2011,1,2) + TIME(12,14,28)</f>
        <v>40545.510046296295</v>
      </c>
      <c r="C781">
        <v>80</v>
      </c>
      <c r="D781">
        <v>71.899787903000004</v>
      </c>
      <c r="E781">
        <v>50</v>
      </c>
      <c r="F781">
        <v>49.949645996000001</v>
      </c>
      <c r="G781">
        <v>1327.7872314000001</v>
      </c>
      <c r="H781">
        <v>1326.3479004000001</v>
      </c>
      <c r="I781">
        <v>1336.3001709</v>
      </c>
      <c r="J781">
        <v>1334.4356689000001</v>
      </c>
      <c r="K781">
        <v>0</v>
      </c>
      <c r="L781">
        <v>1650</v>
      </c>
      <c r="M781">
        <v>1650</v>
      </c>
      <c r="N781">
        <v>0</v>
      </c>
    </row>
    <row r="782" spans="1:14" x14ac:dyDescent="0.25">
      <c r="A782">
        <v>248.05752000000001</v>
      </c>
      <c r="B782" s="1">
        <f>DATE(2011,1,4) + TIME(1,22,49)</f>
        <v>40547.057511574072</v>
      </c>
      <c r="C782">
        <v>80</v>
      </c>
      <c r="D782">
        <v>71.697189331000004</v>
      </c>
      <c r="E782">
        <v>50</v>
      </c>
      <c r="F782">
        <v>49.949668883999998</v>
      </c>
      <c r="G782">
        <v>1327.7587891000001</v>
      </c>
      <c r="H782">
        <v>1326.3109131000001</v>
      </c>
      <c r="I782">
        <v>1336.2947998</v>
      </c>
      <c r="J782">
        <v>1334.4339600000001</v>
      </c>
      <c r="K782">
        <v>0</v>
      </c>
      <c r="L782">
        <v>1650</v>
      </c>
      <c r="M782">
        <v>1650</v>
      </c>
      <c r="N782">
        <v>0</v>
      </c>
    </row>
    <row r="783" spans="1:14" x14ac:dyDescent="0.25">
      <c r="A783">
        <v>249.6337</v>
      </c>
      <c r="B783" s="1">
        <f>DATE(2011,1,5) + TIME(15,12,31)</f>
        <v>40548.633692129632</v>
      </c>
      <c r="C783">
        <v>80</v>
      </c>
      <c r="D783">
        <v>71.482139587000006</v>
      </c>
      <c r="E783">
        <v>50</v>
      </c>
      <c r="F783">
        <v>49.949687957999998</v>
      </c>
      <c r="G783">
        <v>1327.7288818</v>
      </c>
      <c r="H783">
        <v>1326.2714844</v>
      </c>
      <c r="I783">
        <v>1336.2895507999999</v>
      </c>
      <c r="J783">
        <v>1334.432251</v>
      </c>
      <c r="K783">
        <v>0</v>
      </c>
      <c r="L783">
        <v>1650</v>
      </c>
      <c r="M783">
        <v>1650</v>
      </c>
      <c r="N783">
        <v>0</v>
      </c>
    </row>
    <row r="784" spans="1:14" x14ac:dyDescent="0.25">
      <c r="A784">
        <v>251.25092100000001</v>
      </c>
      <c r="B784" s="1">
        <f>DATE(2011,1,7) + TIME(6,1,19)</f>
        <v>40550.250914351855</v>
      </c>
      <c r="C784">
        <v>80</v>
      </c>
      <c r="D784">
        <v>71.259475707999997</v>
      </c>
      <c r="E784">
        <v>50</v>
      </c>
      <c r="F784">
        <v>49.949710846000002</v>
      </c>
      <c r="G784">
        <v>1327.6986084</v>
      </c>
      <c r="H784">
        <v>1326.2312012</v>
      </c>
      <c r="I784">
        <v>1336.2841797000001</v>
      </c>
      <c r="J784">
        <v>1334.4305420000001</v>
      </c>
      <c r="K784">
        <v>0</v>
      </c>
      <c r="L784">
        <v>1650</v>
      </c>
      <c r="M784">
        <v>1650</v>
      </c>
      <c r="N784">
        <v>0</v>
      </c>
    </row>
    <row r="785" spans="1:14" x14ac:dyDescent="0.25">
      <c r="A785">
        <v>252.90167600000001</v>
      </c>
      <c r="B785" s="1">
        <f>DATE(2011,1,8) + TIME(21,38,24)</f>
        <v>40551.901666666665</v>
      </c>
      <c r="C785">
        <v>80</v>
      </c>
      <c r="D785">
        <v>71.030609131000006</v>
      </c>
      <c r="E785">
        <v>50</v>
      </c>
      <c r="F785">
        <v>49.949733733999999</v>
      </c>
      <c r="G785">
        <v>1327.6680908000001</v>
      </c>
      <c r="H785">
        <v>1326.1905518000001</v>
      </c>
      <c r="I785">
        <v>1336.2789307</v>
      </c>
      <c r="J785">
        <v>1334.4288329999999</v>
      </c>
      <c r="K785">
        <v>0</v>
      </c>
      <c r="L785">
        <v>1650</v>
      </c>
      <c r="M785">
        <v>1650</v>
      </c>
      <c r="N785">
        <v>0</v>
      </c>
    </row>
    <row r="786" spans="1:14" x14ac:dyDescent="0.25">
      <c r="A786">
        <v>254.56305399999999</v>
      </c>
      <c r="B786" s="1">
        <f>DATE(2011,1,10) + TIME(13,30,47)</f>
        <v>40553.563043981485</v>
      </c>
      <c r="C786">
        <v>80</v>
      </c>
      <c r="D786">
        <v>70.797447204999997</v>
      </c>
      <c r="E786">
        <v>50</v>
      </c>
      <c r="F786">
        <v>49.949756622000002</v>
      </c>
      <c r="G786">
        <v>1327.6374512</v>
      </c>
      <c r="H786">
        <v>1326.1496582</v>
      </c>
      <c r="I786">
        <v>1336.2736815999999</v>
      </c>
      <c r="J786">
        <v>1334.427124</v>
      </c>
      <c r="K786">
        <v>0</v>
      </c>
      <c r="L786">
        <v>1650</v>
      </c>
      <c r="M786">
        <v>1650</v>
      </c>
      <c r="N786">
        <v>0</v>
      </c>
    </row>
    <row r="787" spans="1:14" x14ac:dyDescent="0.25">
      <c r="A787">
        <v>256.23230599999999</v>
      </c>
      <c r="B787" s="1">
        <f>DATE(2011,1,12) + TIME(5,34,31)</f>
        <v>40555.232303240744</v>
      </c>
      <c r="C787">
        <v>80</v>
      </c>
      <c r="D787">
        <v>70.561965942</v>
      </c>
      <c r="E787">
        <v>50</v>
      </c>
      <c r="F787">
        <v>49.949779509999999</v>
      </c>
      <c r="G787">
        <v>1327.6070557</v>
      </c>
      <c r="H787">
        <v>1326.1091309000001</v>
      </c>
      <c r="I787">
        <v>1336.2684326000001</v>
      </c>
      <c r="J787">
        <v>1334.4255370999999</v>
      </c>
      <c r="K787">
        <v>0</v>
      </c>
      <c r="L787">
        <v>1650</v>
      </c>
      <c r="M787">
        <v>1650</v>
      </c>
      <c r="N787">
        <v>0</v>
      </c>
    </row>
    <row r="788" spans="1:14" x14ac:dyDescent="0.25">
      <c r="A788">
        <v>257.91975400000001</v>
      </c>
      <c r="B788" s="1">
        <f>DATE(2011,1,13) + TIME(22,4,26)</f>
        <v>40556.919745370367</v>
      </c>
      <c r="C788">
        <v>80</v>
      </c>
      <c r="D788">
        <v>70.324554442999997</v>
      </c>
      <c r="E788">
        <v>50</v>
      </c>
      <c r="F788">
        <v>49.949806213000002</v>
      </c>
      <c r="G788">
        <v>1327.5770264</v>
      </c>
      <c r="H788">
        <v>1326.0689697</v>
      </c>
      <c r="I788">
        <v>1336.2633057</v>
      </c>
      <c r="J788">
        <v>1334.4239502</v>
      </c>
      <c r="K788">
        <v>0</v>
      </c>
      <c r="L788">
        <v>1650</v>
      </c>
      <c r="M788">
        <v>1650</v>
      </c>
      <c r="N788">
        <v>0</v>
      </c>
    </row>
    <row r="789" spans="1:14" x14ac:dyDescent="0.25">
      <c r="A789">
        <v>259.638375</v>
      </c>
      <c r="B789" s="1">
        <f>DATE(2011,1,15) + TIME(15,19,15)</f>
        <v>40558.638368055559</v>
      </c>
      <c r="C789">
        <v>80</v>
      </c>
      <c r="D789">
        <v>70.084213257000002</v>
      </c>
      <c r="E789">
        <v>50</v>
      </c>
      <c r="F789">
        <v>49.949836730999998</v>
      </c>
      <c r="G789">
        <v>1327.5473632999999</v>
      </c>
      <c r="H789">
        <v>1326.0292969</v>
      </c>
      <c r="I789">
        <v>1336.2581786999999</v>
      </c>
      <c r="J789">
        <v>1334.4223632999999</v>
      </c>
      <c r="K789">
        <v>0</v>
      </c>
      <c r="L789">
        <v>1650</v>
      </c>
      <c r="M789">
        <v>1650</v>
      </c>
      <c r="N789">
        <v>0</v>
      </c>
    </row>
    <row r="790" spans="1:14" x14ac:dyDescent="0.25">
      <c r="A790">
        <v>261.40217699999999</v>
      </c>
      <c r="B790" s="1">
        <f>DATE(2011,1,17) + TIME(9,39,8)</f>
        <v>40560.402175925927</v>
      </c>
      <c r="C790">
        <v>80</v>
      </c>
      <c r="D790">
        <v>69.839233398000005</v>
      </c>
      <c r="E790">
        <v>50</v>
      </c>
      <c r="F790">
        <v>49.949867249</v>
      </c>
      <c r="G790">
        <v>1327.5178223</v>
      </c>
      <c r="H790">
        <v>1325.9897461</v>
      </c>
      <c r="I790">
        <v>1336.2530518000001</v>
      </c>
      <c r="J790">
        <v>1334.4207764</v>
      </c>
      <c r="K790">
        <v>0</v>
      </c>
      <c r="L790">
        <v>1650</v>
      </c>
      <c r="M790">
        <v>1650</v>
      </c>
      <c r="N790">
        <v>0</v>
      </c>
    </row>
    <row r="791" spans="1:14" x14ac:dyDescent="0.25">
      <c r="A791">
        <v>263.20619199999999</v>
      </c>
      <c r="B791" s="1">
        <f>DATE(2011,1,19) + TIME(4,56,54)</f>
        <v>40562.206180555557</v>
      </c>
      <c r="C791">
        <v>80</v>
      </c>
      <c r="D791">
        <v>69.588623046999999</v>
      </c>
      <c r="E791">
        <v>50</v>
      </c>
      <c r="F791">
        <v>49.949901580999999</v>
      </c>
      <c r="G791">
        <v>1327.4881591999999</v>
      </c>
      <c r="H791">
        <v>1325.9501952999999</v>
      </c>
      <c r="I791">
        <v>1336.2480469</v>
      </c>
      <c r="J791">
        <v>1334.4191894999999</v>
      </c>
      <c r="K791">
        <v>0</v>
      </c>
      <c r="L791">
        <v>1650</v>
      </c>
      <c r="M791">
        <v>1650</v>
      </c>
      <c r="N791">
        <v>0</v>
      </c>
    </row>
    <row r="792" spans="1:14" x14ac:dyDescent="0.25">
      <c r="A792">
        <v>264.121824</v>
      </c>
      <c r="B792" s="1">
        <f>DATE(2011,1,20) + TIME(2,55,25)</f>
        <v>40563.121817129628</v>
      </c>
      <c r="C792">
        <v>80</v>
      </c>
      <c r="D792">
        <v>69.391113281000003</v>
      </c>
      <c r="E792">
        <v>50</v>
      </c>
      <c r="F792">
        <v>49.949893951</v>
      </c>
      <c r="G792">
        <v>1327.4587402</v>
      </c>
      <c r="H792">
        <v>1325.9122314000001</v>
      </c>
      <c r="I792">
        <v>1336.2427978999999</v>
      </c>
      <c r="J792">
        <v>1334.4174805</v>
      </c>
      <c r="K792">
        <v>0</v>
      </c>
      <c r="L792">
        <v>1650</v>
      </c>
      <c r="M792">
        <v>1650</v>
      </c>
      <c r="N792">
        <v>0</v>
      </c>
    </row>
    <row r="793" spans="1:14" x14ac:dyDescent="0.25">
      <c r="A793">
        <v>265.03745500000002</v>
      </c>
      <c r="B793" s="1">
        <f>DATE(2011,1,21) + TIME(0,53,56)</f>
        <v>40564.037453703706</v>
      </c>
      <c r="C793">
        <v>80</v>
      </c>
      <c r="D793">
        <v>69.230209350999999</v>
      </c>
      <c r="E793">
        <v>50</v>
      </c>
      <c r="F793">
        <v>49.949897765999999</v>
      </c>
      <c r="G793">
        <v>1327.4405518000001</v>
      </c>
      <c r="H793">
        <v>1325.8857422000001</v>
      </c>
      <c r="I793">
        <v>1336.2402344</v>
      </c>
      <c r="J793">
        <v>1334.416626</v>
      </c>
      <c r="K793">
        <v>0</v>
      </c>
      <c r="L793">
        <v>1650</v>
      </c>
      <c r="M793">
        <v>1650</v>
      </c>
      <c r="N793">
        <v>0</v>
      </c>
    </row>
    <row r="794" spans="1:14" x14ac:dyDescent="0.25">
      <c r="A794">
        <v>265.95308699999998</v>
      </c>
      <c r="B794" s="1">
        <f>DATE(2011,1,21) + TIME(22,52,26)</f>
        <v>40564.9530787037</v>
      </c>
      <c r="C794">
        <v>80</v>
      </c>
      <c r="D794">
        <v>69.085945128999995</v>
      </c>
      <c r="E794">
        <v>50</v>
      </c>
      <c r="F794">
        <v>49.949909210000001</v>
      </c>
      <c r="G794">
        <v>1327.4241943</v>
      </c>
      <c r="H794">
        <v>1325.862793</v>
      </c>
      <c r="I794">
        <v>1336.237793</v>
      </c>
      <c r="J794">
        <v>1334.4158935999999</v>
      </c>
      <c r="K794">
        <v>0</v>
      </c>
      <c r="L794">
        <v>1650</v>
      </c>
      <c r="M794">
        <v>1650</v>
      </c>
      <c r="N794">
        <v>0</v>
      </c>
    </row>
    <row r="795" spans="1:14" x14ac:dyDescent="0.25">
      <c r="A795">
        <v>267.78435000000002</v>
      </c>
      <c r="B795" s="1">
        <f>DATE(2011,1,23) + TIME(18,49,27)</f>
        <v>40566.78434027778</v>
      </c>
      <c r="C795">
        <v>80</v>
      </c>
      <c r="D795">
        <v>68.909202575999998</v>
      </c>
      <c r="E795">
        <v>50</v>
      </c>
      <c r="F795">
        <v>49.949974060000002</v>
      </c>
      <c r="G795">
        <v>1327.4085693</v>
      </c>
      <c r="H795">
        <v>1325.8404541</v>
      </c>
      <c r="I795">
        <v>1336.2353516000001</v>
      </c>
      <c r="J795">
        <v>1334.4151611</v>
      </c>
      <c r="K795">
        <v>0</v>
      </c>
      <c r="L795">
        <v>1650</v>
      </c>
      <c r="M795">
        <v>1650</v>
      </c>
      <c r="N795">
        <v>0</v>
      </c>
    </row>
    <row r="796" spans="1:14" x14ac:dyDescent="0.25">
      <c r="A796">
        <v>269.61969800000003</v>
      </c>
      <c r="B796" s="1">
        <f>DATE(2011,1,25) + TIME(14,52,21)</f>
        <v>40568.619687500002</v>
      </c>
      <c r="C796">
        <v>80</v>
      </c>
      <c r="D796">
        <v>68.673545837000006</v>
      </c>
      <c r="E796">
        <v>50</v>
      </c>
      <c r="F796">
        <v>49.950019836000003</v>
      </c>
      <c r="G796">
        <v>1327.3834228999999</v>
      </c>
      <c r="H796">
        <v>1325.8089600000001</v>
      </c>
      <c r="I796">
        <v>1336.2303466999999</v>
      </c>
      <c r="J796">
        <v>1334.4135742000001</v>
      </c>
      <c r="K796">
        <v>0</v>
      </c>
      <c r="L796">
        <v>1650</v>
      </c>
      <c r="M796">
        <v>1650</v>
      </c>
      <c r="N796">
        <v>0</v>
      </c>
    </row>
    <row r="797" spans="1:14" x14ac:dyDescent="0.25">
      <c r="A797">
        <v>271.495341</v>
      </c>
      <c r="B797" s="1">
        <f>DATE(2011,1,27) + TIME(11,53,17)</f>
        <v>40570.495335648149</v>
      </c>
      <c r="C797">
        <v>80</v>
      </c>
      <c r="D797">
        <v>68.419342040999993</v>
      </c>
      <c r="E797">
        <v>50</v>
      </c>
      <c r="F797">
        <v>49.950065613</v>
      </c>
      <c r="G797">
        <v>1327.3563231999999</v>
      </c>
      <c r="H797">
        <v>1325.7731934000001</v>
      </c>
      <c r="I797">
        <v>1336.2254639</v>
      </c>
      <c r="J797">
        <v>1334.4121094</v>
      </c>
      <c r="K797">
        <v>0</v>
      </c>
      <c r="L797">
        <v>1650</v>
      </c>
      <c r="M797">
        <v>1650</v>
      </c>
      <c r="N797">
        <v>0</v>
      </c>
    </row>
    <row r="798" spans="1:14" x14ac:dyDescent="0.25">
      <c r="A798">
        <v>273.426467</v>
      </c>
      <c r="B798" s="1">
        <f>DATE(2011,1,29) + TIME(10,14,6)</f>
        <v>40572.426458333335</v>
      </c>
      <c r="C798">
        <v>80</v>
      </c>
      <c r="D798">
        <v>68.155319214000002</v>
      </c>
      <c r="E798">
        <v>50</v>
      </c>
      <c r="F798">
        <v>49.950107574</v>
      </c>
      <c r="G798">
        <v>1327.3284911999999</v>
      </c>
      <c r="H798">
        <v>1325.7360839999999</v>
      </c>
      <c r="I798">
        <v>1336.2205810999999</v>
      </c>
      <c r="J798">
        <v>1334.4105225000001</v>
      </c>
      <c r="K798">
        <v>0</v>
      </c>
      <c r="L798">
        <v>1650</v>
      </c>
      <c r="M798">
        <v>1650</v>
      </c>
      <c r="N798">
        <v>0</v>
      </c>
    </row>
    <row r="799" spans="1:14" x14ac:dyDescent="0.25">
      <c r="A799">
        <v>275.40060199999999</v>
      </c>
      <c r="B799" s="1">
        <f>DATE(2011,1,31) + TIME(9,36,51)</f>
        <v>40574.400590277779</v>
      </c>
      <c r="C799">
        <v>80</v>
      </c>
      <c r="D799">
        <v>67.883605957</v>
      </c>
      <c r="E799">
        <v>50</v>
      </c>
      <c r="F799">
        <v>49.950153350999997</v>
      </c>
      <c r="G799">
        <v>1327.3001709</v>
      </c>
      <c r="H799">
        <v>1325.6984863</v>
      </c>
      <c r="I799">
        <v>1336.2156981999999</v>
      </c>
      <c r="J799">
        <v>1334.4090576000001</v>
      </c>
      <c r="K799">
        <v>0</v>
      </c>
      <c r="L799">
        <v>1650</v>
      </c>
      <c r="M799">
        <v>1650</v>
      </c>
      <c r="N799">
        <v>0</v>
      </c>
    </row>
    <row r="800" spans="1:14" x14ac:dyDescent="0.25">
      <c r="A800">
        <v>276</v>
      </c>
      <c r="B800" s="1">
        <f>DATE(2011,2,1) + TIME(0,0,0)</f>
        <v>40575</v>
      </c>
      <c r="C800">
        <v>80</v>
      </c>
      <c r="D800">
        <v>67.714241028000004</v>
      </c>
      <c r="E800">
        <v>50</v>
      </c>
      <c r="F800">
        <v>49.950138092000003</v>
      </c>
      <c r="G800">
        <v>1327.2720947</v>
      </c>
      <c r="H800">
        <v>1325.6632079999999</v>
      </c>
      <c r="I800">
        <v>1336.2105713000001</v>
      </c>
      <c r="J800">
        <v>1334.4073486</v>
      </c>
      <c r="K800">
        <v>0</v>
      </c>
      <c r="L800">
        <v>1650</v>
      </c>
      <c r="M800">
        <v>1650</v>
      </c>
      <c r="N800">
        <v>0</v>
      </c>
    </row>
    <row r="801" spans="1:14" x14ac:dyDescent="0.25">
      <c r="A801">
        <v>278.03245500000003</v>
      </c>
      <c r="B801" s="1">
        <f>DATE(2011,2,3) + TIME(0,46,44)</f>
        <v>40577.032453703701</v>
      </c>
      <c r="C801">
        <v>80</v>
      </c>
      <c r="D801">
        <v>67.497512817</v>
      </c>
      <c r="E801">
        <v>50</v>
      </c>
      <c r="F801">
        <v>49.950206756999997</v>
      </c>
      <c r="G801">
        <v>1327.2600098</v>
      </c>
      <c r="H801">
        <v>1325.6423339999999</v>
      </c>
      <c r="I801">
        <v>1336.2092285000001</v>
      </c>
      <c r="J801">
        <v>1334.4069824000001</v>
      </c>
      <c r="K801">
        <v>0</v>
      </c>
      <c r="L801">
        <v>1650</v>
      </c>
      <c r="M801">
        <v>1650</v>
      </c>
      <c r="N801">
        <v>0</v>
      </c>
    </row>
    <row r="802" spans="1:14" x14ac:dyDescent="0.25">
      <c r="A802">
        <v>280.06843600000002</v>
      </c>
      <c r="B802" s="1">
        <f>DATE(2011,2,5) + TIME(1,38,32)</f>
        <v>40579.068425925929</v>
      </c>
      <c r="C802">
        <v>80</v>
      </c>
      <c r="D802">
        <v>67.229896545000003</v>
      </c>
      <c r="E802">
        <v>50</v>
      </c>
      <c r="F802">
        <v>49.950260161999999</v>
      </c>
      <c r="G802">
        <v>1327.2337646000001</v>
      </c>
      <c r="H802">
        <v>1325.6087646000001</v>
      </c>
      <c r="I802">
        <v>1336.2042236</v>
      </c>
      <c r="J802">
        <v>1334.4053954999999</v>
      </c>
      <c r="K802">
        <v>0</v>
      </c>
      <c r="L802">
        <v>1650</v>
      </c>
      <c r="M802">
        <v>1650</v>
      </c>
      <c r="N802">
        <v>0</v>
      </c>
    </row>
    <row r="803" spans="1:14" x14ac:dyDescent="0.25">
      <c r="A803">
        <v>282.122975</v>
      </c>
      <c r="B803" s="1">
        <f>DATE(2011,2,7) + TIME(2,57,5)</f>
        <v>40581.122974537036</v>
      </c>
      <c r="C803">
        <v>80</v>
      </c>
      <c r="D803">
        <v>66.948410034000005</v>
      </c>
      <c r="E803">
        <v>50</v>
      </c>
      <c r="F803">
        <v>49.950309752999999</v>
      </c>
      <c r="G803">
        <v>1327.2064209</v>
      </c>
      <c r="H803">
        <v>1325.5723877</v>
      </c>
      <c r="I803">
        <v>1336.1993408000001</v>
      </c>
      <c r="J803">
        <v>1334.4038086</v>
      </c>
      <c r="K803">
        <v>0</v>
      </c>
      <c r="L803">
        <v>1650</v>
      </c>
      <c r="M803">
        <v>1650</v>
      </c>
      <c r="N803">
        <v>0</v>
      </c>
    </row>
    <row r="804" spans="1:14" x14ac:dyDescent="0.25">
      <c r="A804">
        <v>284.19579700000003</v>
      </c>
      <c r="B804" s="1">
        <f>DATE(2011,2,9) + TIME(4,41,56)</f>
        <v>40583.195787037039</v>
      </c>
      <c r="C804">
        <v>80</v>
      </c>
      <c r="D804">
        <v>66.661636353000006</v>
      </c>
      <c r="E804">
        <v>50</v>
      </c>
      <c r="F804">
        <v>49.950363158999998</v>
      </c>
      <c r="G804">
        <v>1327.1788329999999</v>
      </c>
      <c r="H804">
        <v>1325.5354004000001</v>
      </c>
      <c r="I804">
        <v>1336.1944579999999</v>
      </c>
      <c r="J804">
        <v>1334.4022216999999</v>
      </c>
      <c r="K804">
        <v>0</v>
      </c>
      <c r="L804">
        <v>1650</v>
      </c>
      <c r="M804">
        <v>1650</v>
      </c>
      <c r="N804">
        <v>0</v>
      </c>
    </row>
    <row r="805" spans="1:14" x14ac:dyDescent="0.25">
      <c r="A805">
        <v>286.304687</v>
      </c>
      <c r="B805" s="1">
        <f>DATE(2011,2,11) + TIME(7,18,44)</f>
        <v>40585.304675925923</v>
      </c>
      <c r="C805">
        <v>80</v>
      </c>
      <c r="D805">
        <v>66.371246338000006</v>
      </c>
      <c r="E805">
        <v>50</v>
      </c>
      <c r="F805">
        <v>49.950416564999998</v>
      </c>
      <c r="G805">
        <v>1327.1514893000001</v>
      </c>
      <c r="H805">
        <v>1325.4985352000001</v>
      </c>
      <c r="I805">
        <v>1336.1895752</v>
      </c>
      <c r="J805">
        <v>1334.4007568</v>
      </c>
      <c r="K805">
        <v>0</v>
      </c>
      <c r="L805">
        <v>1650</v>
      </c>
      <c r="M805">
        <v>1650</v>
      </c>
      <c r="N805">
        <v>0</v>
      </c>
    </row>
    <row r="806" spans="1:14" x14ac:dyDescent="0.25">
      <c r="A806">
        <v>288.46825899999999</v>
      </c>
      <c r="B806" s="1">
        <f>DATE(2011,2,13) + TIME(11,14,17)</f>
        <v>40587.468252314815</v>
      </c>
      <c r="C806">
        <v>80</v>
      </c>
      <c r="D806">
        <v>66.075904846</v>
      </c>
      <c r="E806">
        <v>50</v>
      </c>
      <c r="F806">
        <v>49.950473785</v>
      </c>
      <c r="G806">
        <v>1327.1242675999999</v>
      </c>
      <c r="H806">
        <v>1325.4617920000001</v>
      </c>
      <c r="I806">
        <v>1336.1848144999999</v>
      </c>
      <c r="J806">
        <v>1334.3991699000001</v>
      </c>
      <c r="K806">
        <v>0</v>
      </c>
      <c r="L806">
        <v>1650</v>
      </c>
      <c r="M806">
        <v>1650</v>
      </c>
      <c r="N806">
        <v>0</v>
      </c>
    </row>
    <row r="807" spans="1:14" x14ac:dyDescent="0.25">
      <c r="A807">
        <v>290.67728299999999</v>
      </c>
      <c r="B807" s="1">
        <f>DATE(2011,2,15) + TIME(16,15,17)</f>
        <v>40589.67728009259</v>
      </c>
      <c r="C807">
        <v>80</v>
      </c>
      <c r="D807">
        <v>65.774330139</v>
      </c>
      <c r="E807">
        <v>50</v>
      </c>
      <c r="F807">
        <v>49.950531005999999</v>
      </c>
      <c r="G807">
        <v>1327.0970459</v>
      </c>
      <c r="H807">
        <v>1325.4251709</v>
      </c>
      <c r="I807">
        <v>1336.1799315999999</v>
      </c>
      <c r="J807">
        <v>1334.3975829999999</v>
      </c>
      <c r="K807">
        <v>0</v>
      </c>
      <c r="L807">
        <v>1650</v>
      </c>
      <c r="M807">
        <v>1650</v>
      </c>
      <c r="N807">
        <v>0</v>
      </c>
    </row>
    <row r="808" spans="1:14" x14ac:dyDescent="0.25">
      <c r="A808">
        <v>292.90280200000001</v>
      </c>
      <c r="B808" s="1">
        <f>DATE(2011,2,17) + TIME(21,40,2)</f>
        <v>40591.902800925927</v>
      </c>
      <c r="C808">
        <v>80</v>
      </c>
      <c r="D808">
        <v>65.467857361</v>
      </c>
      <c r="E808">
        <v>50</v>
      </c>
      <c r="F808">
        <v>49.950592041</v>
      </c>
      <c r="G808">
        <v>1327.0698242000001</v>
      </c>
      <c r="H808">
        <v>1325.3883057</v>
      </c>
      <c r="I808">
        <v>1336.1750488</v>
      </c>
      <c r="J808">
        <v>1334.3959961</v>
      </c>
      <c r="K808">
        <v>0</v>
      </c>
      <c r="L808">
        <v>1650</v>
      </c>
      <c r="M808">
        <v>1650</v>
      </c>
      <c r="N808">
        <v>0</v>
      </c>
    </row>
    <row r="809" spans="1:14" x14ac:dyDescent="0.25">
      <c r="A809">
        <v>295.12962900000002</v>
      </c>
      <c r="B809" s="1">
        <f>DATE(2011,2,20) + TIME(3,6,39)</f>
        <v>40594.129618055558</v>
      </c>
      <c r="C809">
        <v>80</v>
      </c>
      <c r="D809">
        <v>65.159339904999996</v>
      </c>
      <c r="E809">
        <v>50</v>
      </c>
      <c r="F809">
        <v>49.950653076000002</v>
      </c>
      <c r="G809">
        <v>1327.0428466999999</v>
      </c>
      <c r="H809">
        <v>1325.3519286999999</v>
      </c>
      <c r="I809">
        <v>1336.1701660000001</v>
      </c>
      <c r="J809">
        <v>1334.3942870999999</v>
      </c>
      <c r="K809">
        <v>0</v>
      </c>
      <c r="L809">
        <v>1650</v>
      </c>
      <c r="M809">
        <v>1650</v>
      </c>
      <c r="N809">
        <v>0</v>
      </c>
    </row>
    <row r="810" spans="1:14" x14ac:dyDescent="0.25">
      <c r="A810">
        <v>297.37796900000001</v>
      </c>
      <c r="B810" s="1">
        <f>DATE(2011,2,22) + TIME(9,4,16)</f>
        <v>40596.377962962964</v>
      </c>
      <c r="C810">
        <v>80</v>
      </c>
      <c r="D810">
        <v>64.849899292000003</v>
      </c>
      <c r="E810">
        <v>50</v>
      </c>
      <c r="F810">
        <v>49.950714111000003</v>
      </c>
      <c r="G810">
        <v>1327.0164795000001</v>
      </c>
      <c r="H810">
        <v>1325.315918</v>
      </c>
      <c r="I810">
        <v>1336.1652832</v>
      </c>
      <c r="J810">
        <v>1334.3927002</v>
      </c>
      <c r="K810">
        <v>0</v>
      </c>
      <c r="L810">
        <v>1650</v>
      </c>
      <c r="M810">
        <v>1650</v>
      </c>
      <c r="N810">
        <v>0</v>
      </c>
    </row>
    <row r="811" spans="1:14" x14ac:dyDescent="0.25">
      <c r="A811">
        <v>299.66804999999999</v>
      </c>
      <c r="B811" s="1">
        <f>DATE(2011,2,24) + TIME(16,1,59)</f>
        <v>40598.668043981481</v>
      </c>
      <c r="C811">
        <v>80</v>
      </c>
      <c r="D811">
        <v>64.537719726999995</v>
      </c>
      <c r="E811">
        <v>50</v>
      </c>
      <c r="F811">
        <v>49.950778960999997</v>
      </c>
      <c r="G811">
        <v>1326.9903564000001</v>
      </c>
      <c r="H811">
        <v>1325.2805175999999</v>
      </c>
      <c r="I811">
        <v>1336.1606445</v>
      </c>
      <c r="J811">
        <v>1334.3911132999999</v>
      </c>
      <c r="K811">
        <v>0</v>
      </c>
      <c r="L811">
        <v>1650</v>
      </c>
      <c r="M811">
        <v>1650</v>
      </c>
      <c r="N811">
        <v>0</v>
      </c>
    </row>
    <row r="812" spans="1:14" x14ac:dyDescent="0.25">
      <c r="A812">
        <v>302.00305200000003</v>
      </c>
      <c r="B812" s="1">
        <f>DATE(2011,2,27) + TIME(0,4,23)</f>
        <v>40601.00304398148</v>
      </c>
      <c r="C812">
        <v>80</v>
      </c>
      <c r="D812">
        <v>64.220802307</v>
      </c>
      <c r="E812">
        <v>50</v>
      </c>
      <c r="F812">
        <v>49.950847625999998</v>
      </c>
      <c r="G812">
        <v>1326.9644774999999</v>
      </c>
      <c r="H812">
        <v>1325.2453613</v>
      </c>
      <c r="I812">
        <v>1336.1557617000001</v>
      </c>
      <c r="J812">
        <v>1334.3894043</v>
      </c>
      <c r="K812">
        <v>0</v>
      </c>
      <c r="L812">
        <v>1650</v>
      </c>
      <c r="M812">
        <v>1650</v>
      </c>
      <c r="N812">
        <v>0</v>
      </c>
    </row>
    <row r="813" spans="1:14" x14ac:dyDescent="0.25">
      <c r="A813">
        <v>304</v>
      </c>
      <c r="B813" s="1">
        <f>DATE(2011,3,1) + TIME(0,0,0)</f>
        <v>40603</v>
      </c>
      <c r="C813">
        <v>80</v>
      </c>
      <c r="D813">
        <v>63.912445067999997</v>
      </c>
      <c r="E813">
        <v>50</v>
      </c>
      <c r="F813">
        <v>49.950897216999998</v>
      </c>
      <c r="G813">
        <v>1326.9387207</v>
      </c>
      <c r="H813">
        <v>1325.2105713000001</v>
      </c>
      <c r="I813">
        <v>1336.151001</v>
      </c>
      <c r="J813">
        <v>1334.3878173999999</v>
      </c>
      <c r="K813">
        <v>0</v>
      </c>
      <c r="L813">
        <v>1650</v>
      </c>
      <c r="M813">
        <v>1650</v>
      </c>
      <c r="N813">
        <v>0</v>
      </c>
    </row>
    <row r="814" spans="1:14" x14ac:dyDescent="0.25">
      <c r="A814">
        <v>306.388915</v>
      </c>
      <c r="B814" s="1">
        <f>DATE(2011,3,3) + TIME(9,20,2)</f>
        <v>40605.388912037037</v>
      </c>
      <c r="C814">
        <v>80</v>
      </c>
      <c r="D814">
        <v>63.614906310999999</v>
      </c>
      <c r="E814">
        <v>50</v>
      </c>
      <c r="F814">
        <v>49.950973511000001</v>
      </c>
      <c r="G814">
        <v>1326.9160156</v>
      </c>
      <c r="H814">
        <v>1325.1785889</v>
      </c>
      <c r="I814">
        <v>1336.1469727000001</v>
      </c>
      <c r="J814">
        <v>1334.3863524999999</v>
      </c>
      <c r="K814">
        <v>0</v>
      </c>
      <c r="L814">
        <v>1650</v>
      </c>
      <c r="M814">
        <v>1650</v>
      </c>
      <c r="N814">
        <v>0</v>
      </c>
    </row>
    <row r="815" spans="1:14" x14ac:dyDescent="0.25">
      <c r="A815">
        <v>308.81555500000002</v>
      </c>
      <c r="B815" s="1">
        <f>DATE(2011,3,5) + TIME(19,34,23)</f>
        <v>40607.81554398148</v>
      </c>
      <c r="C815">
        <v>80</v>
      </c>
      <c r="D815">
        <v>63.292182922000002</v>
      </c>
      <c r="E815">
        <v>50</v>
      </c>
      <c r="F815">
        <v>49.951045989999997</v>
      </c>
      <c r="G815">
        <v>1326.8916016000001</v>
      </c>
      <c r="H815">
        <v>1325.1457519999999</v>
      </c>
      <c r="I815">
        <v>1336.1422118999999</v>
      </c>
      <c r="J815">
        <v>1334.3846435999999</v>
      </c>
      <c r="K815">
        <v>0</v>
      </c>
      <c r="L815">
        <v>1650</v>
      </c>
      <c r="M815">
        <v>1650</v>
      </c>
      <c r="N815">
        <v>0</v>
      </c>
    </row>
    <row r="816" spans="1:14" x14ac:dyDescent="0.25">
      <c r="A816">
        <v>311.25939199999999</v>
      </c>
      <c r="B816" s="1">
        <f>DATE(2011,3,8) + TIME(6,13,31)</f>
        <v>40610.259386574071</v>
      </c>
      <c r="C816">
        <v>80</v>
      </c>
      <c r="D816">
        <v>62.960769653</v>
      </c>
      <c r="E816">
        <v>50</v>
      </c>
      <c r="F816">
        <v>49.951122284</v>
      </c>
      <c r="G816">
        <v>1326.8666992000001</v>
      </c>
      <c r="H816">
        <v>1325.1119385</v>
      </c>
      <c r="I816">
        <v>1336.1374512</v>
      </c>
      <c r="J816">
        <v>1334.3829346</v>
      </c>
      <c r="K816">
        <v>0</v>
      </c>
      <c r="L816">
        <v>1650</v>
      </c>
      <c r="M816">
        <v>1650</v>
      </c>
      <c r="N816">
        <v>0</v>
      </c>
    </row>
    <row r="817" spans="1:14" x14ac:dyDescent="0.25">
      <c r="A817">
        <v>313.73473300000001</v>
      </c>
      <c r="B817" s="1">
        <f>DATE(2011,3,10) + TIME(17,38,0)</f>
        <v>40612.734722222223</v>
      </c>
      <c r="C817">
        <v>80</v>
      </c>
      <c r="D817">
        <v>62.625408172999997</v>
      </c>
      <c r="E817">
        <v>50</v>
      </c>
      <c r="F817">
        <v>49.951198578000003</v>
      </c>
      <c r="G817">
        <v>1326.8421631000001</v>
      </c>
      <c r="H817">
        <v>1325.0782471</v>
      </c>
      <c r="I817">
        <v>1336.1326904</v>
      </c>
      <c r="J817">
        <v>1334.3812256000001</v>
      </c>
      <c r="K817">
        <v>0</v>
      </c>
      <c r="L817">
        <v>1650</v>
      </c>
      <c r="M817">
        <v>1650</v>
      </c>
      <c r="N817">
        <v>0</v>
      </c>
    </row>
    <row r="818" spans="1:14" x14ac:dyDescent="0.25">
      <c r="A818">
        <v>316.25358199999999</v>
      </c>
      <c r="B818" s="1">
        <f>DATE(2011,3,13) + TIME(6,5,9)</f>
        <v>40615.253576388888</v>
      </c>
      <c r="C818">
        <v>80</v>
      </c>
      <c r="D818">
        <v>62.285820006999998</v>
      </c>
      <c r="E818">
        <v>50</v>
      </c>
      <c r="F818">
        <v>49.951274871999999</v>
      </c>
      <c r="G818">
        <v>1326.8178711</v>
      </c>
      <c r="H818">
        <v>1325.0447998</v>
      </c>
      <c r="I818">
        <v>1336.1279297000001</v>
      </c>
      <c r="J818">
        <v>1334.3795166</v>
      </c>
      <c r="K818">
        <v>0</v>
      </c>
      <c r="L818">
        <v>1650</v>
      </c>
      <c r="M818">
        <v>1650</v>
      </c>
      <c r="N818">
        <v>0</v>
      </c>
    </row>
    <row r="819" spans="1:14" x14ac:dyDescent="0.25">
      <c r="A819">
        <v>318.83906100000002</v>
      </c>
      <c r="B819" s="1">
        <f>DATE(2011,3,15) + TIME(20,8,14)</f>
        <v>40617.839050925926</v>
      </c>
      <c r="C819">
        <v>80</v>
      </c>
      <c r="D819">
        <v>61.940410614000001</v>
      </c>
      <c r="E819">
        <v>50</v>
      </c>
      <c r="F819">
        <v>49.951358794999997</v>
      </c>
      <c r="G819">
        <v>1326.7938231999999</v>
      </c>
      <c r="H819">
        <v>1325.0117187999999</v>
      </c>
      <c r="I819">
        <v>1336.1231689000001</v>
      </c>
      <c r="J819">
        <v>1334.3776855000001</v>
      </c>
      <c r="K819">
        <v>0</v>
      </c>
      <c r="L819">
        <v>1650</v>
      </c>
      <c r="M819">
        <v>1650</v>
      </c>
      <c r="N819">
        <v>0</v>
      </c>
    </row>
    <row r="820" spans="1:14" x14ac:dyDescent="0.25">
      <c r="A820">
        <v>321.47994299999999</v>
      </c>
      <c r="B820" s="1">
        <f>DATE(2011,3,18) + TIME(11,31,7)</f>
        <v>40620.479942129627</v>
      </c>
      <c r="C820">
        <v>80</v>
      </c>
      <c r="D820">
        <v>61.587505341000004</v>
      </c>
      <c r="E820">
        <v>50</v>
      </c>
      <c r="F820">
        <v>49.951442718999999</v>
      </c>
      <c r="G820">
        <v>1326.7697754000001</v>
      </c>
      <c r="H820">
        <v>1324.9786377</v>
      </c>
      <c r="I820">
        <v>1336.1182861</v>
      </c>
      <c r="J820">
        <v>1334.3758545000001</v>
      </c>
      <c r="K820">
        <v>0</v>
      </c>
      <c r="L820">
        <v>1650</v>
      </c>
      <c r="M820">
        <v>1650</v>
      </c>
      <c r="N820">
        <v>0</v>
      </c>
    </row>
    <row r="821" spans="1:14" x14ac:dyDescent="0.25">
      <c r="A821">
        <v>324.12634700000001</v>
      </c>
      <c r="B821" s="1">
        <f>DATE(2011,3,21) + TIME(3,1,56)</f>
        <v>40623.126342592594</v>
      </c>
      <c r="C821">
        <v>80</v>
      </c>
      <c r="D821">
        <v>61.229114531999997</v>
      </c>
      <c r="E821">
        <v>50</v>
      </c>
      <c r="F821">
        <v>49.951526641999997</v>
      </c>
      <c r="G821">
        <v>1326.7459716999999</v>
      </c>
      <c r="H821">
        <v>1324.9458007999999</v>
      </c>
      <c r="I821">
        <v>1336.1134033000001</v>
      </c>
      <c r="J821">
        <v>1334.3740233999999</v>
      </c>
      <c r="K821">
        <v>0</v>
      </c>
      <c r="L821">
        <v>1650</v>
      </c>
      <c r="M821">
        <v>1650</v>
      </c>
      <c r="N821">
        <v>0</v>
      </c>
    </row>
    <row r="822" spans="1:14" x14ac:dyDescent="0.25">
      <c r="A822">
        <v>326.77712100000002</v>
      </c>
      <c r="B822" s="1">
        <f>DATE(2011,3,23) + TIME(18,39,3)</f>
        <v>40625.777118055557</v>
      </c>
      <c r="C822">
        <v>80</v>
      </c>
      <c r="D822">
        <v>60.869434357000003</v>
      </c>
      <c r="E822">
        <v>50</v>
      </c>
      <c r="F822">
        <v>49.951610565000003</v>
      </c>
      <c r="G822">
        <v>1326.7226562000001</v>
      </c>
      <c r="H822">
        <v>1324.9134521000001</v>
      </c>
      <c r="I822">
        <v>1336.1086425999999</v>
      </c>
      <c r="J822">
        <v>1334.3720702999999</v>
      </c>
      <c r="K822">
        <v>0</v>
      </c>
      <c r="L822">
        <v>1650</v>
      </c>
      <c r="M822">
        <v>1650</v>
      </c>
      <c r="N822">
        <v>0</v>
      </c>
    </row>
    <row r="823" spans="1:14" x14ac:dyDescent="0.25">
      <c r="A823">
        <v>329.458348</v>
      </c>
      <c r="B823" s="1">
        <f>DATE(2011,3,26) + TIME(11,0,1)</f>
        <v>40628.458344907405</v>
      </c>
      <c r="C823">
        <v>80</v>
      </c>
      <c r="D823">
        <v>60.508869171000001</v>
      </c>
      <c r="E823">
        <v>50</v>
      </c>
      <c r="F823">
        <v>49.951698303000001</v>
      </c>
      <c r="G823">
        <v>1326.6999512</v>
      </c>
      <c r="H823">
        <v>1324.8818358999999</v>
      </c>
      <c r="I823">
        <v>1336.1038818</v>
      </c>
      <c r="J823">
        <v>1334.3702393000001</v>
      </c>
      <c r="K823">
        <v>0</v>
      </c>
      <c r="L823">
        <v>1650</v>
      </c>
      <c r="M823">
        <v>1650</v>
      </c>
      <c r="N823">
        <v>0</v>
      </c>
    </row>
    <row r="824" spans="1:14" x14ac:dyDescent="0.25">
      <c r="A824">
        <v>332.19588399999998</v>
      </c>
      <c r="B824" s="1">
        <f>DATE(2011,3,29) + TIME(4,42,4)</f>
        <v>40631.195879629631</v>
      </c>
      <c r="C824">
        <v>80</v>
      </c>
      <c r="D824">
        <v>60.144882201999998</v>
      </c>
      <c r="E824">
        <v>50</v>
      </c>
      <c r="F824">
        <v>49.951786040999998</v>
      </c>
      <c r="G824">
        <v>1326.6777344</v>
      </c>
      <c r="H824">
        <v>1324.8508300999999</v>
      </c>
      <c r="I824">
        <v>1336.0991211</v>
      </c>
      <c r="J824">
        <v>1334.3682861</v>
      </c>
      <c r="K824">
        <v>0</v>
      </c>
      <c r="L824">
        <v>1650</v>
      </c>
      <c r="M824">
        <v>1650</v>
      </c>
      <c r="N824">
        <v>0</v>
      </c>
    </row>
    <row r="825" spans="1:14" x14ac:dyDescent="0.25">
      <c r="A825">
        <v>335</v>
      </c>
      <c r="B825" s="1">
        <f>DATE(2011,4,1) + TIME(0,0,0)</f>
        <v>40634</v>
      </c>
      <c r="C825">
        <v>80</v>
      </c>
      <c r="D825">
        <v>59.774509430000002</v>
      </c>
      <c r="E825">
        <v>50</v>
      </c>
      <c r="F825">
        <v>49.951881409000002</v>
      </c>
      <c r="G825">
        <v>1326.6558838000001</v>
      </c>
      <c r="H825">
        <v>1324.8203125</v>
      </c>
      <c r="I825">
        <v>1336.0943603999999</v>
      </c>
      <c r="J825">
        <v>1334.3663329999999</v>
      </c>
      <c r="K825">
        <v>0</v>
      </c>
      <c r="L825">
        <v>1650</v>
      </c>
      <c r="M825">
        <v>1650</v>
      </c>
      <c r="N825">
        <v>0</v>
      </c>
    </row>
    <row r="826" spans="1:14" x14ac:dyDescent="0.25">
      <c r="A826">
        <v>337.79460999999998</v>
      </c>
      <c r="B826" s="1">
        <f>DATE(2011,4,3) + TIME(19,4,14)</f>
        <v>40636.794606481482</v>
      </c>
      <c r="C826">
        <v>80</v>
      </c>
      <c r="D826">
        <v>59.398899077999999</v>
      </c>
      <c r="E826">
        <v>50</v>
      </c>
      <c r="F826">
        <v>49.951972961000003</v>
      </c>
      <c r="G826">
        <v>1326.6342772999999</v>
      </c>
      <c r="H826">
        <v>1324.7901611</v>
      </c>
      <c r="I826">
        <v>1336.0894774999999</v>
      </c>
      <c r="J826">
        <v>1334.3643798999999</v>
      </c>
      <c r="K826">
        <v>0</v>
      </c>
      <c r="L826">
        <v>1650</v>
      </c>
      <c r="M826">
        <v>1650</v>
      </c>
      <c r="N826">
        <v>0</v>
      </c>
    </row>
    <row r="827" spans="1:14" x14ac:dyDescent="0.25">
      <c r="A827">
        <v>340.66413899999998</v>
      </c>
      <c r="B827" s="1">
        <f>DATE(2011,4,6) + TIME(15,56,21)</f>
        <v>40639.664131944446</v>
      </c>
      <c r="C827">
        <v>80</v>
      </c>
      <c r="D827">
        <v>59.021842956999997</v>
      </c>
      <c r="E827">
        <v>50</v>
      </c>
      <c r="F827">
        <v>49.952068328999999</v>
      </c>
      <c r="G827">
        <v>1326.6134033000001</v>
      </c>
      <c r="H827">
        <v>1324.7606201000001</v>
      </c>
      <c r="I827">
        <v>1336.0847168</v>
      </c>
      <c r="J827">
        <v>1334.3624268000001</v>
      </c>
      <c r="K827">
        <v>0</v>
      </c>
      <c r="L827">
        <v>1650</v>
      </c>
      <c r="M827">
        <v>1650</v>
      </c>
      <c r="N827">
        <v>0</v>
      </c>
    </row>
    <row r="828" spans="1:14" x14ac:dyDescent="0.25">
      <c r="A828">
        <v>343.54331500000001</v>
      </c>
      <c r="B828" s="1">
        <f>DATE(2011,4,9) + TIME(13,2,22)</f>
        <v>40642.543310185189</v>
      </c>
      <c r="C828">
        <v>80</v>
      </c>
      <c r="D828">
        <v>58.639896393000001</v>
      </c>
      <c r="E828">
        <v>50</v>
      </c>
      <c r="F828">
        <v>49.952167510999999</v>
      </c>
      <c r="G828">
        <v>1326.5927733999999</v>
      </c>
      <c r="H828">
        <v>1324.7316894999999</v>
      </c>
      <c r="I828">
        <v>1336.0799560999999</v>
      </c>
      <c r="J828">
        <v>1334.3603516000001</v>
      </c>
      <c r="K828">
        <v>0</v>
      </c>
      <c r="L828">
        <v>1650</v>
      </c>
      <c r="M828">
        <v>1650</v>
      </c>
      <c r="N828">
        <v>0</v>
      </c>
    </row>
    <row r="829" spans="1:14" x14ac:dyDescent="0.25">
      <c r="A829">
        <v>346.460331</v>
      </c>
      <c r="B829" s="1">
        <f>DATE(2011,4,12) + TIME(11,2,52)</f>
        <v>40645.460324074076</v>
      </c>
      <c r="C829">
        <v>80</v>
      </c>
      <c r="D829">
        <v>58.256988524999997</v>
      </c>
      <c r="E829">
        <v>50</v>
      </c>
      <c r="F829">
        <v>49.952262877999999</v>
      </c>
      <c r="G829">
        <v>1326.572876</v>
      </c>
      <c r="H829">
        <v>1324.7034911999999</v>
      </c>
      <c r="I829">
        <v>1336.0750731999999</v>
      </c>
      <c r="J829">
        <v>1334.3582764</v>
      </c>
      <c r="K829">
        <v>0</v>
      </c>
      <c r="L829">
        <v>1650</v>
      </c>
      <c r="M829">
        <v>1650</v>
      </c>
      <c r="N829">
        <v>0</v>
      </c>
    </row>
    <row r="830" spans="1:14" x14ac:dyDescent="0.25">
      <c r="A830">
        <v>349.426312</v>
      </c>
      <c r="B830" s="1">
        <f>DATE(2011,4,15) + TIME(10,13,53)</f>
        <v>40648.426307870373</v>
      </c>
      <c r="C830">
        <v>80</v>
      </c>
      <c r="D830">
        <v>57.871841431</v>
      </c>
      <c r="E830">
        <v>50</v>
      </c>
      <c r="F830">
        <v>49.952365874999998</v>
      </c>
      <c r="G830">
        <v>1326.5534668</v>
      </c>
      <c r="H830">
        <v>1324.6760254000001</v>
      </c>
      <c r="I830">
        <v>1336.0703125</v>
      </c>
      <c r="J830">
        <v>1334.3562012</v>
      </c>
      <c r="K830">
        <v>0</v>
      </c>
      <c r="L830">
        <v>1650</v>
      </c>
      <c r="M830">
        <v>1650</v>
      </c>
      <c r="N830">
        <v>0</v>
      </c>
    </row>
    <row r="831" spans="1:14" x14ac:dyDescent="0.25">
      <c r="A831">
        <v>352.469717</v>
      </c>
      <c r="B831" s="1">
        <f>DATE(2011,4,18) + TIME(11,16,23)</f>
        <v>40651.469710648147</v>
      </c>
      <c r="C831">
        <v>80</v>
      </c>
      <c r="D831">
        <v>57.483020781999997</v>
      </c>
      <c r="E831">
        <v>50</v>
      </c>
      <c r="F831">
        <v>49.952472686999997</v>
      </c>
      <c r="G831">
        <v>1326.534668</v>
      </c>
      <c r="H831">
        <v>1324.6492920000001</v>
      </c>
      <c r="I831">
        <v>1336.0654297000001</v>
      </c>
      <c r="J831">
        <v>1334.3540039</v>
      </c>
      <c r="K831">
        <v>0</v>
      </c>
      <c r="L831">
        <v>1650</v>
      </c>
      <c r="M831">
        <v>1650</v>
      </c>
      <c r="N831">
        <v>0</v>
      </c>
    </row>
    <row r="832" spans="1:14" x14ac:dyDescent="0.25">
      <c r="A832">
        <v>355.58286099999998</v>
      </c>
      <c r="B832" s="1">
        <f>DATE(2011,4,21) + TIME(13,59,19)</f>
        <v>40654.582858796297</v>
      </c>
      <c r="C832">
        <v>80</v>
      </c>
      <c r="D832">
        <v>57.088512420999997</v>
      </c>
      <c r="E832">
        <v>50</v>
      </c>
      <c r="F832">
        <v>49.952579497999999</v>
      </c>
      <c r="G832">
        <v>1326.5163574000001</v>
      </c>
      <c r="H832">
        <v>1324.6230469</v>
      </c>
      <c r="I832">
        <v>1336.0605469</v>
      </c>
      <c r="J832">
        <v>1334.3518065999999</v>
      </c>
      <c r="K832">
        <v>0</v>
      </c>
      <c r="L832">
        <v>1650</v>
      </c>
      <c r="M832">
        <v>1650</v>
      </c>
      <c r="N832">
        <v>0</v>
      </c>
    </row>
    <row r="833" spans="1:14" x14ac:dyDescent="0.25">
      <c r="A833">
        <v>358.70397400000002</v>
      </c>
      <c r="B833" s="1">
        <f>DATE(2011,4,24) + TIME(16,53,43)</f>
        <v>40657.703969907408</v>
      </c>
      <c r="C833">
        <v>80</v>
      </c>
      <c r="D833">
        <v>56.690830231</v>
      </c>
      <c r="E833">
        <v>50</v>
      </c>
      <c r="F833">
        <v>49.952686309999997</v>
      </c>
      <c r="G833">
        <v>1326.4984131000001</v>
      </c>
      <c r="H833">
        <v>1324.5975341999999</v>
      </c>
      <c r="I833">
        <v>1336.0556641000001</v>
      </c>
      <c r="J833">
        <v>1334.3496094</v>
      </c>
      <c r="K833">
        <v>0</v>
      </c>
      <c r="L833">
        <v>1650</v>
      </c>
      <c r="M833">
        <v>1650</v>
      </c>
      <c r="N833">
        <v>0</v>
      </c>
    </row>
    <row r="834" spans="1:14" x14ac:dyDescent="0.25">
      <c r="A834">
        <v>361.83007800000001</v>
      </c>
      <c r="B834" s="1">
        <f>DATE(2011,4,27) + TIME(19,55,18)</f>
        <v>40660.830069444448</v>
      </c>
      <c r="C834">
        <v>80</v>
      </c>
      <c r="D834">
        <v>56.295864105</v>
      </c>
      <c r="E834">
        <v>50</v>
      </c>
      <c r="F834">
        <v>49.952793120999999</v>
      </c>
      <c r="G834">
        <v>1326.4813231999999</v>
      </c>
      <c r="H834">
        <v>1324.572876</v>
      </c>
      <c r="I834">
        <v>1336.0507812000001</v>
      </c>
      <c r="J834">
        <v>1334.3472899999999</v>
      </c>
      <c r="K834">
        <v>0</v>
      </c>
      <c r="L834">
        <v>1650</v>
      </c>
      <c r="M834">
        <v>1650</v>
      </c>
      <c r="N834">
        <v>0</v>
      </c>
    </row>
    <row r="835" spans="1:14" x14ac:dyDescent="0.25">
      <c r="A835">
        <v>365</v>
      </c>
      <c r="B835" s="1">
        <f>DATE(2011,5,1) + TIME(0,0,0)</f>
        <v>40664</v>
      </c>
      <c r="C835">
        <v>80</v>
      </c>
      <c r="D835">
        <v>55.904521942000002</v>
      </c>
      <c r="E835">
        <v>50</v>
      </c>
      <c r="F835">
        <v>49.952903747999997</v>
      </c>
      <c r="G835">
        <v>1326.4650879000001</v>
      </c>
      <c r="H835">
        <v>1324.5494385</v>
      </c>
      <c r="I835">
        <v>1336.0458983999999</v>
      </c>
      <c r="J835">
        <v>1334.3449707</v>
      </c>
      <c r="K835">
        <v>0</v>
      </c>
      <c r="L835">
        <v>1650</v>
      </c>
      <c r="M835">
        <v>1650</v>
      </c>
      <c r="N835">
        <v>0</v>
      </c>
    </row>
    <row r="836" spans="1:14" x14ac:dyDescent="0.25">
      <c r="A836">
        <v>365.000001</v>
      </c>
      <c r="B836" s="1">
        <f>DATE(2011,5,1) + TIME(0,0,0)</f>
        <v>40664</v>
      </c>
      <c r="C836">
        <v>80</v>
      </c>
      <c r="D836">
        <v>55.904640198000003</v>
      </c>
      <c r="E836">
        <v>50</v>
      </c>
      <c r="F836">
        <v>49.952846526999998</v>
      </c>
      <c r="G836">
        <v>1329.0107422000001</v>
      </c>
      <c r="H836">
        <v>1327.1560059000001</v>
      </c>
      <c r="I836">
        <v>1333.8950195</v>
      </c>
      <c r="J836">
        <v>1332.9589844</v>
      </c>
      <c r="K836">
        <v>1650</v>
      </c>
      <c r="L836">
        <v>0</v>
      </c>
      <c r="M836">
        <v>0</v>
      </c>
      <c r="N836">
        <v>1650</v>
      </c>
    </row>
    <row r="837" spans="1:14" x14ac:dyDescent="0.25">
      <c r="A837">
        <v>365.00000399999999</v>
      </c>
      <c r="B837" s="1">
        <f>DATE(2011,5,1) + TIME(0,0,0)</f>
        <v>40664</v>
      </c>
      <c r="C837">
        <v>80</v>
      </c>
      <c r="D837">
        <v>55.904857634999999</v>
      </c>
      <c r="E837">
        <v>50</v>
      </c>
      <c r="F837">
        <v>49.952758789000001</v>
      </c>
      <c r="G837">
        <v>1329.9055175999999</v>
      </c>
      <c r="H837">
        <v>1328.1584473</v>
      </c>
      <c r="I837">
        <v>1333.1917725000001</v>
      </c>
      <c r="J837">
        <v>1332.2557373</v>
      </c>
      <c r="K837">
        <v>1650</v>
      </c>
      <c r="L837">
        <v>0</v>
      </c>
      <c r="M837">
        <v>0</v>
      </c>
      <c r="N837">
        <v>1650</v>
      </c>
    </row>
    <row r="838" spans="1:14" x14ac:dyDescent="0.25">
      <c r="A838">
        <v>365.00001300000002</v>
      </c>
      <c r="B838" s="1">
        <f>DATE(2011,5,1) + TIME(0,0,1)</f>
        <v>40664.000011574077</v>
      </c>
      <c r="C838">
        <v>80</v>
      </c>
      <c r="D838">
        <v>55.905265808000003</v>
      </c>
      <c r="E838">
        <v>50</v>
      </c>
      <c r="F838">
        <v>49.952655792000002</v>
      </c>
      <c r="G838">
        <v>1331.0357666</v>
      </c>
      <c r="H838">
        <v>1329.2725829999999</v>
      </c>
      <c r="I838">
        <v>1332.3937988</v>
      </c>
      <c r="J838">
        <v>1331.4573975000001</v>
      </c>
      <c r="K838">
        <v>1650</v>
      </c>
      <c r="L838">
        <v>0</v>
      </c>
      <c r="M838">
        <v>0</v>
      </c>
      <c r="N838">
        <v>1650</v>
      </c>
    </row>
    <row r="839" spans="1:14" x14ac:dyDescent="0.25">
      <c r="A839">
        <v>365.00004000000001</v>
      </c>
      <c r="B839" s="1">
        <f>DATE(2011,5,1) + TIME(0,0,3)</f>
        <v>40664.000034722223</v>
      </c>
      <c r="C839">
        <v>80</v>
      </c>
      <c r="D839">
        <v>55.906223296999997</v>
      </c>
      <c r="E839">
        <v>50</v>
      </c>
      <c r="F839">
        <v>49.952556610000002</v>
      </c>
      <c r="G839">
        <v>1332.2033690999999</v>
      </c>
      <c r="H839">
        <v>1330.3870850000001</v>
      </c>
      <c r="I839">
        <v>1331.6082764</v>
      </c>
      <c r="J839">
        <v>1330.6679687999999</v>
      </c>
      <c r="K839">
        <v>1650</v>
      </c>
      <c r="L839">
        <v>0</v>
      </c>
      <c r="M839">
        <v>0</v>
      </c>
      <c r="N839">
        <v>1650</v>
      </c>
    </row>
    <row r="840" spans="1:14" x14ac:dyDescent="0.25">
      <c r="A840">
        <v>365.00012099999998</v>
      </c>
      <c r="B840" s="1">
        <f>DATE(2011,5,1) + TIME(0,0,10)</f>
        <v>40664.000115740739</v>
      </c>
      <c r="C840">
        <v>80</v>
      </c>
      <c r="D840">
        <v>55.908874511999997</v>
      </c>
      <c r="E840">
        <v>50</v>
      </c>
      <c r="F840">
        <v>49.952445984000001</v>
      </c>
      <c r="G840">
        <v>1333.3494873</v>
      </c>
      <c r="H840">
        <v>1331.4827881000001</v>
      </c>
      <c r="I840">
        <v>1330.8208007999999</v>
      </c>
      <c r="J840">
        <v>1329.8640137</v>
      </c>
      <c r="K840">
        <v>1650</v>
      </c>
      <c r="L840">
        <v>0</v>
      </c>
      <c r="M840">
        <v>0</v>
      </c>
      <c r="N840">
        <v>1650</v>
      </c>
    </row>
    <row r="841" spans="1:14" x14ac:dyDescent="0.25">
      <c r="A841">
        <v>365.00036399999999</v>
      </c>
      <c r="B841" s="1">
        <f>DATE(2011,5,1) + TIME(0,0,31)</f>
        <v>40664.000358796293</v>
      </c>
      <c r="C841">
        <v>80</v>
      </c>
      <c r="D841">
        <v>55.916744231999999</v>
      </c>
      <c r="E841">
        <v>50</v>
      </c>
      <c r="F841">
        <v>49.952308655000003</v>
      </c>
      <c r="G841">
        <v>1334.456543</v>
      </c>
      <c r="H841">
        <v>1332.5396728999999</v>
      </c>
      <c r="I841">
        <v>1330.0035399999999</v>
      </c>
      <c r="J841">
        <v>1329.0123291</v>
      </c>
      <c r="K841">
        <v>1650</v>
      </c>
      <c r="L841">
        <v>0</v>
      </c>
      <c r="M841">
        <v>0</v>
      </c>
      <c r="N841">
        <v>1650</v>
      </c>
    </row>
    <row r="842" spans="1:14" x14ac:dyDescent="0.25">
      <c r="A842">
        <v>365.00109300000003</v>
      </c>
      <c r="B842" s="1">
        <f>DATE(2011,5,1) + TIME(0,1,34)</f>
        <v>40664.001087962963</v>
      </c>
      <c r="C842">
        <v>80</v>
      </c>
      <c r="D842">
        <v>55.940570831000002</v>
      </c>
      <c r="E842">
        <v>50</v>
      </c>
      <c r="F842">
        <v>49.952110290999997</v>
      </c>
      <c r="G842">
        <v>1335.4019774999999</v>
      </c>
      <c r="H842">
        <v>1333.440918</v>
      </c>
      <c r="I842">
        <v>1329.2178954999999</v>
      </c>
      <c r="J842">
        <v>1328.1911620999999</v>
      </c>
      <c r="K842">
        <v>1650</v>
      </c>
      <c r="L842">
        <v>0</v>
      </c>
      <c r="M842">
        <v>0</v>
      </c>
      <c r="N842">
        <v>1650</v>
      </c>
    </row>
    <row r="843" spans="1:14" x14ac:dyDescent="0.25">
      <c r="A843">
        <v>365.00328000000002</v>
      </c>
      <c r="B843" s="1">
        <f>DATE(2011,5,1) + TIME(0,4,43)</f>
        <v>40664.003275462965</v>
      </c>
      <c r="C843">
        <v>80</v>
      </c>
      <c r="D843">
        <v>56.012493134000003</v>
      </c>
      <c r="E843">
        <v>50</v>
      </c>
      <c r="F843">
        <v>49.951732634999999</v>
      </c>
      <c r="G843">
        <v>1336.0264893000001</v>
      </c>
      <c r="H843">
        <v>1334.0417480000001</v>
      </c>
      <c r="I843">
        <v>1328.6276855000001</v>
      </c>
      <c r="J843">
        <v>1327.5823975000001</v>
      </c>
      <c r="K843">
        <v>1650</v>
      </c>
      <c r="L843">
        <v>0</v>
      </c>
      <c r="M843">
        <v>0</v>
      </c>
      <c r="N843">
        <v>1650</v>
      </c>
    </row>
    <row r="844" spans="1:14" x14ac:dyDescent="0.25">
      <c r="A844">
        <v>365.00984099999999</v>
      </c>
      <c r="B844" s="1">
        <f>DATE(2011,5,1) + TIME(0,14,10)</f>
        <v>40664.009837962964</v>
      </c>
      <c r="C844">
        <v>80</v>
      </c>
      <c r="D844">
        <v>56.226993561</v>
      </c>
      <c r="E844">
        <v>50</v>
      </c>
      <c r="F844">
        <v>49.950778960999997</v>
      </c>
      <c r="G844">
        <v>1336.3197021000001</v>
      </c>
      <c r="H844">
        <v>1334.3336182</v>
      </c>
      <c r="I844">
        <v>1328.3348389</v>
      </c>
      <c r="J844">
        <v>1327.2838135</v>
      </c>
      <c r="K844">
        <v>1650</v>
      </c>
      <c r="L844">
        <v>0</v>
      </c>
      <c r="M844">
        <v>0</v>
      </c>
      <c r="N844">
        <v>1650</v>
      </c>
    </row>
    <row r="845" spans="1:14" x14ac:dyDescent="0.25">
      <c r="A845">
        <v>365.02952399999998</v>
      </c>
      <c r="B845" s="1">
        <f>DATE(2011,5,1) + TIME(0,42,30)</f>
        <v>40664.029513888891</v>
      </c>
      <c r="C845">
        <v>80</v>
      </c>
      <c r="D845">
        <v>56.853401183999999</v>
      </c>
      <c r="E845">
        <v>50</v>
      </c>
      <c r="F845">
        <v>49.948055267000001</v>
      </c>
      <c r="G845">
        <v>1336.3839111</v>
      </c>
      <c r="H845">
        <v>1334.4167480000001</v>
      </c>
      <c r="I845">
        <v>1328.2664795000001</v>
      </c>
      <c r="J845">
        <v>1327.2143555</v>
      </c>
      <c r="K845">
        <v>1650</v>
      </c>
      <c r="L845">
        <v>0</v>
      </c>
      <c r="M845">
        <v>0</v>
      </c>
      <c r="N845">
        <v>1650</v>
      </c>
    </row>
    <row r="846" spans="1:14" x14ac:dyDescent="0.25">
      <c r="A846">
        <v>365.05435399999999</v>
      </c>
      <c r="B846" s="1">
        <f>DATE(2011,5,1) + TIME(1,18,16)</f>
        <v>40664.054351851853</v>
      </c>
      <c r="C846">
        <v>80</v>
      </c>
      <c r="D846">
        <v>57.621242522999999</v>
      </c>
      <c r="E846">
        <v>50</v>
      </c>
      <c r="F846">
        <v>49.944648743000002</v>
      </c>
      <c r="G846">
        <v>1336.387207</v>
      </c>
      <c r="H846">
        <v>1334.4333495999999</v>
      </c>
      <c r="I846">
        <v>1328.2628173999999</v>
      </c>
      <c r="J846">
        <v>1327.2104492000001</v>
      </c>
      <c r="K846">
        <v>1650</v>
      </c>
      <c r="L846">
        <v>0</v>
      </c>
      <c r="M846">
        <v>0</v>
      </c>
      <c r="N846">
        <v>1650</v>
      </c>
    </row>
    <row r="847" spans="1:14" x14ac:dyDescent="0.25">
      <c r="A847">
        <v>365.07961599999999</v>
      </c>
      <c r="B847" s="1">
        <f>DATE(2011,5,1) + TIME(1,54,38)</f>
        <v>40664.079606481479</v>
      </c>
      <c r="C847">
        <v>80</v>
      </c>
      <c r="D847">
        <v>58.381744384999998</v>
      </c>
      <c r="E847">
        <v>50</v>
      </c>
      <c r="F847">
        <v>49.941204071000001</v>
      </c>
      <c r="G847">
        <v>1336.3914795000001</v>
      </c>
      <c r="H847">
        <v>1334.4454346</v>
      </c>
      <c r="I847">
        <v>1328.2633057</v>
      </c>
      <c r="J847">
        <v>1327.2108154</v>
      </c>
      <c r="K847">
        <v>1650</v>
      </c>
      <c r="L847">
        <v>0</v>
      </c>
      <c r="M847">
        <v>0</v>
      </c>
      <c r="N847">
        <v>1650</v>
      </c>
    </row>
    <row r="848" spans="1:14" x14ac:dyDescent="0.25">
      <c r="A848">
        <v>365.10533099999998</v>
      </c>
      <c r="B848" s="1">
        <f>DATE(2011,5,1) + TIME(2,31,40)</f>
        <v>40664.105324074073</v>
      </c>
      <c r="C848">
        <v>80</v>
      </c>
      <c r="D848">
        <v>59.135028839</v>
      </c>
      <c r="E848">
        <v>50</v>
      </c>
      <c r="F848">
        <v>49.937717438</v>
      </c>
      <c r="G848">
        <v>1336.3967285000001</v>
      </c>
      <c r="H848">
        <v>1334.4573975000001</v>
      </c>
      <c r="I848">
        <v>1328.2636719</v>
      </c>
      <c r="J848">
        <v>1327.2110596</v>
      </c>
      <c r="K848">
        <v>1650</v>
      </c>
      <c r="L848">
        <v>0</v>
      </c>
      <c r="M848">
        <v>0</v>
      </c>
      <c r="N848">
        <v>1650</v>
      </c>
    </row>
    <row r="849" spans="1:14" x14ac:dyDescent="0.25">
      <c r="A849">
        <v>365.13151800000003</v>
      </c>
      <c r="B849" s="1">
        <f>DATE(2011,5,1) + TIME(3,9,23)</f>
        <v>40664.131516203706</v>
      </c>
      <c r="C849">
        <v>80</v>
      </c>
      <c r="D849">
        <v>59.881015777999998</v>
      </c>
      <c r="E849">
        <v>50</v>
      </c>
      <c r="F849">
        <v>49.934185028000002</v>
      </c>
      <c r="G849">
        <v>1336.4045410000001</v>
      </c>
      <c r="H849">
        <v>1334.4704589999999</v>
      </c>
      <c r="I849">
        <v>1328.2637939000001</v>
      </c>
      <c r="J849">
        <v>1327.2110596</v>
      </c>
      <c r="K849">
        <v>1650</v>
      </c>
      <c r="L849">
        <v>0</v>
      </c>
      <c r="M849">
        <v>0</v>
      </c>
      <c r="N849">
        <v>1650</v>
      </c>
    </row>
    <row r="850" spans="1:14" x14ac:dyDescent="0.25">
      <c r="A850">
        <v>365.15819399999998</v>
      </c>
      <c r="B850" s="1">
        <f>DATE(2011,5,1) + TIME(3,47,47)</f>
        <v>40664.158182870371</v>
      </c>
      <c r="C850">
        <v>80</v>
      </c>
      <c r="D850">
        <v>60.619125365999999</v>
      </c>
      <c r="E850">
        <v>50</v>
      </c>
      <c r="F850">
        <v>49.930606842000003</v>
      </c>
      <c r="G850">
        <v>1336.4147949000001</v>
      </c>
      <c r="H850">
        <v>1334.4849853999999</v>
      </c>
      <c r="I850">
        <v>1328.2639160000001</v>
      </c>
      <c r="J850">
        <v>1327.2110596</v>
      </c>
      <c r="K850">
        <v>1650</v>
      </c>
      <c r="L850">
        <v>0</v>
      </c>
      <c r="M850">
        <v>0</v>
      </c>
      <c r="N850">
        <v>1650</v>
      </c>
    </row>
    <row r="851" spans="1:14" x14ac:dyDescent="0.25">
      <c r="A851">
        <v>365.18537800000001</v>
      </c>
      <c r="B851" s="1">
        <f>DATE(2011,5,1) + TIME(4,26,56)</f>
        <v>40664.185370370367</v>
      </c>
      <c r="C851">
        <v>80</v>
      </c>
      <c r="D851">
        <v>61.349529265999998</v>
      </c>
      <c r="E851">
        <v>50</v>
      </c>
      <c r="F851">
        <v>49.926979064999998</v>
      </c>
      <c r="G851">
        <v>1336.4274902</v>
      </c>
      <c r="H851">
        <v>1334.5008545000001</v>
      </c>
      <c r="I851">
        <v>1328.2640381000001</v>
      </c>
      <c r="J851">
        <v>1327.2110596</v>
      </c>
      <c r="K851">
        <v>1650</v>
      </c>
      <c r="L851">
        <v>0</v>
      </c>
      <c r="M851">
        <v>0</v>
      </c>
      <c r="N851">
        <v>1650</v>
      </c>
    </row>
    <row r="852" spans="1:14" x14ac:dyDescent="0.25">
      <c r="A852">
        <v>365.21309100000002</v>
      </c>
      <c r="B852" s="1">
        <f>DATE(2011,5,1) + TIME(5,6,51)</f>
        <v>40664.213090277779</v>
      </c>
      <c r="C852">
        <v>80</v>
      </c>
      <c r="D852">
        <v>62.072090148999997</v>
      </c>
      <c r="E852">
        <v>50</v>
      </c>
      <c r="F852">
        <v>49.923301696999999</v>
      </c>
      <c r="G852">
        <v>1336.4426269999999</v>
      </c>
      <c r="H852">
        <v>1334.5180664</v>
      </c>
      <c r="I852">
        <v>1328.2641602000001</v>
      </c>
      <c r="J852">
        <v>1327.2109375</v>
      </c>
      <c r="K852">
        <v>1650</v>
      </c>
      <c r="L852">
        <v>0</v>
      </c>
      <c r="M852">
        <v>0</v>
      </c>
      <c r="N852">
        <v>1650</v>
      </c>
    </row>
    <row r="853" spans="1:14" x14ac:dyDescent="0.25">
      <c r="A853">
        <v>365.241353</v>
      </c>
      <c r="B853" s="1">
        <f>DATE(2011,5,1) + TIME(5,47,32)</f>
        <v>40664.241342592592</v>
      </c>
      <c r="C853">
        <v>80</v>
      </c>
      <c r="D853">
        <v>62.786571502999998</v>
      </c>
      <c r="E853">
        <v>50</v>
      </c>
      <c r="F853">
        <v>49.919570923000002</v>
      </c>
      <c r="G853">
        <v>1336.4600829999999</v>
      </c>
      <c r="H853">
        <v>1334.5367432</v>
      </c>
      <c r="I853">
        <v>1328.2641602000001</v>
      </c>
      <c r="J853">
        <v>1327.2109375</v>
      </c>
      <c r="K853">
        <v>1650</v>
      </c>
      <c r="L853">
        <v>0</v>
      </c>
      <c r="M853">
        <v>0</v>
      </c>
      <c r="N853">
        <v>1650</v>
      </c>
    </row>
    <row r="854" spans="1:14" x14ac:dyDescent="0.25">
      <c r="A854">
        <v>365.27018800000002</v>
      </c>
      <c r="B854" s="1">
        <f>DATE(2011,5,1) + TIME(6,29,4)</f>
        <v>40664.270185185182</v>
      </c>
      <c r="C854">
        <v>80</v>
      </c>
      <c r="D854">
        <v>63.492687224999997</v>
      </c>
      <c r="E854">
        <v>50</v>
      </c>
      <c r="F854">
        <v>49.915786742999998</v>
      </c>
      <c r="G854">
        <v>1336.4798584</v>
      </c>
      <c r="H854">
        <v>1334.5565185999999</v>
      </c>
      <c r="I854">
        <v>1328.2642822</v>
      </c>
      <c r="J854">
        <v>1327.2108154</v>
      </c>
      <c r="K854">
        <v>1650</v>
      </c>
      <c r="L854">
        <v>0</v>
      </c>
      <c r="M854">
        <v>0</v>
      </c>
      <c r="N854">
        <v>1650</v>
      </c>
    </row>
    <row r="855" spans="1:14" x14ac:dyDescent="0.25">
      <c r="A855">
        <v>365.29962</v>
      </c>
      <c r="B855" s="1">
        <f>DATE(2011,5,1) + TIME(7,11,27)</f>
        <v>40664.299618055556</v>
      </c>
      <c r="C855">
        <v>80</v>
      </c>
      <c r="D855">
        <v>64.190109253000003</v>
      </c>
      <c r="E855">
        <v>50</v>
      </c>
      <c r="F855">
        <v>49.911945342999999</v>
      </c>
      <c r="G855">
        <v>1336.5017089999999</v>
      </c>
      <c r="H855">
        <v>1334.5776367000001</v>
      </c>
      <c r="I855">
        <v>1328.2644043</v>
      </c>
      <c r="J855">
        <v>1327.2106934000001</v>
      </c>
      <c r="K855">
        <v>1650</v>
      </c>
      <c r="L855">
        <v>0</v>
      </c>
      <c r="M855">
        <v>0</v>
      </c>
      <c r="N855">
        <v>1650</v>
      </c>
    </row>
    <row r="856" spans="1:14" x14ac:dyDescent="0.25">
      <c r="A856">
        <v>365.32967500000001</v>
      </c>
      <c r="B856" s="1">
        <f>DATE(2011,5,1) + TIME(7,54,43)</f>
        <v>40664.329664351855</v>
      </c>
      <c r="C856">
        <v>80</v>
      </c>
      <c r="D856">
        <v>64.878494262999993</v>
      </c>
      <c r="E856">
        <v>50</v>
      </c>
      <c r="F856">
        <v>49.908046722000002</v>
      </c>
      <c r="G856">
        <v>1336.5256348</v>
      </c>
      <c r="H856">
        <v>1334.5998535000001</v>
      </c>
      <c r="I856">
        <v>1328.2644043</v>
      </c>
      <c r="J856">
        <v>1327.2105713000001</v>
      </c>
      <c r="K856">
        <v>1650</v>
      </c>
      <c r="L856">
        <v>0</v>
      </c>
      <c r="M856">
        <v>0</v>
      </c>
      <c r="N856">
        <v>1650</v>
      </c>
    </row>
    <row r="857" spans="1:14" x14ac:dyDescent="0.25">
      <c r="A857">
        <v>365.36037399999998</v>
      </c>
      <c r="B857" s="1">
        <f>DATE(2011,5,1) + TIME(8,38,56)</f>
        <v>40664.36037037037</v>
      </c>
      <c r="C857">
        <v>80</v>
      </c>
      <c r="D857">
        <v>65.557456970000004</v>
      </c>
      <c r="E857">
        <v>50</v>
      </c>
      <c r="F857">
        <v>49.904087066999999</v>
      </c>
      <c r="G857">
        <v>1336.5513916</v>
      </c>
      <c r="H857">
        <v>1334.6232910000001</v>
      </c>
      <c r="I857">
        <v>1328.2644043</v>
      </c>
      <c r="J857">
        <v>1327.2104492000001</v>
      </c>
      <c r="K857">
        <v>1650</v>
      </c>
      <c r="L857">
        <v>0</v>
      </c>
      <c r="M857">
        <v>0</v>
      </c>
      <c r="N857">
        <v>1650</v>
      </c>
    </row>
    <row r="858" spans="1:14" x14ac:dyDescent="0.25">
      <c r="A858">
        <v>365.391751</v>
      </c>
      <c r="B858" s="1">
        <f>DATE(2011,5,1) + TIME(9,24,7)</f>
        <v>40664.391747685186</v>
      </c>
      <c r="C858">
        <v>80</v>
      </c>
      <c r="D858">
        <v>66.226547241000006</v>
      </c>
      <c r="E858">
        <v>50</v>
      </c>
      <c r="F858">
        <v>49.900062560999999</v>
      </c>
      <c r="G858">
        <v>1336.5792236</v>
      </c>
      <c r="H858">
        <v>1334.6477050999999</v>
      </c>
      <c r="I858">
        <v>1328.2645264</v>
      </c>
      <c r="J858">
        <v>1327.2102050999999</v>
      </c>
      <c r="K858">
        <v>1650</v>
      </c>
      <c r="L858">
        <v>0</v>
      </c>
      <c r="M858">
        <v>0</v>
      </c>
      <c r="N858">
        <v>1650</v>
      </c>
    </row>
    <row r="859" spans="1:14" x14ac:dyDescent="0.25">
      <c r="A859">
        <v>365.42383899999999</v>
      </c>
      <c r="B859" s="1">
        <f>DATE(2011,5,1) + TIME(10,10,19)</f>
        <v>40664.423831018517</v>
      </c>
      <c r="C859">
        <v>80</v>
      </c>
      <c r="D859">
        <v>66.885322571000003</v>
      </c>
      <c r="E859">
        <v>50</v>
      </c>
      <c r="F859">
        <v>49.895973206000001</v>
      </c>
      <c r="G859">
        <v>1336.6086425999999</v>
      </c>
      <c r="H859">
        <v>1334.6732178</v>
      </c>
      <c r="I859">
        <v>1328.2645264</v>
      </c>
      <c r="J859">
        <v>1327.2100829999999</v>
      </c>
      <c r="K859">
        <v>1650</v>
      </c>
      <c r="L859">
        <v>0</v>
      </c>
      <c r="M859">
        <v>0</v>
      </c>
      <c r="N859">
        <v>1650</v>
      </c>
    </row>
    <row r="860" spans="1:14" x14ac:dyDescent="0.25">
      <c r="A860">
        <v>365.45667200000003</v>
      </c>
      <c r="B860" s="1">
        <f>DATE(2011,5,1) + TIME(10,57,36)</f>
        <v>40664.456666666665</v>
      </c>
      <c r="C860">
        <v>80</v>
      </c>
      <c r="D860">
        <v>67.533317565999994</v>
      </c>
      <c r="E860">
        <v>50</v>
      </c>
      <c r="F860">
        <v>49.891811371000003</v>
      </c>
      <c r="G860">
        <v>1336.6398925999999</v>
      </c>
      <c r="H860">
        <v>1334.6995850000001</v>
      </c>
      <c r="I860">
        <v>1328.2645264</v>
      </c>
      <c r="J860">
        <v>1327.2098389</v>
      </c>
      <c r="K860">
        <v>1650</v>
      </c>
      <c r="L860">
        <v>0</v>
      </c>
      <c r="M860">
        <v>0</v>
      </c>
      <c r="N860">
        <v>1650</v>
      </c>
    </row>
    <row r="861" spans="1:14" x14ac:dyDescent="0.25">
      <c r="A861">
        <v>365.49028700000002</v>
      </c>
      <c r="B861" s="1">
        <f>DATE(2011,5,1) + TIME(11,46,0)</f>
        <v>40664.490277777775</v>
      </c>
      <c r="C861">
        <v>80</v>
      </c>
      <c r="D861">
        <v>68.170013428000004</v>
      </c>
      <c r="E861">
        <v>50</v>
      </c>
      <c r="F861">
        <v>49.887577057000001</v>
      </c>
      <c r="G861">
        <v>1336.6727295000001</v>
      </c>
      <c r="H861">
        <v>1334.7270507999999</v>
      </c>
      <c r="I861">
        <v>1328.2645264</v>
      </c>
      <c r="J861">
        <v>1327.2095947</v>
      </c>
      <c r="K861">
        <v>1650</v>
      </c>
      <c r="L861">
        <v>0</v>
      </c>
      <c r="M861">
        <v>0</v>
      </c>
      <c r="N861">
        <v>1650</v>
      </c>
    </row>
    <row r="862" spans="1:14" x14ac:dyDescent="0.25">
      <c r="A862">
        <v>365.52472299999999</v>
      </c>
      <c r="B862" s="1">
        <f>DATE(2011,5,1) + TIME(12,35,36)</f>
        <v>40664.524722222224</v>
      </c>
      <c r="C862">
        <v>80</v>
      </c>
      <c r="D862">
        <v>68.794898986999996</v>
      </c>
      <c r="E862">
        <v>50</v>
      </c>
      <c r="F862">
        <v>49.883262633999998</v>
      </c>
      <c r="G862">
        <v>1336.7070312000001</v>
      </c>
      <c r="H862">
        <v>1334.755249</v>
      </c>
      <c r="I862">
        <v>1328.2645264</v>
      </c>
      <c r="J862">
        <v>1327.2094727000001</v>
      </c>
      <c r="K862">
        <v>1650</v>
      </c>
      <c r="L862">
        <v>0</v>
      </c>
      <c r="M862">
        <v>0</v>
      </c>
      <c r="N862">
        <v>1650</v>
      </c>
    </row>
    <row r="863" spans="1:14" x14ac:dyDescent="0.25">
      <c r="A863">
        <v>365.560024</v>
      </c>
      <c r="B863" s="1">
        <f>DATE(2011,5,1) + TIME(13,26,26)</f>
        <v>40664.560023148151</v>
      </c>
      <c r="C863">
        <v>80</v>
      </c>
      <c r="D863">
        <v>69.407424926999994</v>
      </c>
      <c r="E863">
        <v>50</v>
      </c>
      <c r="F863">
        <v>49.878871918000002</v>
      </c>
      <c r="G863">
        <v>1336.7427978999999</v>
      </c>
      <c r="H863">
        <v>1334.7843018000001</v>
      </c>
      <c r="I863">
        <v>1328.2645264</v>
      </c>
      <c r="J863">
        <v>1327.2092285000001</v>
      </c>
      <c r="K863">
        <v>1650</v>
      </c>
      <c r="L863">
        <v>0</v>
      </c>
      <c r="M863">
        <v>0</v>
      </c>
      <c r="N863">
        <v>1650</v>
      </c>
    </row>
    <row r="864" spans="1:14" x14ac:dyDescent="0.25">
      <c r="A864">
        <v>365.59623499999998</v>
      </c>
      <c r="B864" s="1">
        <f>DATE(2011,5,1) + TIME(14,18,34)</f>
        <v>40664.596226851849</v>
      </c>
      <c r="C864">
        <v>80</v>
      </c>
      <c r="D864">
        <v>70.007019043</v>
      </c>
      <c r="E864">
        <v>50</v>
      </c>
      <c r="F864">
        <v>49.874393462999997</v>
      </c>
      <c r="G864">
        <v>1336.7799072</v>
      </c>
      <c r="H864">
        <v>1334.8140868999999</v>
      </c>
      <c r="I864">
        <v>1328.2645264</v>
      </c>
      <c r="J864">
        <v>1327.2088623</v>
      </c>
      <c r="K864">
        <v>1650</v>
      </c>
      <c r="L864">
        <v>0</v>
      </c>
      <c r="M864">
        <v>0</v>
      </c>
      <c r="N864">
        <v>1650</v>
      </c>
    </row>
    <row r="865" spans="1:14" x14ac:dyDescent="0.25">
      <c r="A865">
        <v>365.63340899999997</v>
      </c>
      <c r="B865" s="1">
        <f>DATE(2011,5,1) + TIME(15,12,6)</f>
        <v>40664.633402777778</v>
      </c>
      <c r="C865">
        <v>80</v>
      </c>
      <c r="D865">
        <v>70.592697143999999</v>
      </c>
      <c r="E865">
        <v>50</v>
      </c>
      <c r="F865">
        <v>49.869827270999998</v>
      </c>
      <c r="G865">
        <v>1336.8183594</v>
      </c>
      <c r="H865">
        <v>1334.8446045000001</v>
      </c>
      <c r="I865">
        <v>1328.2645264</v>
      </c>
      <c r="J865">
        <v>1327.2086182</v>
      </c>
      <c r="K865">
        <v>1650</v>
      </c>
      <c r="L865">
        <v>0</v>
      </c>
      <c r="M865">
        <v>0</v>
      </c>
      <c r="N865">
        <v>1650</v>
      </c>
    </row>
    <row r="866" spans="1:14" x14ac:dyDescent="0.25">
      <c r="A866">
        <v>365.67159900000001</v>
      </c>
      <c r="B866" s="1">
        <f>DATE(2011,5,1) + TIME(16,7,6)</f>
        <v>40664.671597222223</v>
      </c>
      <c r="C866">
        <v>80</v>
      </c>
      <c r="D866">
        <v>71.164283752000003</v>
      </c>
      <c r="E866">
        <v>50</v>
      </c>
      <c r="F866">
        <v>49.865165709999999</v>
      </c>
      <c r="G866">
        <v>1336.8580322</v>
      </c>
      <c r="H866">
        <v>1334.8757324000001</v>
      </c>
      <c r="I866">
        <v>1328.2644043</v>
      </c>
      <c r="J866">
        <v>1327.208374</v>
      </c>
      <c r="K866">
        <v>1650</v>
      </c>
      <c r="L866">
        <v>0</v>
      </c>
      <c r="M866">
        <v>0</v>
      </c>
      <c r="N866">
        <v>1650</v>
      </c>
    </row>
    <row r="867" spans="1:14" x14ac:dyDescent="0.25">
      <c r="A867">
        <v>365.71087699999998</v>
      </c>
      <c r="B867" s="1">
        <f>DATE(2011,5,1) + TIME(17,3,39)</f>
        <v>40664.710868055554</v>
      </c>
      <c r="C867">
        <v>80</v>
      </c>
      <c r="D867">
        <v>71.721321106000005</v>
      </c>
      <c r="E867">
        <v>50</v>
      </c>
      <c r="F867">
        <v>49.860401154000002</v>
      </c>
      <c r="G867">
        <v>1336.8986815999999</v>
      </c>
      <c r="H867">
        <v>1334.9074707</v>
      </c>
      <c r="I867">
        <v>1328.2644043</v>
      </c>
      <c r="J867">
        <v>1327.2080077999999</v>
      </c>
      <c r="K867">
        <v>1650</v>
      </c>
      <c r="L867">
        <v>0</v>
      </c>
      <c r="M867">
        <v>0</v>
      </c>
      <c r="N867">
        <v>1650</v>
      </c>
    </row>
    <row r="868" spans="1:14" x14ac:dyDescent="0.25">
      <c r="A868">
        <v>365.75130899999999</v>
      </c>
      <c r="B868" s="1">
        <f>DATE(2011,5,1) + TIME(18,1,53)</f>
        <v>40664.751307870371</v>
      </c>
      <c r="C868">
        <v>80</v>
      </c>
      <c r="D868">
        <v>72.263237000000004</v>
      </c>
      <c r="E868">
        <v>50</v>
      </c>
      <c r="F868">
        <v>49.855533600000001</v>
      </c>
      <c r="G868">
        <v>1336.9404297000001</v>
      </c>
      <c r="H868">
        <v>1334.9398193</v>
      </c>
      <c r="I868">
        <v>1328.2642822</v>
      </c>
      <c r="J868">
        <v>1327.2076416</v>
      </c>
      <c r="K868">
        <v>1650</v>
      </c>
      <c r="L868">
        <v>0</v>
      </c>
      <c r="M868">
        <v>0</v>
      </c>
      <c r="N868">
        <v>1650</v>
      </c>
    </row>
    <row r="869" spans="1:14" x14ac:dyDescent="0.25">
      <c r="A869">
        <v>365.79296099999999</v>
      </c>
      <c r="B869" s="1">
        <f>DATE(2011,5,1) + TIME(19,1,51)</f>
        <v>40664.792951388888</v>
      </c>
      <c r="C869">
        <v>80</v>
      </c>
      <c r="D869">
        <v>72.789329529</v>
      </c>
      <c r="E869">
        <v>50</v>
      </c>
      <c r="F869">
        <v>49.850547790999997</v>
      </c>
      <c r="G869">
        <v>1336.9831543</v>
      </c>
      <c r="H869">
        <v>1334.9726562000001</v>
      </c>
      <c r="I869">
        <v>1328.2642822</v>
      </c>
      <c r="J869">
        <v>1327.2072754000001</v>
      </c>
      <c r="K869">
        <v>1650</v>
      </c>
      <c r="L869">
        <v>0</v>
      </c>
      <c r="M869">
        <v>0</v>
      </c>
      <c r="N869">
        <v>1650</v>
      </c>
    </row>
    <row r="870" spans="1:14" x14ac:dyDescent="0.25">
      <c r="A870">
        <v>365.835914</v>
      </c>
      <c r="B870" s="1">
        <f>DATE(2011,5,1) + TIME(20,3,42)</f>
        <v>40664.835902777777</v>
      </c>
      <c r="C870">
        <v>80</v>
      </c>
      <c r="D870">
        <v>73.299049377000003</v>
      </c>
      <c r="E870">
        <v>50</v>
      </c>
      <c r="F870">
        <v>49.845443725999999</v>
      </c>
      <c r="G870">
        <v>1337.0266113</v>
      </c>
      <c r="H870">
        <v>1335.0058594</v>
      </c>
      <c r="I870">
        <v>1328.2641602000001</v>
      </c>
      <c r="J870">
        <v>1327.2069091999999</v>
      </c>
      <c r="K870">
        <v>1650</v>
      </c>
      <c r="L870">
        <v>0</v>
      </c>
      <c r="M870">
        <v>0</v>
      </c>
      <c r="N870">
        <v>1650</v>
      </c>
    </row>
    <row r="871" spans="1:14" x14ac:dyDescent="0.25">
      <c r="A871">
        <v>365.88023099999998</v>
      </c>
      <c r="B871" s="1">
        <f>DATE(2011,5,1) + TIME(21,7,31)</f>
        <v>40664.880219907405</v>
      </c>
      <c r="C871">
        <v>80</v>
      </c>
      <c r="D871">
        <v>73.791580199999999</v>
      </c>
      <c r="E871">
        <v>50</v>
      </c>
      <c r="F871">
        <v>49.840217590000002</v>
      </c>
      <c r="G871">
        <v>1337.0710449000001</v>
      </c>
      <c r="H871">
        <v>1335.0394286999999</v>
      </c>
      <c r="I871">
        <v>1328.2640381000001</v>
      </c>
      <c r="J871">
        <v>1327.206543</v>
      </c>
      <c r="K871">
        <v>1650</v>
      </c>
      <c r="L871">
        <v>0</v>
      </c>
      <c r="M871">
        <v>0</v>
      </c>
      <c r="N871">
        <v>1650</v>
      </c>
    </row>
    <row r="872" spans="1:14" x14ac:dyDescent="0.25">
      <c r="A872">
        <v>365.92588000000001</v>
      </c>
      <c r="B872" s="1">
        <f>DATE(2011,5,1) + TIME(22,13,16)</f>
        <v>40664.925879629627</v>
      </c>
      <c r="C872">
        <v>80</v>
      </c>
      <c r="D872">
        <v>74.265182495000005</v>
      </c>
      <c r="E872">
        <v>50</v>
      </c>
      <c r="F872">
        <v>49.834869384999998</v>
      </c>
      <c r="G872">
        <v>1337.1160889</v>
      </c>
      <c r="H872">
        <v>1335.0734863</v>
      </c>
      <c r="I872">
        <v>1328.2639160000001</v>
      </c>
      <c r="J872">
        <v>1327.2061768000001</v>
      </c>
      <c r="K872">
        <v>1650</v>
      </c>
      <c r="L872">
        <v>0</v>
      </c>
      <c r="M872">
        <v>0</v>
      </c>
      <c r="N872">
        <v>1650</v>
      </c>
    </row>
    <row r="873" spans="1:14" x14ac:dyDescent="0.25">
      <c r="A873">
        <v>365.972939</v>
      </c>
      <c r="B873" s="1">
        <f>DATE(2011,5,1) + TIME(23,21,1)</f>
        <v>40664.972928240742</v>
      </c>
      <c r="C873">
        <v>80</v>
      </c>
      <c r="D873">
        <v>74.719406128000003</v>
      </c>
      <c r="E873">
        <v>50</v>
      </c>
      <c r="F873">
        <v>49.829395294000001</v>
      </c>
      <c r="G873">
        <v>1337.1616211</v>
      </c>
      <c r="H873">
        <v>1335.1075439000001</v>
      </c>
      <c r="I873">
        <v>1328.2637939000001</v>
      </c>
      <c r="J873">
        <v>1327.2056885</v>
      </c>
      <c r="K873">
        <v>1650</v>
      </c>
      <c r="L873">
        <v>0</v>
      </c>
      <c r="M873">
        <v>0</v>
      </c>
      <c r="N873">
        <v>1650</v>
      </c>
    </row>
    <row r="874" spans="1:14" x14ac:dyDescent="0.25">
      <c r="A874">
        <v>366.02149300000002</v>
      </c>
      <c r="B874" s="1">
        <f>DATE(2011,5,2) + TIME(0,30,56)</f>
        <v>40665.021481481483</v>
      </c>
      <c r="C874">
        <v>80</v>
      </c>
      <c r="D874">
        <v>75.153709411999998</v>
      </c>
      <c r="E874">
        <v>50</v>
      </c>
      <c r="F874">
        <v>49.823787689</v>
      </c>
      <c r="G874">
        <v>1337.2075195</v>
      </c>
      <c r="H874">
        <v>1335.1418457</v>
      </c>
      <c r="I874">
        <v>1328.2636719</v>
      </c>
      <c r="J874">
        <v>1327.2053223</v>
      </c>
      <c r="K874">
        <v>1650</v>
      </c>
      <c r="L874">
        <v>0</v>
      </c>
      <c r="M874">
        <v>0</v>
      </c>
      <c r="N874">
        <v>1650</v>
      </c>
    </row>
    <row r="875" spans="1:14" x14ac:dyDescent="0.25">
      <c r="A875">
        <v>366.07164</v>
      </c>
      <c r="B875" s="1">
        <f>DATE(2011,5,2) + TIME(1,43,9)</f>
        <v>40665.071631944447</v>
      </c>
      <c r="C875">
        <v>80</v>
      </c>
      <c r="D875">
        <v>75.567687988000003</v>
      </c>
      <c r="E875">
        <v>50</v>
      </c>
      <c r="F875">
        <v>49.818038940000001</v>
      </c>
      <c r="G875">
        <v>1337.2537841999999</v>
      </c>
      <c r="H875">
        <v>1335.1760254000001</v>
      </c>
      <c r="I875">
        <v>1328.2635498</v>
      </c>
      <c r="J875">
        <v>1327.2048339999999</v>
      </c>
      <c r="K875">
        <v>1650</v>
      </c>
      <c r="L875">
        <v>0</v>
      </c>
      <c r="M875">
        <v>0</v>
      </c>
      <c r="N875">
        <v>1650</v>
      </c>
    </row>
    <row r="876" spans="1:14" x14ac:dyDescent="0.25">
      <c r="A876">
        <v>366.12349499999999</v>
      </c>
      <c r="B876" s="1">
        <f>DATE(2011,5,2) + TIME(2,57,49)</f>
        <v>40665.123483796298</v>
      </c>
      <c r="C876">
        <v>80</v>
      </c>
      <c r="D876">
        <v>75.961341857999997</v>
      </c>
      <c r="E876">
        <v>50</v>
      </c>
      <c r="F876">
        <v>49.812137604</v>
      </c>
      <c r="G876">
        <v>1337.3001709</v>
      </c>
      <c r="H876">
        <v>1335.2103271000001</v>
      </c>
      <c r="I876">
        <v>1328.2634277</v>
      </c>
      <c r="J876">
        <v>1327.2043457</v>
      </c>
      <c r="K876">
        <v>1650</v>
      </c>
      <c r="L876">
        <v>0</v>
      </c>
      <c r="M876">
        <v>0</v>
      </c>
      <c r="N876">
        <v>1650</v>
      </c>
    </row>
    <row r="877" spans="1:14" x14ac:dyDescent="0.25">
      <c r="A877">
        <v>366.17715199999998</v>
      </c>
      <c r="B877" s="1">
        <f>DATE(2011,5,2) + TIME(4,15,5)</f>
        <v>40665.177141203705</v>
      </c>
      <c r="C877">
        <v>80</v>
      </c>
      <c r="D877">
        <v>76.334297179999993</v>
      </c>
      <c r="E877">
        <v>50</v>
      </c>
      <c r="F877">
        <v>49.806079865000001</v>
      </c>
      <c r="G877">
        <v>1337.3466797000001</v>
      </c>
      <c r="H877">
        <v>1335.2445068</v>
      </c>
      <c r="I877">
        <v>1328.2631836</v>
      </c>
      <c r="J877">
        <v>1327.2038574000001</v>
      </c>
      <c r="K877">
        <v>1650</v>
      </c>
      <c r="L877">
        <v>0</v>
      </c>
      <c r="M877">
        <v>0</v>
      </c>
      <c r="N877">
        <v>1650</v>
      </c>
    </row>
    <row r="878" spans="1:14" x14ac:dyDescent="0.25">
      <c r="A878">
        <v>366.23273399999999</v>
      </c>
      <c r="B878" s="1">
        <f>DATE(2011,5,2) + TIME(5,35,8)</f>
        <v>40665.232731481483</v>
      </c>
      <c r="C878">
        <v>80</v>
      </c>
      <c r="D878">
        <v>76.686416625999996</v>
      </c>
      <c r="E878">
        <v>50</v>
      </c>
      <c r="F878">
        <v>49.799854279000002</v>
      </c>
      <c r="G878">
        <v>1337.3930664</v>
      </c>
      <c r="H878">
        <v>1335.2784423999999</v>
      </c>
      <c r="I878">
        <v>1328.2629394999999</v>
      </c>
      <c r="J878">
        <v>1327.2032471</v>
      </c>
      <c r="K878">
        <v>1650</v>
      </c>
      <c r="L878">
        <v>0</v>
      </c>
      <c r="M878">
        <v>0</v>
      </c>
      <c r="N878">
        <v>1650</v>
      </c>
    </row>
    <row r="879" spans="1:14" x14ac:dyDescent="0.25">
      <c r="A879">
        <v>366.29037299999999</v>
      </c>
      <c r="B879" s="1">
        <f>DATE(2011,5,2) + TIME(6,58,8)</f>
        <v>40665.290370370371</v>
      </c>
      <c r="C879">
        <v>80</v>
      </c>
      <c r="D879">
        <v>77.017631531000006</v>
      </c>
      <c r="E879">
        <v>50</v>
      </c>
      <c r="F879">
        <v>49.793449402</v>
      </c>
      <c r="G879">
        <v>1337.4394531</v>
      </c>
      <c r="H879">
        <v>1335.3122559000001</v>
      </c>
      <c r="I879">
        <v>1328.2628173999999</v>
      </c>
      <c r="J879">
        <v>1327.2027588000001</v>
      </c>
      <c r="K879">
        <v>1650</v>
      </c>
      <c r="L879">
        <v>0</v>
      </c>
      <c r="M879">
        <v>0</v>
      </c>
      <c r="N879">
        <v>1650</v>
      </c>
    </row>
    <row r="880" spans="1:14" x14ac:dyDescent="0.25">
      <c r="A880">
        <v>366.35021999999998</v>
      </c>
      <c r="B880" s="1">
        <f>DATE(2011,5,2) + TIME(8,24,18)</f>
        <v>40665.350208333337</v>
      </c>
      <c r="C880">
        <v>80</v>
      </c>
      <c r="D880">
        <v>77.327957153</v>
      </c>
      <c r="E880">
        <v>50</v>
      </c>
      <c r="F880">
        <v>49.786849975999999</v>
      </c>
      <c r="G880">
        <v>1337.4855957</v>
      </c>
      <c r="H880">
        <v>1335.3457031</v>
      </c>
      <c r="I880">
        <v>1328.2625731999999</v>
      </c>
      <c r="J880">
        <v>1327.2021483999999</v>
      </c>
      <c r="K880">
        <v>1650</v>
      </c>
      <c r="L880">
        <v>0</v>
      </c>
      <c r="M880">
        <v>0</v>
      </c>
      <c r="N880">
        <v>1650</v>
      </c>
    </row>
    <row r="881" spans="1:14" x14ac:dyDescent="0.25">
      <c r="A881">
        <v>366.41243800000001</v>
      </c>
      <c r="B881" s="1">
        <f>DATE(2011,5,2) + TIME(9,53,54)</f>
        <v>40665.412430555552</v>
      </c>
      <c r="C881">
        <v>80</v>
      </c>
      <c r="D881">
        <v>77.617500304999993</v>
      </c>
      <c r="E881">
        <v>50</v>
      </c>
      <c r="F881">
        <v>49.780048370000003</v>
      </c>
      <c r="G881">
        <v>1337.5314940999999</v>
      </c>
      <c r="H881">
        <v>1335.3787841999999</v>
      </c>
      <c r="I881">
        <v>1328.2623291</v>
      </c>
      <c r="J881">
        <v>1327.2015381000001</v>
      </c>
      <c r="K881">
        <v>1650</v>
      </c>
      <c r="L881">
        <v>0</v>
      </c>
      <c r="M881">
        <v>0</v>
      </c>
      <c r="N881">
        <v>1650</v>
      </c>
    </row>
    <row r="882" spans="1:14" x14ac:dyDescent="0.25">
      <c r="A882">
        <v>366.47721300000001</v>
      </c>
      <c r="B882" s="1">
        <f>DATE(2011,5,2) + TIME(11,27,11)</f>
        <v>40665.477210648147</v>
      </c>
      <c r="C882">
        <v>80</v>
      </c>
      <c r="D882">
        <v>77.886459350999999</v>
      </c>
      <c r="E882">
        <v>50</v>
      </c>
      <c r="F882">
        <v>49.773025513</v>
      </c>
      <c r="G882">
        <v>1337.5769043</v>
      </c>
      <c r="H882">
        <v>1335.411499</v>
      </c>
      <c r="I882">
        <v>1328.2619629000001</v>
      </c>
      <c r="J882">
        <v>1327.2009277</v>
      </c>
      <c r="K882">
        <v>1650</v>
      </c>
      <c r="L882">
        <v>0</v>
      </c>
      <c r="M882">
        <v>0</v>
      </c>
      <c r="N882">
        <v>1650</v>
      </c>
    </row>
    <row r="883" spans="1:14" x14ac:dyDescent="0.25">
      <c r="A883">
        <v>366.54475000000002</v>
      </c>
      <c r="B883" s="1">
        <f>DATE(2011,5,2) + TIME(13,4,26)</f>
        <v>40665.544745370367</v>
      </c>
      <c r="C883">
        <v>80</v>
      </c>
      <c r="D883">
        <v>78.135131835999999</v>
      </c>
      <c r="E883">
        <v>50</v>
      </c>
      <c r="F883">
        <v>49.765762328999998</v>
      </c>
      <c r="G883">
        <v>1337.6219481999999</v>
      </c>
      <c r="H883">
        <v>1335.4438477000001</v>
      </c>
      <c r="I883">
        <v>1328.2617187999999</v>
      </c>
      <c r="J883">
        <v>1327.2001952999999</v>
      </c>
      <c r="K883">
        <v>1650</v>
      </c>
      <c r="L883">
        <v>0</v>
      </c>
      <c r="M883">
        <v>0</v>
      </c>
      <c r="N883">
        <v>1650</v>
      </c>
    </row>
    <row r="884" spans="1:14" x14ac:dyDescent="0.25">
      <c r="A884">
        <v>366.61528399999997</v>
      </c>
      <c r="B884" s="1">
        <f>DATE(2011,5,2) + TIME(14,46,0)</f>
        <v>40665.615277777775</v>
      </c>
      <c r="C884">
        <v>80</v>
      </c>
      <c r="D884">
        <v>78.363899231000005</v>
      </c>
      <c r="E884">
        <v>50</v>
      </c>
      <c r="F884">
        <v>49.758247375000003</v>
      </c>
      <c r="G884">
        <v>1337.6663818</v>
      </c>
      <c r="H884">
        <v>1335.4755858999999</v>
      </c>
      <c r="I884">
        <v>1328.2613524999999</v>
      </c>
      <c r="J884">
        <v>1327.1994629000001</v>
      </c>
      <c r="K884">
        <v>1650</v>
      </c>
      <c r="L884">
        <v>0</v>
      </c>
      <c r="M884">
        <v>0</v>
      </c>
      <c r="N884">
        <v>1650</v>
      </c>
    </row>
    <row r="885" spans="1:14" x14ac:dyDescent="0.25">
      <c r="A885">
        <v>366.68907799999999</v>
      </c>
      <c r="B885" s="1">
        <f>DATE(2011,5,2) + TIME(16,32,16)</f>
        <v>40665.689074074071</v>
      </c>
      <c r="C885">
        <v>80</v>
      </c>
      <c r="D885">
        <v>78.573226929</v>
      </c>
      <c r="E885">
        <v>50</v>
      </c>
      <c r="F885">
        <v>49.750453948999997</v>
      </c>
      <c r="G885">
        <v>1337.7100829999999</v>
      </c>
      <c r="H885">
        <v>1335.5067139</v>
      </c>
      <c r="I885">
        <v>1328.2609863</v>
      </c>
      <c r="J885">
        <v>1327.1987305</v>
      </c>
      <c r="K885">
        <v>1650</v>
      </c>
      <c r="L885">
        <v>0</v>
      </c>
      <c r="M885">
        <v>0</v>
      </c>
      <c r="N885">
        <v>1650</v>
      </c>
    </row>
    <row r="886" spans="1:14" x14ac:dyDescent="0.25">
      <c r="A886">
        <v>366.766481</v>
      </c>
      <c r="B886" s="1">
        <f>DATE(2011,5,2) + TIME(18,23,43)</f>
        <v>40665.766469907408</v>
      </c>
      <c r="C886">
        <v>80</v>
      </c>
      <c r="D886">
        <v>78.763786315999994</v>
      </c>
      <c r="E886">
        <v>50</v>
      </c>
      <c r="F886">
        <v>49.742355347</v>
      </c>
      <c r="G886">
        <v>1337.7530518000001</v>
      </c>
      <c r="H886">
        <v>1335.5373535000001</v>
      </c>
      <c r="I886">
        <v>1328.2606201000001</v>
      </c>
      <c r="J886">
        <v>1327.1979980000001</v>
      </c>
      <c r="K886">
        <v>1650</v>
      </c>
      <c r="L886">
        <v>0</v>
      </c>
      <c r="M886">
        <v>0</v>
      </c>
      <c r="N886">
        <v>1650</v>
      </c>
    </row>
    <row r="887" spans="1:14" x14ac:dyDescent="0.25">
      <c r="A887">
        <v>366.84780899999998</v>
      </c>
      <c r="B887" s="1">
        <f>DATE(2011,5,2) + TIME(20,20,50)</f>
        <v>40665.847800925927</v>
      </c>
      <c r="C887">
        <v>80</v>
      </c>
      <c r="D887">
        <v>78.936126709000007</v>
      </c>
      <c r="E887">
        <v>50</v>
      </c>
      <c r="F887">
        <v>49.733928679999998</v>
      </c>
      <c r="G887">
        <v>1337.7951660000001</v>
      </c>
      <c r="H887">
        <v>1335.5672606999999</v>
      </c>
      <c r="I887">
        <v>1328.2602539</v>
      </c>
      <c r="J887">
        <v>1327.1971435999999</v>
      </c>
      <c r="K887">
        <v>1650</v>
      </c>
      <c r="L887">
        <v>0</v>
      </c>
      <c r="M887">
        <v>0</v>
      </c>
      <c r="N887">
        <v>1650</v>
      </c>
    </row>
    <row r="888" spans="1:14" x14ac:dyDescent="0.25">
      <c r="A888">
        <v>366.93345599999998</v>
      </c>
      <c r="B888" s="1">
        <f>DATE(2011,5,2) + TIME(22,24,10)</f>
        <v>40665.933449074073</v>
      </c>
      <c r="C888">
        <v>80</v>
      </c>
      <c r="D888">
        <v>79.090950011999993</v>
      </c>
      <c r="E888">
        <v>50</v>
      </c>
      <c r="F888">
        <v>49.725135803000001</v>
      </c>
      <c r="G888">
        <v>1337.8361815999999</v>
      </c>
      <c r="H888">
        <v>1335.5963135</v>
      </c>
      <c r="I888">
        <v>1328.2597656</v>
      </c>
      <c r="J888">
        <v>1327.1961670000001</v>
      </c>
      <c r="K888">
        <v>1650</v>
      </c>
      <c r="L888">
        <v>0</v>
      </c>
      <c r="M888">
        <v>0</v>
      </c>
      <c r="N888">
        <v>1650</v>
      </c>
    </row>
    <row r="889" spans="1:14" x14ac:dyDescent="0.25">
      <c r="A889">
        <v>367.02223900000001</v>
      </c>
      <c r="B889" s="1">
        <f>DATE(2011,5,3) + TIME(0,32,1)</f>
        <v>40666.022233796299</v>
      </c>
      <c r="C889">
        <v>80</v>
      </c>
      <c r="D889">
        <v>79.226936339999995</v>
      </c>
      <c r="E889">
        <v>50</v>
      </c>
      <c r="F889">
        <v>49.716106414999999</v>
      </c>
      <c r="G889">
        <v>1337.8763428</v>
      </c>
      <c r="H889">
        <v>1335.6247559000001</v>
      </c>
      <c r="I889">
        <v>1328.2591553</v>
      </c>
      <c r="J889">
        <v>1327.1951904</v>
      </c>
      <c r="K889">
        <v>1650</v>
      </c>
      <c r="L889">
        <v>0</v>
      </c>
      <c r="M889">
        <v>0</v>
      </c>
      <c r="N889">
        <v>1650</v>
      </c>
    </row>
    <row r="890" spans="1:14" x14ac:dyDescent="0.25">
      <c r="A890">
        <v>367.112279</v>
      </c>
      <c r="B890" s="1">
        <f>DATE(2011,5,3) + TIME(2,41,40)</f>
        <v>40666.112268518518</v>
      </c>
      <c r="C890">
        <v>80</v>
      </c>
      <c r="D890">
        <v>79.343391417999996</v>
      </c>
      <c r="E890">
        <v>50</v>
      </c>
      <c r="F890">
        <v>49.707023620999998</v>
      </c>
      <c r="G890">
        <v>1337.9149170000001</v>
      </c>
      <c r="H890">
        <v>1335.6519774999999</v>
      </c>
      <c r="I890">
        <v>1328.2586670000001</v>
      </c>
      <c r="J890">
        <v>1327.1942139</v>
      </c>
      <c r="K890">
        <v>1650</v>
      </c>
      <c r="L890">
        <v>0</v>
      </c>
      <c r="M890">
        <v>0</v>
      </c>
      <c r="N890">
        <v>1650</v>
      </c>
    </row>
    <row r="891" spans="1:14" x14ac:dyDescent="0.25">
      <c r="A891">
        <v>367.20400999999998</v>
      </c>
      <c r="B891" s="1">
        <f>DATE(2011,5,3) + TIME(4,53,46)</f>
        <v>40666.204004629632</v>
      </c>
      <c r="C891">
        <v>80</v>
      </c>
      <c r="D891">
        <v>79.443145752000007</v>
      </c>
      <c r="E891">
        <v>50</v>
      </c>
      <c r="F891">
        <v>49.697837829999997</v>
      </c>
      <c r="G891">
        <v>1337.9508057</v>
      </c>
      <c r="H891">
        <v>1335.6772461</v>
      </c>
      <c r="I891">
        <v>1328.2580565999999</v>
      </c>
      <c r="J891">
        <v>1327.1932373</v>
      </c>
      <c r="K891">
        <v>1650</v>
      </c>
      <c r="L891">
        <v>0</v>
      </c>
      <c r="M891">
        <v>0</v>
      </c>
      <c r="N891">
        <v>1650</v>
      </c>
    </row>
    <row r="892" spans="1:14" x14ac:dyDescent="0.25">
      <c r="A892">
        <v>367.295953</v>
      </c>
      <c r="B892" s="1">
        <f>DATE(2011,5,3) + TIME(7,6,10)</f>
        <v>40666.295949074076</v>
      </c>
      <c r="C892">
        <v>80</v>
      </c>
      <c r="D892">
        <v>79.527084350999999</v>
      </c>
      <c r="E892">
        <v>50</v>
      </c>
      <c r="F892">
        <v>49.688697814999998</v>
      </c>
      <c r="G892">
        <v>1337.9838867000001</v>
      </c>
      <c r="H892">
        <v>1335.7005615</v>
      </c>
      <c r="I892">
        <v>1328.2574463000001</v>
      </c>
      <c r="J892">
        <v>1327.1921387</v>
      </c>
      <c r="K892">
        <v>1650</v>
      </c>
      <c r="L892">
        <v>0</v>
      </c>
      <c r="M892">
        <v>0</v>
      </c>
      <c r="N892">
        <v>1650</v>
      </c>
    </row>
    <row r="893" spans="1:14" x14ac:dyDescent="0.25">
      <c r="A893">
        <v>367.38816300000002</v>
      </c>
      <c r="B893" s="1">
        <f>DATE(2011,5,3) + TIME(9,18,57)</f>
        <v>40666.388159722221</v>
      </c>
      <c r="C893">
        <v>80</v>
      </c>
      <c r="D893">
        <v>79.597633361999996</v>
      </c>
      <c r="E893">
        <v>50</v>
      </c>
      <c r="F893">
        <v>49.679592133</v>
      </c>
      <c r="G893">
        <v>1338.0113524999999</v>
      </c>
      <c r="H893">
        <v>1335.7200928</v>
      </c>
      <c r="I893">
        <v>1328.2568358999999</v>
      </c>
      <c r="J893">
        <v>1327.1910399999999</v>
      </c>
      <c r="K893">
        <v>1650</v>
      </c>
      <c r="L893">
        <v>0</v>
      </c>
      <c r="M893">
        <v>0</v>
      </c>
      <c r="N893">
        <v>1650</v>
      </c>
    </row>
    <row r="894" spans="1:14" x14ac:dyDescent="0.25">
      <c r="A894">
        <v>367.48091199999999</v>
      </c>
      <c r="B894" s="1">
        <f>DATE(2011,5,3) + TIME(11,32,30)</f>
        <v>40666.480902777781</v>
      </c>
      <c r="C894">
        <v>80</v>
      </c>
      <c r="D894">
        <v>79.656990050999994</v>
      </c>
      <c r="E894">
        <v>50</v>
      </c>
      <c r="F894">
        <v>49.670494079999997</v>
      </c>
      <c r="G894">
        <v>1338.0362548999999</v>
      </c>
      <c r="H894">
        <v>1335.737793</v>
      </c>
      <c r="I894">
        <v>1328.2561035000001</v>
      </c>
      <c r="J894">
        <v>1327.1899414</v>
      </c>
      <c r="K894">
        <v>1650</v>
      </c>
      <c r="L894">
        <v>0</v>
      </c>
      <c r="M894">
        <v>0</v>
      </c>
      <c r="N894">
        <v>1650</v>
      </c>
    </row>
    <row r="895" spans="1:14" x14ac:dyDescent="0.25">
      <c r="A895">
        <v>367.57439799999997</v>
      </c>
      <c r="B895" s="1">
        <f>DATE(2011,5,3) + TIME(13,47,7)</f>
        <v>40666.574386574073</v>
      </c>
      <c r="C895">
        <v>80</v>
      </c>
      <c r="D895">
        <v>79.706947326999995</v>
      </c>
      <c r="E895">
        <v>50</v>
      </c>
      <c r="F895">
        <v>49.661388397000003</v>
      </c>
      <c r="G895">
        <v>1338.059082</v>
      </c>
      <c r="H895">
        <v>1335.7540283000001</v>
      </c>
      <c r="I895">
        <v>1328.2553711</v>
      </c>
      <c r="J895">
        <v>1327.1888428</v>
      </c>
      <c r="K895">
        <v>1650</v>
      </c>
      <c r="L895">
        <v>0</v>
      </c>
      <c r="M895">
        <v>0</v>
      </c>
      <c r="N895">
        <v>1650</v>
      </c>
    </row>
    <row r="896" spans="1:14" x14ac:dyDescent="0.25">
      <c r="A896">
        <v>367.668812</v>
      </c>
      <c r="B896" s="1">
        <f>DATE(2011,5,3) + TIME(16,3,5)</f>
        <v>40666.668807870374</v>
      </c>
      <c r="C896">
        <v>80</v>
      </c>
      <c r="D896">
        <v>79.748977660999998</v>
      </c>
      <c r="E896">
        <v>50</v>
      </c>
      <c r="F896">
        <v>49.652248383</v>
      </c>
      <c r="G896">
        <v>1338.0798339999999</v>
      </c>
      <c r="H896">
        <v>1335.769043</v>
      </c>
      <c r="I896">
        <v>1328.2546387</v>
      </c>
      <c r="J896">
        <v>1327.1877440999999</v>
      </c>
      <c r="K896">
        <v>1650</v>
      </c>
      <c r="L896">
        <v>0</v>
      </c>
      <c r="M896">
        <v>0</v>
      </c>
      <c r="N896">
        <v>1650</v>
      </c>
    </row>
    <row r="897" spans="1:14" x14ac:dyDescent="0.25">
      <c r="A897">
        <v>367.76435900000001</v>
      </c>
      <c r="B897" s="1">
        <f>DATE(2011,5,3) + TIME(18,20,40)</f>
        <v>40666.764351851853</v>
      </c>
      <c r="C897">
        <v>80</v>
      </c>
      <c r="D897">
        <v>79.784339904999996</v>
      </c>
      <c r="E897">
        <v>50</v>
      </c>
      <c r="F897">
        <v>49.643062592</v>
      </c>
      <c r="G897">
        <v>1338.098999</v>
      </c>
      <c r="H897">
        <v>1335.7828368999999</v>
      </c>
      <c r="I897">
        <v>1328.2539062000001</v>
      </c>
      <c r="J897">
        <v>1327.1865233999999</v>
      </c>
      <c r="K897">
        <v>1650</v>
      </c>
      <c r="L897">
        <v>0</v>
      </c>
      <c r="M897">
        <v>0</v>
      </c>
      <c r="N897">
        <v>1650</v>
      </c>
    </row>
    <row r="898" spans="1:14" x14ac:dyDescent="0.25">
      <c r="A898">
        <v>367.86127399999998</v>
      </c>
      <c r="B898" s="1">
        <f>DATE(2011,5,3) + TIME(20,40,14)</f>
        <v>40666.861273148148</v>
      </c>
      <c r="C898">
        <v>80</v>
      </c>
      <c r="D898">
        <v>79.814064025999997</v>
      </c>
      <c r="E898">
        <v>50</v>
      </c>
      <c r="F898">
        <v>49.633808135999999</v>
      </c>
      <c r="G898">
        <v>1338.1160889</v>
      </c>
      <c r="H898">
        <v>1335.7952881000001</v>
      </c>
      <c r="I898">
        <v>1328.2531738</v>
      </c>
      <c r="J898">
        <v>1327.1854248</v>
      </c>
      <c r="K898">
        <v>1650</v>
      </c>
      <c r="L898">
        <v>0</v>
      </c>
      <c r="M898">
        <v>0</v>
      </c>
      <c r="N898">
        <v>1650</v>
      </c>
    </row>
    <row r="899" spans="1:14" x14ac:dyDescent="0.25">
      <c r="A899">
        <v>367.95973900000001</v>
      </c>
      <c r="B899" s="1">
        <f>DATE(2011,5,3) + TIME(23,2,1)</f>
        <v>40666.959733796299</v>
      </c>
      <c r="C899">
        <v>80</v>
      </c>
      <c r="D899">
        <v>79.839012146000002</v>
      </c>
      <c r="E899">
        <v>50</v>
      </c>
      <c r="F899">
        <v>49.624469757</v>
      </c>
      <c r="G899">
        <v>1338.1282959</v>
      </c>
      <c r="H899">
        <v>1335.8044434000001</v>
      </c>
      <c r="I899">
        <v>1328.2523193</v>
      </c>
      <c r="J899">
        <v>1327.1842041</v>
      </c>
      <c r="K899">
        <v>1650</v>
      </c>
      <c r="L899">
        <v>0</v>
      </c>
      <c r="M899">
        <v>0</v>
      </c>
      <c r="N899">
        <v>1650</v>
      </c>
    </row>
    <row r="900" spans="1:14" x14ac:dyDescent="0.25">
      <c r="A900">
        <v>368.06005800000003</v>
      </c>
      <c r="B900" s="1">
        <f>DATE(2011,5,4) + TIME(1,26,28)</f>
        <v>40667.060046296298</v>
      </c>
      <c r="C900">
        <v>80</v>
      </c>
      <c r="D900">
        <v>79.859947204999997</v>
      </c>
      <c r="E900">
        <v>50</v>
      </c>
      <c r="F900">
        <v>49.615016937</v>
      </c>
      <c r="G900">
        <v>1338.1394043</v>
      </c>
      <c r="H900">
        <v>1335.8128661999999</v>
      </c>
      <c r="I900">
        <v>1328.2514647999999</v>
      </c>
      <c r="J900">
        <v>1327.1829834</v>
      </c>
      <c r="K900">
        <v>1650</v>
      </c>
      <c r="L900">
        <v>0</v>
      </c>
      <c r="M900">
        <v>0</v>
      </c>
      <c r="N900">
        <v>1650</v>
      </c>
    </row>
    <row r="901" spans="1:14" x14ac:dyDescent="0.25">
      <c r="A901">
        <v>368.16246000000001</v>
      </c>
      <c r="B901" s="1">
        <f>DATE(2011,5,4) + TIME(3,53,56)</f>
        <v>40667.162453703706</v>
      </c>
      <c r="C901">
        <v>80</v>
      </c>
      <c r="D901">
        <v>79.877487183</v>
      </c>
      <c r="E901">
        <v>50</v>
      </c>
      <c r="F901">
        <v>49.605434418000002</v>
      </c>
      <c r="G901">
        <v>1338.1494141000001</v>
      </c>
      <c r="H901">
        <v>1335.8205565999999</v>
      </c>
      <c r="I901">
        <v>1328.2506103999999</v>
      </c>
      <c r="J901">
        <v>1327.1817627</v>
      </c>
      <c r="K901">
        <v>1650</v>
      </c>
      <c r="L901">
        <v>0</v>
      </c>
      <c r="M901">
        <v>0</v>
      </c>
      <c r="N901">
        <v>1650</v>
      </c>
    </row>
    <row r="902" spans="1:14" x14ac:dyDescent="0.25">
      <c r="A902">
        <v>368.26719500000002</v>
      </c>
      <c r="B902" s="1">
        <f>DATE(2011,5,4) + TIME(6,24,45)</f>
        <v>40667.267187500001</v>
      </c>
      <c r="C902">
        <v>80</v>
      </c>
      <c r="D902">
        <v>79.892158507999994</v>
      </c>
      <c r="E902">
        <v>50</v>
      </c>
      <c r="F902">
        <v>49.595703125</v>
      </c>
      <c r="G902">
        <v>1338.1583252</v>
      </c>
      <c r="H902">
        <v>1335.8275146000001</v>
      </c>
      <c r="I902">
        <v>1328.2497559000001</v>
      </c>
      <c r="J902">
        <v>1327.1804199000001</v>
      </c>
      <c r="K902">
        <v>1650</v>
      </c>
      <c r="L902">
        <v>0</v>
      </c>
      <c r="M902">
        <v>0</v>
      </c>
      <c r="N902">
        <v>1650</v>
      </c>
    </row>
    <row r="903" spans="1:14" x14ac:dyDescent="0.25">
      <c r="A903">
        <v>368.37453299999999</v>
      </c>
      <c r="B903" s="1">
        <f>DATE(2011,5,4) + TIME(8,59,19)</f>
        <v>40667.374525462961</v>
      </c>
      <c r="C903">
        <v>80</v>
      </c>
      <c r="D903">
        <v>79.904403686999999</v>
      </c>
      <c r="E903">
        <v>50</v>
      </c>
      <c r="F903">
        <v>49.585796356000003</v>
      </c>
      <c r="G903">
        <v>1338.1662598</v>
      </c>
      <c r="H903">
        <v>1335.8337402</v>
      </c>
      <c r="I903">
        <v>1328.2487793</v>
      </c>
      <c r="J903">
        <v>1327.1790771000001</v>
      </c>
      <c r="K903">
        <v>1650</v>
      </c>
      <c r="L903">
        <v>0</v>
      </c>
      <c r="M903">
        <v>0</v>
      </c>
      <c r="N903">
        <v>1650</v>
      </c>
    </row>
    <row r="904" spans="1:14" x14ac:dyDescent="0.25">
      <c r="A904">
        <v>368.48477100000002</v>
      </c>
      <c r="B904" s="1">
        <f>DATE(2011,5,4) + TIME(11,38,4)</f>
        <v>40667.484768518516</v>
      </c>
      <c r="C904">
        <v>80</v>
      </c>
      <c r="D904">
        <v>79.914596558</v>
      </c>
      <c r="E904">
        <v>50</v>
      </c>
      <c r="F904">
        <v>49.575691223</v>
      </c>
      <c r="G904">
        <v>1338.1732178</v>
      </c>
      <c r="H904">
        <v>1335.8394774999999</v>
      </c>
      <c r="I904">
        <v>1328.2478027</v>
      </c>
      <c r="J904">
        <v>1327.1776123</v>
      </c>
      <c r="K904">
        <v>1650</v>
      </c>
      <c r="L904">
        <v>0</v>
      </c>
      <c r="M904">
        <v>0</v>
      </c>
      <c r="N904">
        <v>1650</v>
      </c>
    </row>
    <row r="905" spans="1:14" x14ac:dyDescent="0.25">
      <c r="A905">
        <v>368.59831700000001</v>
      </c>
      <c r="B905" s="1">
        <f>DATE(2011,5,4) + TIME(14,21,34)</f>
        <v>40667.598310185182</v>
      </c>
      <c r="C905">
        <v>80</v>
      </c>
      <c r="D905">
        <v>79.923072814999998</v>
      </c>
      <c r="E905">
        <v>50</v>
      </c>
      <c r="F905">
        <v>49.565357208000002</v>
      </c>
      <c r="G905">
        <v>1338.1793213000001</v>
      </c>
      <c r="H905">
        <v>1335.8447266000001</v>
      </c>
      <c r="I905">
        <v>1328.2468262</v>
      </c>
      <c r="J905">
        <v>1327.1761475000001</v>
      </c>
      <c r="K905">
        <v>1650</v>
      </c>
      <c r="L905">
        <v>0</v>
      </c>
      <c r="M905">
        <v>0</v>
      </c>
      <c r="N905">
        <v>1650</v>
      </c>
    </row>
    <row r="906" spans="1:14" x14ac:dyDescent="0.25">
      <c r="A906">
        <v>368.71571799999998</v>
      </c>
      <c r="B906" s="1">
        <f>DATE(2011,5,4) + TIME(17,10,38)</f>
        <v>40667.715717592589</v>
      </c>
      <c r="C906">
        <v>80</v>
      </c>
      <c r="D906">
        <v>79.930107117000006</v>
      </c>
      <c r="E906">
        <v>50</v>
      </c>
      <c r="F906">
        <v>49.554752350000001</v>
      </c>
      <c r="G906">
        <v>1338.1845702999999</v>
      </c>
      <c r="H906">
        <v>1335.8493652</v>
      </c>
      <c r="I906">
        <v>1328.2457274999999</v>
      </c>
      <c r="J906">
        <v>1327.1746826000001</v>
      </c>
      <c r="K906">
        <v>1650</v>
      </c>
      <c r="L906">
        <v>0</v>
      </c>
      <c r="M906">
        <v>0</v>
      </c>
      <c r="N906">
        <v>1650</v>
      </c>
    </row>
    <row r="907" spans="1:14" x14ac:dyDescent="0.25">
      <c r="A907">
        <v>368.83742799999999</v>
      </c>
      <c r="B907" s="1">
        <f>DATE(2011,5,4) + TIME(20,5,53)</f>
        <v>40667.837418981479</v>
      </c>
      <c r="C907">
        <v>80</v>
      </c>
      <c r="D907">
        <v>79.935928344999994</v>
      </c>
      <c r="E907">
        <v>50</v>
      </c>
      <c r="F907">
        <v>49.543838501000003</v>
      </c>
      <c r="G907">
        <v>1338.1890868999999</v>
      </c>
      <c r="H907">
        <v>1335.8536377</v>
      </c>
      <c r="I907">
        <v>1328.2446289</v>
      </c>
      <c r="J907">
        <v>1327.1730957</v>
      </c>
      <c r="K907">
        <v>1650</v>
      </c>
      <c r="L907">
        <v>0</v>
      </c>
      <c r="M907">
        <v>0</v>
      </c>
      <c r="N907">
        <v>1650</v>
      </c>
    </row>
    <row r="908" spans="1:14" x14ac:dyDescent="0.25">
      <c r="A908">
        <v>368.96399000000002</v>
      </c>
      <c r="B908" s="1">
        <f>DATE(2011,5,4) + TIME(23,8,8)</f>
        <v>40667.96398148148</v>
      </c>
      <c r="C908">
        <v>80</v>
      </c>
      <c r="D908">
        <v>79.940719603999995</v>
      </c>
      <c r="E908">
        <v>50</v>
      </c>
      <c r="F908">
        <v>49.532577515</v>
      </c>
      <c r="G908">
        <v>1338.1928711</v>
      </c>
      <c r="H908">
        <v>1335.8574219</v>
      </c>
      <c r="I908">
        <v>1328.2435303</v>
      </c>
      <c r="J908">
        <v>1327.1715088000001</v>
      </c>
      <c r="K908">
        <v>1650</v>
      </c>
      <c r="L908">
        <v>0</v>
      </c>
      <c r="M908">
        <v>0</v>
      </c>
      <c r="N908">
        <v>1650</v>
      </c>
    </row>
    <row r="909" spans="1:14" x14ac:dyDescent="0.25">
      <c r="A909">
        <v>369.09409399999998</v>
      </c>
      <c r="B909" s="1">
        <f>DATE(2011,5,5) + TIME(2,15,29)</f>
        <v>40668.094085648147</v>
      </c>
      <c r="C909">
        <v>80</v>
      </c>
      <c r="D909">
        <v>79.944610596000004</v>
      </c>
      <c r="E909">
        <v>50</v>
      </c>
      <c r="F909">
        <v>49.521080017000003</v>
      </c>
      <c r="G909">
        <v>1338.1939697</v>
      </c>
      <c r="H909">
        <v>1335.859375</v>
      </c>
      <c r="I909">
        <v>1328.2423096</v>
      </c>
      <c r="J909">
        <v>1327.1697998</v>
      </c>
      <c r="K909">
        <v>1650</v>
      </c>
      <c r="L909">
        <v>0</v>
      </c>
      <c r="M909">
        <v>0</v>
      </c>
      <c r="N909">
        <v>1650</v>
      </c>
    </row>
    <row r="910" spans="1:14" x14ac:dyDescent="0.25">
      <c r="A910">
        <v>369.22752800000001</v>
      </c>
      <c r="B910" s="1">
        <f>DATE(2011,5,5) + TIME(5,27,38)</f>
        <v>40668.227523148147</v>
      </c>
      <c r="C910">
        <v>80</v>
      </c>
      <c r="D910">
        <v>79.947746276999993</v>
      </c>
      <c r="E910">
        <v>50</v>
      </c>
      <c r="F910">
        <v>49.509365082000002</v>
      </c>
      <c r="G910">
        <v>1338.1934814000001</v>
      </c>
      <c r="H910">
        <v>1335.8604736</v>
      </c>
      <c r="I910">
        <v>1328.2409668</v>
      </c>
      <c r="J910">
        <v>1327.1679687999999</v>
      </c>
      <c r="K910">
        <v>1650</v>
      </c>
      <c r="L910">
        <v>0</v>
      </c>
      <c r="M910">
        <v>0</v>
      </c>
      <c r="N910">
        <v>1650</v>
      </c>
    </row>
    <row r="911" spans="1:14" x14ac:dyDescent="0.25">
      <c r="A911">
        <v>369.36363999999998</v>
      </c>
      <c r="B911" s="1">
        <f>DATE(2011,5,5) + TIME(8,43,38)</f>
        <v>40668.363634259258</v>
      </c>
      <c r="C911">
        <v>80</v>
      </c>
      <c r="D911">
        <v>79.950256347999996</v>
      </c>
      <c r="E911">
        <v>50</v>
      </c>
      <c r="F911">
        <v>49.497489928999997</v>
      </c>
      <c r="G911">
        <v>1338.1925048999999</v>
      </c>
      <c r="H911">
        <v>1335.8613281</v>
      </c>
      <c r="I911">
        <v>1328.2397461</v>
      </c>
      <c r="J911">
        <v>1327.1661377</v>
      </c>
      <c r="K911">
        <v>1650</v>
      </c>
      <c r="L911">
        <v>0</v>
      </c>
      <c r="M911">
        <v>0</v>
      </c>
      <c r="N911">
        <v>1650</v>
      </c>
    </row>
    <row r="912" spans="1:14" x14ac:dyDescent="0.25">
      <c r="A912">
        <v>369.50273199999998</v>
      </c>
      <c r="B912" s="1">
        <f>DATE(2011,5,5) + TIME(12,3,56)</f>
        <v>40668.50273148148</v>
      </c>
      <c r="C912">
        <v>80</v>
      </c>
      <c r="D912">
        <v>79.952262877999999</v>
      </c>
      <c r="E912">
        <v>50</v>
      </c>
      <c r="F912">
        <v>49.485424041999998</v>
      </c>
      <c r="G912">
        <v>1338.1910399999999</v>
      </c>
      <c r="H912">
        <v>1335.8618164</v>
      </c>
      <c r="I912">
        <v>1328.2382812000001</v>
      </c>
      <c r="J912">
        <v>1327.1641846</v>
      </c>
      <c r="K912">
        <v>1650</v>
      </c>
      <c r="L912">
        <v>0</v>
      </c>
      <c r="M912">
        <v>0</v>
      </c>
      <c r="N912">
        <v>1650</v>
      </c>
    </row>
    <row r="913" spans="1:14" x14ac:dyDescent="0.25">
      <c r="A913">
        <v>369.645014</v>
      </c>
      <c r="B913" s="1">
        <f>DATE(2011,5,5) + TIME(15,28,49)</f>
        <v>40668.645011574074</v>
      </c>
      <c r="C913">
        <v>80</v>
      </c>
      <c r="D913">
        <v>79.953865050999994</v>
      </c>
      <c r="E913">
        <v>50</v>
      </c>
      <c r="F913">
        <v>49.473159789999997</v>
      </c>
      <c r="G913">
        <v>1338.1892089999999</v>
      </c>
      <c r="H913">
        <v>1335.8620605000001</v>
      </c>
      <c r="I913">
        <v>1328.2369385</v>
      </c>
      <c r="J913">
        <v>1327.1622314000001</v>
      </c>
      <c r="K913">
        <v>1650</v>
      </c>
      <c r="L913">
        <v>0</v>
      </c>
      <c r="M913">
        <v>0</v>
      </c>
      <c r="N913">
        <v>1650</v>
      </c>
    </row>
    <row r="914" spans="1:14" x14ac:dyDescent="0.25">
      <c r="A914">
        <v>369.79077100000001</v>
      </c>
      <c r="B914" s="1">
        <f>DATE(2011,5,5) + TIME(18,58,42)</f>
        <v>40668.790763888886</v>
      </c>
      <c r="C914">
        <v>80</v>
      </c>
      <c r="D914">
        <v>79.955139160000002</v>
      </c>
      <c r="E914">
        <v>50</v>
      </c>
      <c r="F914">
        <v>49.460674286</v>
      </c>
      <c r="G914">
        <v>1338.1868896000001</v>
      </c>
      <c r="H914">
        <v>1335.8620605000001</v>
      </c>
      <c r="I914">
        <v>1328.2354736</v>
      </c>
      <c r="J914">
        <v>1327.1602783000001</v>
      </c>
      <c r="K914">
        <v>1650</v>
      </c>
      <c r="L914">
        <v>0</v>
      </c>
      <c r="M914">
        <v>0</v>
      </c>
      <c r="N914">
        <v>1650</v>
      </c>
    </row>
    <row r="915" spans="1:14" x14ac:dyDescent="0.25">
      <c r="A915">
        <v>369.94031799999999</v>
      </c>
      <c r="B915" s="1">
        <f>DATE(2011,5,5) + TIME(22,34,3)</f>
        <v>40668.940312500003</v>
      </c>
      <c r="C915">
        <v>80</v>
      </c>
      <c r="D915">
        <v>79.956153869999994</v>
      </c>
      <c r="E915">
        <v>50</v>
      </c>
      <c r="F915">
        <v>49.447944640999999</v>
      </c>
      <c r="G915">
        <v>1338.184082</v>
      </c>
      <c r="H915">
        <v>1335.8618164</v>
      </c>
      <c r="I915">
        <v>1328.2340088000001</v>
      </c>
      <c r="J915">
        <v>1327.1582031</v>
      </c>
      <c r="K915">
        <v>1650</v>
      </c>
      <c r="L915">
        <v>0</v>
      </c>
      <c r="M915">
        <v>0</v>
      </c>
      <c r="N915">
        <v>1650</v>
      </c>
    </row>
    <row r="916" spans="1:14" x14ac:dyDescent="0.25">
      <c r="A916">
        <v>370.09399999999999</v>
      </c>
      <c r="B916" s="1">
        <f>DATE(2011,5,6) + TIME(2,15,21)</f>
        <v>40669.093993055554</v>
      </c>
      <c r="C916">
        <v>80</v>
      </c>
      <c r="D916">
        <v>79.956962584999999</v>
      </c>
      <c r="E916">
        <v>50</v>
      </c>
      <c r="F916">
        <v>49.434947968000003</v>
      </c>
      <c r="G916">
        <v>1338.1810303</v>
      </c>
      <c r="H916">
        <v>1335.8614502</v>
      </c>
      <c r="I916">
        <v>1328.2324219</v>
      </c>
      <c r="J916">
        <v>1327.1560059000001</v>
      </c>
      <c r="K916">
        <v>1650</v>
      </c>
      <c r="L916">
        <v>0</v>
      </c>
      <c r="M916">
        <v>0</v>
      </c>
      <c r="N916">
        <v>1650</v>
      </c>
    </row>
    <row r="917" spans="1:14" x14ac:dyDescent="0.25">
      <c r="A917">
        <v>370.25219499999997</v>
      </c>
      <c r="B917" s="1">
        <f>DATE(2011,5,6) + TIME(6,3,9)</f>
        <v>40669.252187500002</v>
      </c>
      <c r="C917">
        <v>80</v>
      </c>
      <c r="D917">
        <v>79.957611084000007</v>
      </c>
      <c r="E917">
        <v>50</v>
      </c>
      <c r="F917">
        <v>49.421657562</v>
      </c>
      <c r="G917">
        <v>1338.1776123</v>
      </c>
      <c r="H917">
        <v>1335.8608397999999</v>
      </c>
      <c r="I917">
        <v>1328.2308350000001</v>
      </c>
      <c r="J917">
        <v>1327.1538086</v>
      </c>
      <c r="K917">
        <v>1650</v>
      </c>
      <c r="L917">
        <v>0</v>
      </c>
      <c r="M917">
        <v>0</v>
      </c>
      <c r="N917">
        <v>1650</v>
      </c>
    </row>
    <row r="918" spans="1:14" x14ac:dyDescent="0.25">
      <c r="A918">
        <v>370.41532899999999</v>
      </c>
      <c r="B918" s="1">
        <f>DATE(2011,5,6) + TIME(9,58,4)</f>
        <v>40669.415324074071</v>
      </c>
      <c r="C918">
        <v>80</v>
      </c>
      <c r="D918">
        <v>79.958114624000004</v>
      </c>
      <c r="E918">
        <v>50</v>
      </c>
      <c r="F918">
        <v>49.408039092999999</v>
      </c>
      <c r="G918">
        <v>1338.1738281</v>
      </c>
      <c r="H918">
        <v>1335.8601074000001</v>
      </c>
      <c r="I918">
        <v>1328.229126</v>
      </c>
      <c r="J918">
        <v>1327.1514893000001</v>
      </c>
      <c r="K918">
        <v>1650</v>
      </c>
      <c r="L918">
        <v>0</v>
      </c>
      <c r="M918">
        <v>0</v>
      </c>
      <c r="N918">
        <v>1650</v>
      </c>
    </row>
    <row r="919" spans="1:14" x14ac:dyDescent="0.25">
      <c r="A919">
        <v>370.58387099999999</v>
      </c>
      <c r="B919" s="1">
        <f>DATE(2011,5,6) + TIME(14,0,46)</f>
        <v>40669.583865740744</v>
      </c>
      <c r="C919">
        <v>80</v>
      </c>
      <c r="D919">
        <v>79.958518982000001</v>
      </c>
      <c r="E919">
        <v>50</v>
      </c>
      <c r="F919">
        <v>49.394069672000001</v>
      </c>
      <c r="G919">
        <v>1338.1696777</v>
      </c>
      <c r="H919">
        <v>1335.8591309000001</v>
      </c>
      <c r="I919">
        <v>1328.2274170000001</v>
      </c>
      <c r="J919">
        <v>1327.1490478999999</v>
      </c>
      <c r="K919">
        <v>1650</v>
      </c>
      <c r="L919">
        <v>0</v>
      </c>
      <c r="M919">
        <v>0</v>
      </c>
      <c r="N919">
        <v>1650</v>
      </c>
    </row>
    <row r="920" spans="1:14" x14ac:dyDescent="0.25">
      <c r="A920">
        <v>370.75834900000001</v>
      </c>
      <c r="B920" s="1">
        <f>DATE(2011,5,6) + TIME(18,12,1)</f>
        <v>40669.758344907408</v>
      </c>
      <c r="C920">
        <v>80</v>
      </c>
      <c r="D920">
        <v>79.958831786999994</v>
      </c>
      <c r="E920">
        <v>50</v>
      </c>
      <c r="F920">
        <v>49.379707336000003</v>
      </c>
      <c r="G920">
        <v>1338.1651611</v>
      </c>
      <c r="H920">
        <v>1335.8580322</v>
      </c>
      <c r="I920">
        <v>1328.2255858999999</v>
      </c>
      <c r="J920">
        <v>1327.1464844</v>
      </c>
      <c r="K920">
        <v>1650</v>
      </c>
      <c r="L920">
        <v>0</v>
      </c>
      <c r="M920">
        <v>0</v>
      </c>
      <c r="N920">
        <v>1650</v>
      </c>
    </row>
    <row r="921" spans="1:14" x14ac:dyDescent="0.25">
      <c r="A921">
        <v>370.93447099999997</v>
      </c>
      <c r="B921" s="1">
        <f>DATE(2011,5,6) + TIME(22,25,38)</f>
        <v>40669.934467592589</v>
      </c>
      <c r="C921">
        <v>80</v>
      </c>
      <c r="D921">
        <v>79.959075928000004</v>
      </c>
      <c r="E921">
        <v>50</v>
      </c>
      <c r="F921">
        <v>49.365272521999998</v>
      </c>
      <c r="G921">
        <v>1338.1604004000001</v>
      </c>
      <c r="H921">
        <v>1335.8568115</v>
      </c>
      <c r="I921">
        <v>1328.2237548999999</v>
      </c>
      <c r="J921">
        <v>1327.1439209</v>
      </c>
      <c r="K921">
        <v>1650</v>
      </c>
      <c r="L921">
        <v>0</v>
      </c>
      <c r="M921">
        <v>0</v>
      </c>
      <c r="N921">
        <v>1650</v>
      </c>
    </row>
    <row r="922" spans="1:14" x14ac:dyDescent="0.25">
      <c r="A922">
        <v>371.112369</v>
      </c>
      <c r="B922" s="1">
        <f>DATE(2011,5,7) + TIME(2,41,48)</f>
        <v>40670.112361111111</v>
      </c>
      <c r="C922">
        <v>80</v>
      </c>
      <c r="D922">
        <v>79.959251404</v>
      </c>
      <c r="E922">
        <v>50</v>
      </c>
      <c r="F922">
        <v>49.350757598999998</v>
      </c>
      <c r="G922">
        <v>1338.1553954999999</v>
      </c>
      <c r="H922">
        <v>1335.8553466999999</v>
      </c>
      <c r="I922">
        <v>1328.2218018000001</v>
      </c>
      <c r="J922">
        <v>1327.1412353999999</v>
      </c>
      <c r="K922">
        <v>1650</v>
      </c>
      <c r="L922">
        <v>0</v>
      </c>
      <c r="M922">
        <v>0</v>
      </c>
      <c r="N922">
        <v>1650</v>
      </c>
    </row>
    <row r="923" spans="1:14" x14ac:dyDescent="0.25">
      <c r="A923">
        <v>371.292417</v>
      </c>
      <c r="B923" s="1">
        <f>DATE(2011,5,7) + TIME(7,1,4)</f>
        <v>40670.292407407411</v>
      </c>
      <c r="C923">
        <v>80</v>
      </c>
      <c r="D923">
        <v>79.959388732999997</v>
      </c>
      <c r="E923">
        <v>50</v>
      </c>
      <c r="F923">
        <v>49.336135863999999</v>
      </c>
      <c r="G923">
        <v>1338.1501464999999</v>
      </c>
      <c r="H923">
        <v>1335.8537598</v>
      </c>
      <c r="I923">
        <v>1328.2198486</v>
      </c>
      <c r="J923">
        <v>1327.1385498</v>
      </c>
      <c r="K923">
        <v>1650</v>
      </c>
      <c r="L923">
        <v>0</v>
      </c>
      <c r="M923">
        <v>0</v>
      </c>
      <c r="N923">
        <v>1650</v>
      </c>
    </row>
    <row r="924" spans="1:14" x14ac:dyDescent="0.25">
      <c r="A924">
        <v>371.47505699999999</v>
      </c>
      <c r="B924" s="1">
        <f>DATE(2011,5,7) + TIME(11,24,4)</f>
        <v>40670.475046296298</v>
      </c>
      <c r="C924">
        <v>80</v>
      </c>
      <c r="D924">
        <v>79.959487914999997</v>
      </c>
      <c r="E924">
        <v>50</v>
      </c>
      <c r="F924">
        <v>49.321376801</v>
      </c>
      <c r="G924">
        <v>1338.1448975000001</v>
      </c>
      <c r="H924">
        <v>1335.8521728999999</v>
      </c>
      <c r="I924">
        <v>1328.2177733999999</v>
      </c>
      <c r="J924">
        <v>1327.1357422000001</v>
      </c>
      <c r="K924">
        <v>1650</v>
      </c>
      <c r="L924">
        <v>0</v>
      </c>
      <c r="M924">
        <v>0</v>
      </c>
      <c r="N924">
        <v>1650</v>
      </c>
    </row>
    <row r="925" spans="1:14" x14ac:dyDescent="0.25">
      <c r="A925">
        <v>371.66074200000003</v>
      </c>
      <c r="B925" s="1">
        <f>DATE(2011,5,7) + TIME(15,51,28)</f>
        <v>40670.660740740743</v>
      </c>
      <c r="C925">
        <v>80</v>
      </c>
      <c r="D925">
        <v>79.959556579999997</v>
      </c>
      <c r="E925">
        <v>50</v>
      </c>
      <c r="F925">
        <v>49.306453705000003</v>
      </c>
      <c r="G925">
        <v>1338.1394043</v>
      </c>
      <c r="H925">
        <v>1335.8505858999999</v>
      </c>
      <c r="I925">
        <v>1328.2158202999999</v>
      </c>
      <c r="J925">
        <v>1327.1329346</v>
      </c>
      <c r="K925">
        <v>1650</v>
      </c>
      <c r="L925">
        <v>0</v>
      </c>
      <c r="M925">
        <v>0</v>
      </c>
      <c r="N925">
        <v>1650</v>
      </c>
    </row>
    <row r="926" spans="1:14" x14ac:dyDescent="0.25">
      <c r="A926">
        <v>371.84994499999999</v>
      </c>
      <c r="B926" s="1">
        <f>DATE(2011,5,7) + TIME(20,23,55)</f>
        <v>40670.849942129629</v>
      </c>
      <c r="C926">
        <v>80</v>
      </c>
      <c r="D926">
        <v>79.959602356000005</v>
      </c>
      <c r="E926">
        <v>50</v>
      </c>
      <c r="F926">
        <v>49.29132843</v>
      </c>
      <c r="G926">
        <v>1338.1337891000001</v>
      </c>
      <c r="H926">
        <v>1335.8487548999999</v>
      </c>
      <c r="I926">
        <v>1328.2136230000001</v>
      </c>
      <c r="J926">
        <v>1327.1300048999999</v>
      </c>
      <c r="K926">
        <v>1650</v>
      </c>
      <c r="L926">
        <v>0</v>
      </c>
      <c r="M926">
        <v>0</v>
      </c>
      <c r="N926">
        <v>1650</v>
      </c>
    </row>
    <row r="927" spans="1:14" x14ac:dyDescent="0.25">
      <c r="A927">
        <v>372.04316999999998</v>
      </c>
      <c r="B927" s="1">
        <f>DATE(2011,5,8) + TIME(1,2,9)</f>
        <v>40671.04315972222</v>
      </c>
      <c r="C927">
        <v>80</v>
      </c>
      <c r="D927">
        <v>79.959632873999993</v>
      </c>
      <c r="E927">
        <v>50</v>
      </c>
      <c r="F927">
        <v>49.275974273999999</v>
      </c>
      <c r="G927">
        <v>1338.1279297000001</v>
      </c>
      <c r="H927">
        <v>1335.8470459</v>
      </c>
      <c r="I927">
        <v>1328.2115478999999</v>
      </c>
      <c r="J927">
        <v>1327.1269531</v>
      </c>
      <c r="K927">
        <v>1650</v>
      </c>
      <c r="L927">
        <v>0</v>
      </c>
      <c r="M927">
        <v>0</v>
      </c>
      <c r="N927">
        <v>1650</v>
      </c>
    </row>
    <row r="928" spans="1:14" x14ac:dyDescent="0.25">
      <c r="A928">
        <v>372.24095699999998</v>
      </c>
      <c r="B928" s="1">
        <f>DATE(2011,5,8) + TIME(5,46,58)</f>
        <v>40671.240949074076</v>
      </c>
      <c r="C928">
        <v>80</v>
      </c>
      <c r="D928">
        <v>79.959640503000003</v>
      </c>
      <c r="E928">
        <v>50</v>
      </c>
      <c r="F928">
        <v>49.260353088000002</v>
      </c>
      <c r="G928">
        <v>1338.1220702999999</v>
      </c>
      <c r="H928">
        <v>1335.8452147999999</v>
      </c>
      <c r="I928">
        <v>1328.2093506000001</v>
      </c>
      <c r="J928">
        <v>1327.1239014</v>
      </c>
      <c r="K928">
        <v>1650</v>
      </c>
      <c r="L928">
        <v>0</v>
      </c>
      <c r="M928">
        <v>0</v>
      </c>
      <c r="N928">
        <v>1650</v>
      </c>
    </row>
    <row r="929" spans="1:14" x14ac:dyDescent="0.25">
      <c r="A929">
        <v>372.443893</v>
      </c>
      <c r="B929" s="1">
        <f>DATE(2011,5,8) + TIME(10,39,12)</f>
        <v>40671.443888888891</v>
      </c>
      <c r="C929">
        <v>80</v>
      </c>
      <c r="D929">
        <v>79.959640503000003</v>
      </c>
      <c r="E929">
        <v>50</v>
      </c>
      <c r="F929">
        <v>49.244422913000001</v>
      </c>
      <c r="G929">
        <v>1338.1160889</v>
      </c>
      <c r="H929">
        <v>1335.8432617000001</v>
      </c>
      <c r="I929">
        <v>1328.2070312000001</v>
      </c>
      <c r="J929">
        <v>1327.1207274999999</v>
      </c>
      <c r="K929">
        <v>1650</v>
      </c>
      <c r="L929">
        <v>0</v>
      </c>
      <c r="M929">
        <v>0</v>
      </c>
      <c r="N929">
        <v>1650</v>
      </c>
    </row>
    <row r="930" spans="1:14" x14ac:dyDescent="0.25">
      <c r="A930">
        <v>372.65198800000002</v>
      </c>
      <c r="B930" s="1">
        <f>DATE(2011,5,8) + TIME(15,38,51)</f>
        <v>40671.651979166665</v>
      </c>
      <c r="C930">
        <v>80</v>
      </c>
      <c r="D930">
        <v>79.959625243999994</v>
      </c>
      <c r="E930">
        <v>50</v>
      </c>
      <c r="F930">
        <v>49.228191375999998</v>
      </c>
      <c r="G930">
        <v>1338.1098632999999</v>
      </c>
      <c r="H930">
        <v>1335.8413086</v>
      </c>
      <c r="I930">
        <v>1328.2047118999999</v>
      </c>
      <c r="J930">
        <v>1327.1174315999999</v>
      </c>
      <c r="K930">
        <v>1650</v>
      </c>
      <c r="L930">
        <v>0</v>
      </c>
      <c r="M930">
        <v>0</v>
      </c>
      <c r="N930">
        <v>1650</v>
      </c>
    </row>
    <row r="931" spans="1:14" x14ac:dyDescent="0.25">
      <c r="A931">
        <v>372.864396</v>
      </c>
      <c r="B931" s="1">
        <f>DATE(2011,5,8) + TIME(20,44,43)</f>
        <v>40671.864386574074</v>
      </c>
      <c r="C931">
        <v>80</v>
      </c>
      <c r="D931">
        <v>79.959602356000005</v>
      </c>
      <c r="E931">
        <v>50</v>
      </c>
      <c r="F931">
        <v>49.211719512999998</v>
      </c>
      <c r="G931">
        <v>1338.1036377</v>
      </c>
      <c r="H931">
        <v>1335.8392334</v>
      </c>
      <c r="I931">
        <v>1328.2022704999999</v>
      </c>
      <c r="J931">
        <v>1327.1140137</v>
      </c>
      <c r="K931">
        <v>1650</v>
      </c>
      <c r="L931">
        <v>0</v>
      </c>
      <c r="M931">
        <v>0</v>
      </c>
      <c r="N931">
        <v>1650</v>
      </c>
    </row>
    <row r="932" spans="1:14" x14ac:dyDescent="0.25">
      <c r="A932">
        <v>373.081704</v>
      </c>
      <c r="B932" s="1">
        <f>DATE(2011,5,9) + TIME(1,57,39)</f>
        <v>40672.081701388888</v>
      </c>
      <c r="C932">
        <v>80</v>
      </c>
      <c r="D932">
        <v>79.959571838000002</v>
      </c>
      <c r="E932">
        <v>50</v>
      </c>
      <c r="F932">
        <v>49.194965363000001</v>
      </c>
      <c r="G932">
        <v>1338.097168</v>
      </c>
      <c r="H932">
        <v>1335.8372803</v>
      </c>
      <c r="I932">
        <v>1328.199707</v>
      </c>
      <c r="J932">
        <v>1327.1105957</v>
      </c>
      <c r="K932">
        <v>1650</v>
      </c>
      <c r="L932">
        <v>0</v>
      </c>
      <c r="M932">
        <v>0</v>
      </c>
      <c r="N932">
        <v>1650</v>
      </c>
    </row>
    <row r="933" spans="1:14" x14ac:dyDescent="0.25">
      <c r="A933">
        <v>373.30451399999998</v>
      </c>
      <c r="B933" s="1">
        <f>DATE(2011,5,9) + TIME(7,18,29)</f>
        <v>40672.304502314815</v>
      </c>
      <c r="C933">
        <v>80</v>
      </c>
      <c r="D933">
        <v>79.959533691000004</v>
      </c>
      <c r="E933">
        <v>50</v>
      </c>
      <c r="F933">
        <v>49.177898407000001</v>
      </c>
      <c r="G933">
        <v>1338.0906981999999</v>
      </c>
      <c r="H933">
        <v>1335.8352050999999</v>
      </c>
      <c r="I933">
        <v>1328.1971435999999</v>
      </c>
      <c r="J933">
        <v>1327.1069336</v>
      </c>
      <c r="K933">
        <v>1650</v>
      </c>
      <c r="L933">
        <v>0</v>
      </c>
      <c r="M933">
        <v>0</v>
      </c>
      <c r="N933">
        <v>1650</v>
      </c>
    </row>
    <row r="934" spans="1:14" x14ac:dyDescent="0.25">
      <c r="A934">
        <v>373.53348299999999</v>
      </c>
      <c r="B934" s="1">
        <f>DATE(2011,5,9) + TIME(12,48,12)</f>
        <v>40672.533472222225</v>
      </c>
      <c r="C934">
        <v>80</v>
      </c>
      <c r="D934">
        <v>79.959495544000006</v>
      </c>
      <c r="E934">
        <v>50</v>
      </c>
      <c r="F934">
        <v>49.16047287</v>
      </c>
      <c r="G934">
        <v>1338.0841064000001</v>
      </c>
      <c r="H934">
        <v>1335.8330077999999</v>
      </c>
      <c r="I934">
        <v>1328.1945800999999</v>
      </c>
      <c r="J934">
        <v>1327.1032714999999</v>
      </c>
      <c r="K934">
        <v>1650</v>
      </c>
      <c r="L934">
        <v>0</v>
      </c>
      <c r="M934">
        <v>0</v>
      </c>
      <c r="N934">
        <v>1650</v>
      </c>
    </row>
    <row r="935" spans="1:14" x14ac:dyDescent="0.25">
      <c r="A935">
        <v>373.76884799999999</v>
      </c>
      <c r="B935" s="1">
        <f>DATE(2011,5,9) + TIME(18,27,8)</f>
        <v>40672.768842592595</v>
      </c>
      <c r="C935">
        <v>80</v>
      </c>
      <c r="D935">
        <v>79.959442139000004</v>
      </c>
      <c r="E935">
        <v>50</v>
      </c>
      <c r="F935">
        <v>49.142677307</v>
      </c>
      <c r="G935">
        <v>1338.0775146000001</v>
      </c>
      <c r="H935">
        <v>1335.8309326000001</v>
      </c>
      <c r="I935">
        <v>1328.1917725000001</v>
      </c>
      <c r="J935">
        <v>1327.0994873</v>
      </c>
      <c r="K935">
        <v>1650</v>
      </c>
      <c r="L935">
        <v>0</v>
      </c>
      <c r="M935">
        <v>0</v>
      </c>
      <c r="N935">
        <v>1650</v>
      </c>
    </row>
    <row r="936" spans="1:14" x14ac:dyDescent="0.25">
      <c r="A936">
        <v>374.00626899999997</v>
      </c>
      <c r="B936" s="1">
        <f>DATE(2011,5,10) + TIME(0,9,1)</f>
        <v>40673.006261574075</v>
      </c>
      <c r="C936">
        <v>80</v>
      </c>
      <c r="D936">
        <v>79.959388732999997</v>
      </c>
      <c r="E936">
        <v>50</v>
      </c>
      <c r="F936">
        <v>49.124801636000001</v>
      </c>
      <c r="G936">
        <v>1338.0706786999999</v>
      </c>
      <c r="H936">
        <v>1335.8287353999999</v>
      </c>
      <c r="I936">
        <v>1328.1889647999999</v>
      </c>
      <c r="J936">
        <v>1327.0954589999999</v>
      </c>
      <c r="K936">
        <v>1650</v>
      </c>
      <c r="L936">
        <v>0</v>
      </c>
      <c r="M936">
        <v>0</v>
      </c>
      <c r="N936">
        <v>1650</v>
      </c>
    </row>
    <row r="937" spans="1:14" x14ac:dyDescent="0.25">
      <c r="A937">
        <v>374.24623100000002</v>
      </c>
      <c r="B937" s="1">
        <f>DATE(2011,5,10) + TIME(5,54,34)</f>
        <v>40673.24622685185</v>
      </c>
      <c r="C937">
        <v>80</v>
      </c>
      <c r="D937">
        <v>79.959335327000005</v>
      </c>
      <c r="E937">
        <v>50</v>
      </c>
      <c r="F937">
        <v>49.106811522999998</v>
      </c>
      <c r="G937">
        <v>1338.0639647999999</v>
      </c>
      <c r="H937">
        <v>1335.8266602000001</v>
      </c>
      <c r="I937">
        <v>1328.1860352000001</v>
      </c>
      <c r="J937">
        <v>1327.0915527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374.48921000000001</v>
      </c>
      <c r="B938" s="1">
        <f>DATE(2011,5,10) + TIME(11,44,27)</f>
        <v>40673.489201388889</v>
      </c>
      <c r="C938">
        <v>80</v>
      </c>
      <c r="D938">
        <v>79.959274292000003</v>
      </c>
      <c r="E938">
        <v>50</v>
      </c>
      <c r="F938">
        <v>49.088687897</v>
      </c>
      <c r="G938">
        <v>1338.057251</v>
      </c>
      <c r="H938">
        <v>1335.8244629000001</v>
      </c>
      <c r="I938">
        <v>1328.1832274999999</v>
      </c>
      <c r="J938">
        <v>1327.0874022999999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374.735769</v>
      </c>
      <c r="B939" s="1">
        <f>DATE(2011,5,10) + TIME(17,39,30)</f>
        <v>40673.735763888886</v>
      </c>
      <c r="C939">
        <v>80</v>
      </c>
      <c r="D939">
        <v>79.959213257000002</v>
      </c>
      <c r="E939">
        <v>50</v>
      </c>
      <c r="F939">
        <v>49.070396422999998</v>
      </c>
      <c r="G939">
        <v>1338.0505370999999</v>
      </c>
      <c r="H939">
        <v>1335.8223877</v>
      </c>
      <c r="I939">
        <v>1328.1801757999999</v>
      </c>
      <c r="J939">
        <v>1327.0832519999999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374.98636199999999</v>
      </c>
      <c r="B940" s="1">
        <f>DATE(2011,5,10) + TIME(23,40,21)</f>
        <v>40673.986354166664</v>
      </c>
      <c r="C940">
        <v>80</v>
      </c>
      <c r="D940">
        <v>79.959144592000001</v>
      </c>
      <c r="E940">
        <v>50</v>
      </c>
      <c r="F940">
        <v>49.051910399999997</v>
      </c>
      <c r="G940">
        <v>1338.0439452999999</v>
      </c>
      <c r="H940">
        <v>1335.8201904</v>
      </c>
      <c r="I940">
        <v>1328.177124</v>
      </c>
      <c r="J940">
        <v>1327.0789795000001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375.241512</v>
      </c>
      <c r="B941" s="1">
        <f>DATE(2011,5,11) + TIME(5,47,46)</f>
        <v>40674.24150462963</v>
      </c>
      <c r="C941">
        <v>80</v>
      </c>
      <c r="D941">
        <v>79.959075928000004</v>
      </c>
      <c r="E941">
        <v>50</v>
      </c>
      <c r="F941">
        <v>49.033199310000001</v>
      </c>
      <c r="G941">
        <v>1338.0372314000001</v>
      </c>
      <c r="H941">
        <v>1335.8181152</v>
      </c>
      <c r="I941">
        <v>1328.1740723</v>
      </c>
      <c r="J941">
        <v>1327.074707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375.50180599999999</v>
      </c>
      <c r="B942" s="1">
        <f>DATE(2011,5,11) + TIME(12,2,36)</f>
        <v>40674.501805555556</v>
      </c>
      <c r="C942">
        <v>80</v>
      </c>
      <c r="D942">
        <v>79.959007263000004</v>
      </c>
      <c r="E942">
        <v>50</v>
      </c>
      <c r="F942">
        <v>49.014232634999999</v>
      </c>
      <c r="G942">
        <v>1338.0305175999999</v>
      </c>
      <c r="H942">
        <v>1335.815918</v>
      </c>
      <c r="I942">
        <v>1328.1708983999999</v>
      </c>
      <c r="J942">
        <v>1327.0701904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375.76787200000001</v>
      </c>
      <c r="B943" s="1">
        <f>DATE(2011,5,11) + TIME(18,25,44)</f>
        <v>40674.767870370371</v>
      </c>
      <c r="C943">
        <v>80</v>
      </c>
      <c r="D943">
        <v>79.958938599000007</v>
      </c>
      <c r="E943">
        <v>50</v>
      </c>
      <c r="F943">
        <v>48.994976043999998</v>
      </c>
      <c r="G943">
        <v>1338.0239257999999</v>
      </c>
      <c r="H943">
        <v>1335.8138428</v>
      </c>
      <c r="I943">
        <v>1328.1676024999999</v>
      </c>
      <c r="J943">
        <v>1327.0656738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376.04039599999999</v>
      </c>
      <c r="B944" s="1">
        <f>DATE(2011,5,12) + TIME(0,58,10)</f>
        <v>40675.040393518517</v>
      </c>
      <c r="C944">
        <v>80</v>
      </c>
      <c r="D944">
        <v>79.958869934000006</v>
      </c>
      <c r="E944">
        <v>50</v>
      </c>
      <c r="F944">
        <v>48.975387572999999</v>
      </c>
      <c r="G944">
        <v>1338.0172118999999</v>
      </c>
      <c r="H944">
        <v>1335.8117675999999</v>
      </c>
      <c r="I944">
        <v>1328.1643065999999</v>
      </c>
      <c r="J944">
        <v>1327.0609131000001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376.320132</v>
      </c>
      <c r="B945" s="1">
        <f>DATE(2011,5,12) + TIME(7,40,59)</f>
        <v>40675.320127314815</v>
      </c>
      <c r="C945">
        <v>80</v>
      </c>
      <c r="D945">
        <v>79.958793639999996</v>
      </c>
      <c r="E945">
        <v>50</v>
      </c>
      <c r="F945">
        <v>48.955425261999999</v>
      </c>
      <c r="G945">
        <v>1338.0104980000001</v>
      </c>
      <c r="H945">
        <v>1335.8096923999999</v>
      </c>
      <c r="I945">
        <v>1328.1608887</v>
      </c>
      <c r="J945">
        <v>1327.0561522999999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376.60791599999999</v>
      </c>
      <c r="B946" s="1">
        <f>DATE(2011,5,12) + TIME(14,35,23)</f>
        <v>40675.607905092591</v>
      </c>
      <c r="C946">
        <v>80</v>
      </c>
      <c r="D946">
        <v>79.958717346</v>
      </c>
      <c r="E946">
        <v>50</v>
      </c>
      <c r="F946">
        <v>48.935043335000003</v>
      </c>
      <c r="G946">
        <v>1338.0036620999999</v>
      </c>
      <c r="H946">
        <v>1335.8076172000001</v>
      </c>
      <c r="I946">
        <v>1328.1573486</v>
      </c>
      <c r="J946">
        <v>1327.0511475000001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376.90467999999998</v>
      </c>
      <c r="B947" s="1">
        <f>DATE(2011,5,12) + TIME(21,42,44)</f>
        <v>40675.904675925929</v>
      </c>
      <c r="C947">
        <v>80</v>
      </c>
      <c r="D947">
        <v>79.958641052000004</v>
      </c>
      <c r="E947">
        <v>50</v>
      </c>
      <c r="F947">
        <v>48.914192200000002</v>
      </c>
      <c r="G947">
        <v>1337.9968262</v>
      </c>
      <c r="H947">
        <v>1335.8056641000001</v>
      </c>
      <c r="I947">
        <v>1328.1536865</v>
      </c>
      <c r="J947">
        <v>1327.0460204999999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377.20982400000003</v>
      </c>
      <c r="B948" s="1">
        <f>DATE(2011,5,13) + TIME(5,2,8)</f>
        <v>40676.209814814814</v>
      </c>
      <c r="C948">
        <v>80</v>
      </c>
      <c r="D948">
        <v>79.958564757999994</v>
      </c>
      <c r="E948">
        <v>50</v>
      </c>
      <c r="F948">
        <v>48.892910004000001</v>
      </c>
      <c r="G948">
        <v>1337.9899902</v>
      </c>
      <c r="H948">
        <v>1335.8035889</v>
      </c>
      <c r="I948">
        <v>1328.1499022999999</v>
      </c>
      <c r="J948">
        <v>1327.0406493999999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377.52130299999999</v>
      </c>
      <c r="B949" s="1">
        <f>DATE(2011,5,13) + TIME(12,30,40)</f>
        <v>40676.521296296298</v>
      </c>
      <c r="C949">
        <v>80</v>
      </c>
      <c r="D949">
        <v>79.958488463999998</v>
      </c>
      <c r="E949">
        <v>50</v>
      </c>
      <c r="F949">
        <v>48.871315002000003</v>
      </c>
      <c r="G949">
        <v>1337.9831543</v>
      </c>
      <c r="H949">
        <v>1335.8015137</v>
      </c>
      <c r="I949">
        <v>1328.1459961</v>
      </c>
      <c r="J949">
        <v>1327.0351562000001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377.84011500000003</v>
      </c>
      <c r="B950" s="1">
        <f>DATE(2011,5,13) + TIME(20,9,45)</f>
        <v>40676.840104166666</v>
      </c>
      <c r="C950">
        <v>80</v>
      </c>
      <c r="D950">
        <v>79.958404540999993</v>
      </c>
      <c r="E950">
        <v>50</v>
      </c>
      <c r="F950">
        <v>48.849357605000002</v>
      </c>
      <c r="G950">
        <v>1337.9761963000001</v>
      </c>
      <c r="H950">
        <v>1335.7994385</v>
      </c>
      <c r="I950">
        <v>1328.1419678</v>
      </c>
      <c r="J950">
        <v>1327.0295410000001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378.169059</v>
      </c>
      <c r="B951" s="1">
        <f>DATE(2011,5,14) + TIME(4,3,26)</f>
        <v>40677.169050925928</v>
      </c>
      <c r="C951">
        <v>80</v>
      </c>
      <c r="D951">
        <v>79.958320618000002</v>
      </c>
      <c r="E951">
        <v>50</v>
      </c>
      <c r="F951">
        <v>48.826889037999997</v>
      </c>
      <c r="G951">
        <v>1337.9693603999999</v>
      </c>
      <c r="H951">
        <v>1335.7974853999999</v>
      </c>
      <c r="I951">
        <v>1328.1378173999999</v>
      </c>
      <c r="J951">
        <v>1327.0236815999999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378.50376899999998</v>
      </c>
      <c r="B952" s="1">
        <f>DATE(2011,5,14) + TIME(12,5,25)</f>
        <v>40677.503761574073</v>
      </c>
      <c r="C952">
        <v>80</v>
      </c>
      <c r="D952">
        <v>79.958244324000006</v>
      </c>
      <c r="E952">
        <v>50</v>
      </c>
      <c r="F952">
        <v>48.804153442</v>
      </c>
      <c r="G952">
        <v>1337.9624022999999</v>
      </c>
      <c r="H952">
        <v>1335.7954102000001</v>
      </c>
      <c r="I952">
        <v>1328.1335449000001</v>
      </c>
      <c r="J952">
        <v>1327.0177002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378.843705</v>
      </c>
      <c r="B953" s="1">
        <f>DATE(2011,5,14) + TIME(20,14,56)</f>
        <v>40677.8437037037</v>
      </c>
      <c r="C953">
        <v>80</v>
      </c>
      <c r="D953">
        <v>79.958160399999997</v>
      </c>
      <c r="E953">
        <v>50</v>
      </c>
      <c r="F953">
        <v>48.781185149999999</v>
      </c>
      <c r="G953">
        <v>1337.9555664</v>
      </c>
      <c r="H953">
        <v>1335.793457</v>
      </c>
      <c r="I953">
        <v>1328.1291504000001</v>
      </c>
      <c r="J953">
        <v>1327.0114745999999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379.18979999999999</v>
      </c>
      <c r="B954" s="1">
        <f>DATE(2011,5,15) + TIME(4,33,18)</f>
        <v>40678.189791666664</v>
      </c>
      <c r="C954">
        <v>80</v>
      </c>
      <c r="D954">
        <v>79.958076477000006</v>
      </c>
      <c r="E954">
        <v>50</v>
      </c>
      <c r="F954">
        <v>48.757949828999998</v>
      </c>
      <c r="G954">
        <v>1337.9487305</v>
      </c>
      <c r="H954">
        <v>1335.7915039</v>
      </c>
      <c r="I954">
        <v>1328.1247559000001</v>
      </c>
      <c r="J954">
        <v>1327.005249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379.54302799999999</v>
      </c>
      <c r="B955" s="1">
        <f>DATE(2011,5,15) + TIME(13,1,57)</f>
        <v>40678.543020833335</v>
      </c>
      <c r="C955">
        <v>80</v>
      </c>
      <c r="D955">
        <v>79.957992554</v>
      </c>
      <c r="E955">
        <v>50</v>
      </c>
      <c r="F955">
        <v>48.734397887999997</v>
      </c>
      <c r="G955">
        <v>1337.9418945</v>
      </c>
      <c r="H955">
        <v>1335.7896728999999</v>
      </c>
      <c r="I955">
        <v>1328.1202393000001</v>
      </c>
      <c r="J955">
        <v>1326.9987793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379.90443800000003</v>
      </c>
      <c r="B956" s="1">
        <f>DATE(2011,5,15) + TIME(21,42,23)</f>
        <v>40678.904432870368</v>
      </c>
      <c r="C956">
        <v>80</v>
      </c>
      <c r="D956">
        <v>79.957916260000005</v>
      </c>
      <c r="E956">
        <v>50</v>
      </c>
      <c r="F956">
        <v>48.710479736000003</v>
      </c>
      <c r="G956">
        <v>1337.9351807</v>
      </c>
      <c r="H956">
        <v>1335.7877197</v>
      </c>
      <c r="I956">
        <v>1328.1154785000001</v>
      </c>
      <c r="J956">
        <v>1326.9921875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380.27524599999998</v>
      </c>
      <c r="B957" s="1">
        <f>DATE(2011,5,16) + TIME(6,36,21)</f>
        <v>40679.275243055556</v>
      </c>
      <c r="C957">
        <v>80</v>
      </c>
      <c r="D957">
        <v>79.957832335999996</v>
      </c>
      <c r="E957">
        <v>50</v>
      </c>
      <c r="F957">
        <v>48.686138153000002</v>
      </c>
      <c r="G957">
        <v>1337.9284668</v>
      </c>
      <c r="H957">
        <v>1335.7858887</v>
      </c>
      <c r="I957">
        <v>1328.1107178</v>
      </c>
      <c r="J957">
        <v>1326.9854736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380.647854</v>
      </c>
      <c r="B958" s="1">
        <f>DATE(2011,5,16) + TIME(15,32,54)</f>
        <v>40679.647847222222</v>
      </c>
      <c r="C958">
        <v>80</v>
      </c>
      <c r="D958">
        <v>79.957748413000004</v>
      </c>
      <c r="E958">
        <v>50</v>
      </c>
      <c r="F958">
        <v>48.661773682000003</v>
      </c>
      <c r="G958">
        <v>1337.9217529</v>
      </c>
      <c r="H958">
        <v>1335.7840576000001</v>
      </c>
      <c r="I958">
        <v>1328.1058350000001</v>
      </c>
      <c r="J958">
        <v>1326.9785156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381.02318600000001</v>
      </c>
      <c r="B959" s="1">
        <f>DATE(2011,5,17) + TIME(0,33,23)</f>
        <v>40680.023182870369</v>
      </c>
      <c r="C959">
        <v>80</v>
      </c>
      <c r="D959">
        <v>79.957672118999994</v>
      </c>
      <c r="E959">
        <v>50</v>
      </c>
      <c r="F959">
        <v>48.637348175</v>
      </c>
      <c r="G959">
        <v>1337.9151611</v>
      </c>
      <c r="H959">
        <v>1335.7822266000001</v>
      </c>
      <c r="I959">
        <v>1328.1008300999999</v>
      </c>
      <c r="J959">
        <v>1326.9714355000001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381.40216099999998</v>
      </c>
      <c r="B960" s="1">
        <f>DATE(2011,5,17) + TIME(9,39,6)</f>
        <v>40680.40215277778</v>
      </c>
      <c r="C960">
        <v>80</v>
      </c>
      <c r="D960">
        <v>79.957588196000003</v>
      </c>
      <c r="E960">
        <v>50</v>
      </c>
      <c r="F960">
        <v>48.612831116000002</v>
      </c>
      <c r="G960">
        <v>1337.9086914</v>
      </c>
      <c r="H960">
        <v>1335.7805175999999</v>
      </c>
      <c r="I960">
        <v>1328.0958252</v>
      </c>
      <c r="J960">
        <v>1326.9643555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381.78572000000003</v>
      </c>
      <c r="B961" s="1">
        <f>DATE(2011,5,17) + TIME(18,51,26)</f>
        <v>40680.785717592589</v>
      </c>
      <c r="C961">
        <v>80</v>
      </c>
      <c r="D961">
        <v>79.957511901999993</v>
      </c>
      <c r="E961">
        <v>50</v>
      </c>
      <c r="F961">
        <v>48.588180542000003</v>
      </c>
      <c r="G961">
        <v>1337.9023437999999</v>
      </c>
      <c r="H961">
        <v>1335.7788086</v>
      </c>
      <c r="I961">
        <v>1328.0906981999999</v>
      </c>
      <c r="J961">
        <v>1326.9571533000001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382.17502000000002</v>
      </c>
      <c r="B962" s="1">
        <f>DATE(2011,5,18) + TIME(4,12,1)</f>
        <v>40681.175011574072</v>
      </c>
      <c r="C962">
        <v>80</v>
      </c>
      <c r="D962">
        <v>79.957427979000002</v>
      </c>
      <c r="E962">
        <v>50</v>
      </c>
      <c r="F962">
        <v>48.563350677000003</v>
      </c>
      <c r="G962">
        <v>1337.8959961</v>
      </c>
      <c r="H962">
        <v>1335.7770995999999</v>
      </c>
      <c r="I962">
        <v>1328.0855713000001</v>
      </c>
      <c r="J962">
        <v>1326.9498291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382.57091700000001</v>
      </c>
      <c r="B963" s="1">
        <f>DATE(2011,5,18) + TIME(13,42,7)</f>
        <v>40681.570914351854</v>
      </c>
      <c r="C963">
        <v>80</v>
      </c>
      <c r="D963">
        <v>79.957351685000006</v>
      </c>
      <c r="E963">
        <v>50</v>
      </c>
      <c r="F963">
        <v>48.538295746000003</v>
      </c>
      <c r="G963">
        <v>1337.8897704999999</v>
      </c>
      <c r="H963">
        <v>1335.7753906</v>
      </c>
      <c r="I963">
        <v>1328.0803223</v>
      </c>
      <c r="J963">
        <v>1326.9423827999999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382.97448300000002</v>
      </c>
      <c r="B964" s="1">
        <f>DATE(2011,5,18) + TIME(23,23,15)</f>
        <v>40681.974479166667</v>
      </c>
      <c r="C964">
        <v>80</v>
      </c>
      <c r="D964">
        <v>79.957275390999996</v>
      </c>
      <c r="E964">
        <v>50</v>
      </c>
      <c r="F964">
        <v>48.512966155999997</v>
      </c>
      <c r="G964">
        <v>1337.8836670000001</v>
      </c>
      <c r="H964">
        <v>1335.7738036999999</v>
      </c>
      <c r="I964">
        <v>1328.0749512</v>
      </c>
      <c r="J964">
        <v>1326.9346923999999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383.38687099999999</v>
      </c>
      <c r="B965" s="1">
        <f>DATE(2011,5,19) + TIME(9,17,5)</f>
        <v>40682.386863425927</v>
      </c>
      <c r="C965">
        <v>80</v>
      </c>
      <c r="D965">
        <v>79.957199097</v>
      </c>
      <c r="E965">
        <v>50</v>
      </c>
      <c r="F965">
        <v>48.487312316999997</v>
      </c>
      <c r="G965">
        <v>1337.8774414</v>
      </c>
      <c r="H965">
        <v>1335.7722168</v>
      </c>
      <c r="I965">
        <v>1328.0694579999999</v>
      </c>
      <c r="J965">
        <v>1326.9270019999999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383.80934000000002</v>
      </c>
      <c r="B966" s="1">
        <f>DATE(2011,5,19) + TIME(19,25,26)</f>
        <v>40682.809328703705</v>
      </c>
      <c r="C966">
        <v>80</v>
      </c>
      <c r="D966">
        <v>79.957122803000004</v>
      </c>
      <c r="E966">
        <v>50</v>
      </c>
      <c r="F966">
        <v>48.461265564000001</v>
      </c>
      <c r="G966">
        <v>1337.8713379000001</v>
      </c>
      <c r="H966">
        <v>1335.7707519999999</v>
      </c>
      <c r="I966">
        <v>1328.0638428</v>
      </c>
      <c r="J966">
        <v>1326.9189452999999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384.24332399999997</v>
      </c>
      <c r="B967" s="1">
        <f>DATE(2011,5,20) + TIME(5,50,23)</f>
        <v>40683.243321759262</v>
      </c>
      <c r="C967">
        <v>80</v>
      </c>
      <c r="D967">
        <v>79.957046508999994</v>
      </c>
      <c r="E967">
        <v>50</v>
      </c>
      <c r="F967">
        <v>48.434768677000001</v>
      </c>
      <c r="G967">
        <v>1337.8652344</v>
      </c>
      <c r="H967">
        <v>1335.7691649999999</v>
      </c>
      <c r="I967">
        <v>1328.0581055</v>
      </c>
      <c r="J967">
        <v>1326.9107666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384.692409</v>
      </c>
      <c r="B968" s="1">
        <f>DATE(2011,5,20) + TIME(16,37,4)</f>
        <v>40683.692407407405</v>
      </c>
      <c r="C968">
        <v>80</v>
      </c>
      <c r="D968">
        <v>79.956970214999998</v>
      </c>
      <c r="E968">
        <v>50</v>
      </c>
      <c r="F968">
        <v>48.407653809000003</v>
      </c>
      <c r="G968">
        <v>1337.8591309000001</v>
      </c>
      <c r="H968">
        <v>1335.7675781</v>
      </c>
      <c r="I968">
        <v>1328.052124</v>
      </c>
      <c r="J968">
        <v>1326.9023437999999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385.15421800000001</v>
      </c>
      <c r="B969" s="1">
        <f>DATE(2011,5,21) + TIME(3,42,4)</f>
        <v>40684.15421296296</v>
      </c>
      <c r="C969">
        <v>80</v>
      </c>
      <c r="D969">
        <v>79.956893921000002</v>
      </c>
      <c r="E969">
        <v>50</v>
      </c>
      <c r="F969">
        <v>48.380016327</v>
      </c>
      <c r="G969">
        <v>1337.8529053</v>
      </c>
      <c r="H969">
        <v>1335.7659911999999</v>
      </c>
      <c r="I969">
        <v>1328.0460204999999</v>
      </c>
      <c r="J969">
        <v>1326.8935547000001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385.62967700000002</v>
      </c>
      <c r="B970" s="1">
        <f>DATE(2011,5,21) + TIME(15,6,44)</f>
        <v>40684.629675925928</v>
      </c>
      <c r="C970">
        <v>80</v>
      </c>
      <c r="D970">
        <v>79.956817627000007</v>
      </c>
      <c r="E970">
        <v>50</v>
      </c>
      <c r="F970">
        <v>48.351825714</v>
      </c>
      <c r="G970">
        <v>1337.8468018000001</v>
      </c>
      <c r="H970">
        <v>1335.7644043</v>
      </c>
      <c r="I970">
        <v>1328.0396728999999</v>
      </c>
      <c r="J970">
        <v>1326.8846435999999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386.11439300000001</v>
      </c>
      <c r="B971" s="1">
        <f>DATE(2011,5,22) + TIME(2,44,43)</f>
        <v>40685.114386574074</v>
      </c>
      <c r="C971">
        <v>80</v>
      </c>
      <c r="D971">
        <v>79.956741332999997</v>
      </c>
      <c r="E971">
        <v>50</v>
      </c>
      <c r="F971">
        <v>48.32327652</v>
      </c>
      <c r="G971">
        <v>1337.8404541</v>
      </c>
      <c r="H971">
        <v>1335.7629394999999</v>
      </c>
      <c r="I971">
        <v>1328.0332031</v>
      </c>
      <c r="J971">
        <v>1326.8753661999999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386.60560700000002</v>
      </c>
      <c r="B972" s="1">
        <f>DATE(2011,5,22) + TIME(14,32,4)</f>
        <v>40685.60560185185</v>
      </c>
      <c r="C972">
        <v>80</v>
      </c>
      <c r="D972">
        <v>79.956665039000001</v>
      </c>
      <c r="E972">
        <v>50</v>
      </c>
      <c r="F972">
        <v>48.294506073000001</v>
      </c>
      <c r="G972">
        <v>1337.8343506000001</v>
      </c>
      <c r="H972">
        <v>1335.7613524999999</v>
      </c>
      <c r="I972">
        <v>1328.0264893000001</v>
      </c>
      <c r="J972">
        <v>1326.8658447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387.10494299999999</v>
      </c>
      <c r="B973" s="1">
        <f>DATE(2011,5,23) + TIME(2,31,7)</f>
        <v>40686.104942129627</v>
      </c>
      <c r="C973">
        <v>80</v>
      </c>
      <c r="D973">
        <v>79.956588745000005</v>
      </c>
      <c r="E973">
        <v>50</v>
      </c>
      <c r="F973">
        <v>48.265464782999999</v>
      </c>
      <c r="G973">
        <v>1337.8282471</v>
      </c>
      <c r="H973">
        <v>1335.7598877</v>
      </c>
      <c r="I973">
        <v>1328.0197754000001</v>
      </c>
      <c r="J973">
        <v>1326.8562012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387.61406699999998</v>
      </c>
      <c r="B974" s="1">
        <f>DATE(2011,5,23) + TIME(14,44,15)</f>
        <v>40686.614062499997</v>
      </c>
      <c r="C974">
        <v>80</v>
      </c>
      <c r="D974">
        <v>79.956512450999995</v>
      </c>
      <c r="E974">
        <v>50</v>
      </c>
      <c r="F974">
        <v>48.236103057999998</v>
      </c>
      <c r="G974">
        <v>1337.8221435999999</v>
      </c>
      <c r="H974">
        <v>1335.7583007999999</v>
      </c>
      <c r="I974">
        <v>1328.0129394999999</v>
      </c>
      <c r="J974">
        <v>1326.8464355000001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388.13503700000001</v>
      </c>
      <c r="B975" s="1">
        <f>DATE(2011,5,24) + TIME(3,14,27)</f>
        <v>40687.135034722225</v>
      </c>
      <c r="C975">
        <v>80</v>
      </c>
      <c r="D975">
        <v>79.956436156999999</v>
      </c>
      <c r="E975">
        <v>50</v>
      </c>
      <c r="F975">
        <v>48.20633316</v>
      </c>
      <c r="G975">
        <v>1337.8161620999999</v>
      </c>
      <c r="H975">
        <v>1335.7568358999999</v>
      </c>
      <c r="I975">
        <v>1328.0058594</v>
      </c>
      <c r="J975">
        <v>1326.8363036999999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388.66990299999998</v>
      </c>
      <c r="B976" s="1">
        <f>DATE(2011,5,24) + TIME(16,4,39)</f>
        <v>40687.669895833336</v>
      </c>
      <c r="C976">
        <v>80</v>
      </c>
      <c r="D976">
        <v>79.956367493000002</v>
      </c>
      <c r="E976">
        <v>50</v>
      </c>
      <c r="F976">
        <v>48.176082610999998</v>
      </c>
      <c r="G976">
        <v>1337.8101807</v>
      </c>
      <c r="H976">
        <v>1335.7554932</v>
      </c>
      <c r="I976">
        <v>1327.9986572</v>
      </c>
      <c r="J976">
        <v>1326.8260498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389.219401</v>
      </c>
      <c r="B977" s="1">
        <f>DATE(2011,5,25) + TIME(5,15,56)</f>
        <v>40688.219398148147</v>
      </c>
      <c r="C977">
        <v>80</v>
      </c>
      <c r="D977">
        <v>79.956291199000006</v>
      </c>
      <c r="E977">
        <v>50</v>
      </c>
      <c r="F977">
        <v>48.145317077999998</v>
      </c>
      <c r="G977">
        <v>1337.8041992000001</v>
      </c>
      <c r="H977">
        <v>1335.7540283000001</v>
      </c>
      <c r="I977">
        <v>1327.9912108999999</v>
      </c>
      <c r="J977">
        <v>1326.8154297000001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389.77471100000002</v>
      </c>
      <c r="B978" s="1">
        <f>DATE(2011,5,25) + TIME(18,35,35)</f>
        <v>40688.774710648147</v>
      </c>
      <c r="C978">
        <v>80</v>
      </c>
      <c r="D978">
        <v>79.956214904999996</v>
      </c>
      <c r="E978">
        <v>50</v>
      </c>
      <c r="F978">
        <v>48.114387512</v>
      </c>
      <c r="G978">
        <v>1337.7982178</v>
      </c>
      <c r="H978">
        <v>1335.7525635</v>
      </c>
      <c r="I978">
        <v>1327.9836425999999</v>
      </c>
      <c r="J978">
        <v>1326.8045654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390.33507100000003</v>
      </c>
      <c r="B979" s="1">
        <f>DATE(2011,5,26) + TIME(8,2,30)</f>
        <v>40689.335069444445</v>
      </c>
      <c r="C979">
        <v>80</v>
      </c>
      <c r="D979">
        <v>79.956146239999995</v>
      </c>
      <c r="E979">
        <v>50</v>
      </c>
      <c r="F979">
        <v>48.083358765</v>
      </c>
      <c r="G979">
        <v>1337.7923584</v>
      </c>
      <c r="H979">
        <v>1335.7512207</v>
      </c>
      <c r="I979">
        <v>1327.9759521000001</v>
      </c>
      <c r="J979">
        <v>1326.7935791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390.89858199999998</v>
      </c>
      <c r="B980" s="1">
        <f>DATE(2011,5,26) + TIME(21,33,57)</f>
        <v>40689.898576388892</v>
      </c>
      <c r="C980">
        <v>80</v>
      </c>
      <c r="D980">
        <v>79.956077575999998</v>
      </c>
      <c r="E980">
        <v>50</v>
      </c>
      <c r="F980">
        <v>48.052333832000002</v>
      </c>
      <c r="G980">
        <v>1337.786499</v>
      </c>
      <c r="H980">
        <v>1335.7497559000001</v>
      </c>
      <c r="I980">
        <v>1327.9681396000001</v>
      </c>
      <c r="J980">
        <v>1326.7824707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391.46700499999997</v>
      </c>
      <c r="B981" s="1">
        <f>DATE(2011,5,27) + TIME(11,12,29)</f>
        <v>40690.467002314814</v>
      </c>
      <c r="C981">
        <v>80</v>
      </c>
      <c r="D981">
        <v>79.956008910999998</v>
      </c>
      <c r="E981">
        <v>50</v>
      </c>
      <c r="F981">
        <v>48.021266937</v>
      </c>
      <c r="G981">
        <v>1337.7807617000001</v>
      </c>
      <c r="H981">
        <v>1335.7484131000001</v>
      </c>
      <c r="I981">
        <v>1327.9603271000001</v>
      </c>
      <c r="J981">
        <v>1326.7712402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392.04214400000001</v>
      </c>
      <c r="B982" s="1">
        <f>DATE(2011,5,28) + TIME(1,0,41)</f>
        <v>40691.042141203703</v>
      </c>
      <c r="C982">
        <v>80</v>
      </c>
      <c r="D982">
        <v>79.955940247000001</v>
      </c>
      <c r="E982">
        <v>50</v>
      </c>
      <c r="F982">
        <v>47.990112304999997</v>
      </c>
      <c r="G982">
        <v>1337.7751464999999</v>
      </c>
      <c r="H982">
        <v>1335.7470702999999</v>
      </c>
      <c r="I982">
        <v>1327.9523925999999</v>
      </c>
      <c r="J982">
        <v>1326.7598877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392.62592599999999</v>
      </c>
      <c r="B983" s="1">
        <f>DATE(2011,5,28) + TIME(15,1,19)</f>
        <v>40691.625914351855</v>
      </c>
      <c r="C983">
        <v>80</v>
      </c>
      <c r="D983">
        <v>79.955871582</v>
      </c>
      <c r="E983">
        <v>50</v>
      </c>
      <c r="F983">
        <v>47.958793640000003</v>
      </c>
      <c r="G983">
        <v>1337.7696533000001</v>
      </c>
      <c r="H983">
        <v>1335.7457274999999</v>
      </c>
      <c r="I983">
        <v>1327.9443358999999</v>
      </c>
      <c r="J983">
        <v>1326.7482910000001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393.220778</v>
      </c>
      <c r="B984" s="1">
        <f>DATE(2011,5,29) + TIME(5,17,55)</f>
        <v>40692.220775462964</v>
      </c>
      <c r="C984">
        <v>80</v>
      </c>
      <c r="D984">
        <v>79.955810546999999</v>
      </c>
      <c r="E984">
        <v>50</v>
      </c>
      <c r="F984">
        <v>47.927219391000001</v>
      </c>
      <c r="G984">
        <v>1337.7641602000001</v>
      </c>
      <c r="H984">
        <v>1335.7445068</v>
      </c>
      <c r="I984">
        <v>1327.9361572</v>
      </c>
      <c r="J984">
        <v>1326.7365723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393.82855000000001</v>
      </c>
      <c r="B985" s="1">
        <f>DATE(2011,5,29) + TIME(19,53,6)</f>
        <v>40692.828541666669</v>
      </c>
      <c r="C985">
        <v>80</v>
      </c>
      <c r="D985">
        <v>79.955741881999998</v>
      </c>
      <c r="E985">
        <v>50</v>
      </c>
      <c r="F985">
        <v>47.895313262999998</v>
      </c>
      <c r="G985">
        <v>1337.7587891000001</v>
      </c>
      <c r="H985">
        <v>1335.7431641000001</v>
      </c>
      <c r="I985">
        <v>1327.9279785000001</v>
      </c>
      <c r="J985">
        <v>1326.7247314000001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394.45179100000001</v>
      </c>
      <c r="B986" s="1">
        <f>DATE(2011,5,30) + TIME(10,50,34)</f>
        <v>40693.451782407406</v>
      </c>
      <c r="C986">
        <v>80</v>
      </c>
      <c r="D986">
        <v>79.955680846999996</v>
      </c>
      <c r="E986">
        <v>50</v>
      </c>
      <c r="F986">
        <v>47.862976074000002</v>
      </c>
      <c r="G986">
        <v>1337.7532959</v>
      </c>
      <c r="H986">
        <v>1335.7418213000001</v>
      </c>
      <c r="I986">
        <v>1327.9194336</v>
      </c>
      <c r="J986">
        <v>1326.7125243999999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395.09306600000002</v>
      </c>
      <c r="B987" s="1">
        <f>DATE(2011,5,31) + TIME(2,14,0)</f>
        <v>40694.093055555553</v>
      </c>
      <c r="C987">
        <v>80</v>
      </c>
      <c r="D987">
        <v>79.955619811999995</v>
      </c>
      <c r="E987">
        <v>50</v>
      </c>
      <c r="F987">
        <v>47.830104828000003</v>
      </c>
      <c r="G987">
        <v>1337.7479248</v>
      </c>
      <c r="H987">
        <v>1335.7404785000001</v>
      </c>
      <c r="I987">
        <v>1327.9107666</v>
      </c>
      <c r="J987">
        <v>1326.6999512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395.76032700000002</v>
      </c>
      <c r="B988" s="1">
        <f>DATE(2011,5,31) + TIME(18,14,52)</f>
        <v>40694.760324074072</v>
      </c>
      <c r="C988">
        <v>80</v>
      </c>
      <c r="D988">
        <v>79.955558776999993</v>
      </c>
      <c r="E988">
        <v>50</v>
      </c>
      <c r="F988">
        <v>47.796409607000001</v>
      </c>
      <c r="G988">
        <v>1337.7424315999999</v>
      </c>
      <c r="H988">
        <v>1335.7391356999999</v>
      </c>
      <c r="I988">
        <v>1327.9018555</v>
      </c>
      <c r="J988">
        <v>1326.6871338000001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396</v>
      </c>
      <c r="B989" s="1">
        <f>DATE(2011,6,1) + TIME(0,0,0)</f>
        <v>40695</v>
      </c>
      <c r="C989">
        <v>80</v>
      </c>
      <c r="D989">
        <v>79.955512999999996</v>
      </c>
      <c r="E989">
        <v>50</v>
      </c>
      <c r="F989">
        <v>47.781093597000002</v>
      </c>
      <c r="G989">
        <v>1337.7368164</v>
      </c>
      <c r="H989">
        <v>1335.737793</v>
      </c>
      <c r="I989">
        <v>1327.8935547000001</v>
      </c>
      <c r="J989">
        <v>1326.6756591999999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396.698533</v>
      </c>
      <c r="B990" s="1">
        <f>DATE(2011,6,1) + TIME(16,45,53)</f>
        <v>40695.698530092595</v>
      </c>
      <c r="C990">
        <v>80</v>
      </c>
      <c r="D990">
        <v>79.955467224000003</v>
      </c>
      <c r="E990">
        <v>50</v>
      </c>
      <c r="F990">
        <v>47.747486115000001</v>
      </c>
      <c r="G990">
        <v>1337.7348632999999</v>
      </c>
      <c r="H990">
        <v>1335.7373047000001</v>
      </c>
      <c r="I990">
        <v>1327.8887939000001</v>
      </c>
      <c r="J990">
        <v>1326.6682129000001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397.40711399999998</v>
      </c>
      <c r="B991" s="1">
        <f>DATE(2011,6,2) + TIME(9,46,14)</f>
        <v>40696.407106481478</v>
      </c>
      <c r="C991">
        <v>80</v>
      </c>
      <c r="D991">
        <v>79.955413817999997</v>
      </c>
      <c r="E991">
        <v>50</v>
      </c>
      <c r="F991">
        <v>47.713150024000001</v>
      </c>
      <c r="G991">
        <v>1337.7292480000001</v>
      </c>
      <c r="H991">
        <v>1335.7359618999999</v>
      </c>
      <c r="I991">
        <v>1327.8792725000001</v>
      </c>
      <c r="J991">
        <v>1326.6546631000001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398.126238</v>
      </c>
      <c r="B992" s="1">
        <f>DATE(2011,6,3) + TIME(3,1,46)</f>
        <v>40697.126226851855</v>
      </c>
      <c r="C992">
        <v>80</v>
      </c>
      <c r="D992">
        <v>79.955352782999995</v>
      </c>
      <c r="E992">
        <v>50</v>
      </c>
      <c r="F992">
        <v>47.678260803000001</v>
      </c>
      <c r="G992">
        <v>1337.7236327999999</v>
      </c>
      <c r="H992">
        <v>1335.7344971</v>
      </c>
      <c r="I992">
        <v>1327.8696289</v>
      </c>
      <c r="J992">
        <v>1326.6407471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398.85526900000002</v>
      </c>
      <c r="B993" s="1">
        <f>DATE(2011,6,3) + TIME(20,31,35)</f>
        <v>40697.855266203704</v>
      </c>
      <c r="C993">
        <v>80</v>
      </c>
      <c r="D993">
        <v>79.955291747999993</v>
      </c>
      <c r="E993">
        <v>50</v>
      </c>
      <c r="F993">
        <v>47.642967224000003</v>
      </c>
      <c r="G993">
        <v>1337.7180175999999</v>
      </c>
      <c r="H993">
        <v>1335.7331543</v>
      </c>
      <c r="I993">
        <v>1327.8597411999999</v>
      </c>
      <c r="J993">
        <v>1326.6264647999999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399.59290700000003</v>
      </c>
      <c r="B994" s="1">
        <f>DATE(2011,6,4) + TIME(14,13,47)</f>
        <v>40698.592905092592</v>
      </c>
      <c r="C994">
        <v>80</v>
      </c>
      <c r="D994">
        <v>79.955238342000001</v>
      </c>
      <c r="E994">
        <v>50</v>
      </c>
      <c r="F994">
        <v>47.607395171999997</v>
      </c>
      <c r="G994">
        <v>1337.7125243999999</v>
      </c>
      <c r="H994">
        <v>1335.7316894999999</v>
      </c>
      <c r="I994">
        <v>1327.8496094</v>
      </c>
      <c r="J994">
        <v>1326.6119385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400.34299600000003</v>
      </c>
      <c r="B995" s="1">
        <f>DATE(2011,6,5) + TIME(8,13,54)</f>
        <v>40699.342986111114</v>
      </c>
      <c r="C995">
        <v>80</v>
      </c>
      <c r="D995">
        <v>79.955177307</v>
      </c>
      <c r="E995">
        <v>50</v>
      </c>
      <c r="F995">
        <v>47.571498871000003</v>
      </c>
      <c r="G995">
        <v>1337.7071533000001</v>
      </c>
      <c r="H995">
        <v>1335.7303466999999</v>
      </c>
      <c r="I995">
        <v>1327.8394774999999</v>
      </c>
      <c r="J995">
        <v>1326.597168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401.10934800000001</v>
      </c>
      <c r="B996" s="1">
        <f>DATE(2011,6,6) + TIME(2,37,27)</f>
        <v>40700.109340277777</v>
      </c>
      <c r="C996">
        <v>80</v>
      </c>
      <c r="D996">
        <v>79.955123900999993</v>
      </c>
      <c r="E996">
        <v>50</v>
      </c>
      <c r="F996">
        <v>47.535194396999998</v>
      </c>
      <c r="G996">
        <v>1337.7017822</v>
      </c>
      <c r="H996">
        <v>1335.7290039</v>
      </c>
      <c r="I996">
        <v>1327.8291016000001</v>
      </c>
      <c r="J996">
        <v>1326.5821533000001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401.89602200000002</v>
      </c>
      <c r="B997" s="1">
        <f>DATE(2011,6,6) + TIME(21,30,16)</f>
        <v>40700.896018518521</v>
      </c>
      <c r="C997">
        <v>80</v>
      </c>
      <c r="D997">
        <v>79.955070496000005</v>
      </c>
      <c r="E997">
        <v>50</v>
      </c>
      <c r="F997">
        <v>47.498352050999998</v>
      </c>
      <c r="G997">
        <v>1337.6964111</v>
      </c>
      <c r="H997">
        <v>1335.7276611</v>
      </c>
      <c r="I997">
        <v>1327.8184814000001</v>
      </c>
      <c r="J997">
        <v>1326.5668945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402.69370800000002</v>
      </c>
      <c r="B998" s="1">
        <f>DATE(2011,6,7) + TIME(16,38,56)</f>
        <v>40701.693703703706</v>
      </c>
      <c r="C998">
        <v>80</v>
      </c>
      <c r="D998">
        <v>79.955017089999998</v>
      </c>
      <c r="E998">
        <v>50</v>
      </c>
      <c r="F998">
        <v>47.461235045999999</v>
      </c>
      <c r="G998">
        <v>1337.6910399999999</v>
      </c>
      <c r="H998">
        <v>1335.7261963000001</v>
      </c>
      <c r="I998">
        <v>1327.8077393000001</v>
      </c>
      <c r="J998">
        <v>1326.5511475000001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403.50021400000003</v>
      </c>
      <c r="B999" s="1">
        <f>DATE(2011,6,8) + TIME(12,0,18)</f>
        <v>40702.500208333331</v>
      </c>
      <c r="C999">
        <v>80</v>
      </c>
      <c r="D999">
        <v>79.954963684000006</v>
      </c>
      <c r="E999">
        <v>50</v>
      </c>
      <c r="F999">
        <v>47.423942566000001</v>
      </c>
      <c r="G999">
        <v>1337.6856689000001</v>
      </c>
      <c r="H999">
        <v>1335.7248535000001</v>
      </c>
      <c r="I999">
        <v>1327.7967529</v>
      </c>
      <c r="J999">
        <v>1326.5352783000001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404.31925699999999</v>
      </c>
      <c r="B1000" s="1">
        <f>DATE(2011,6,9) + TIME(7,39,43)</f>
        <v>40703.319247685184</v>
      </c>
      <c r="C1000">
        <v>80</v>
      </c>
      <c r="D1000">
        <v>79.954917907999999</v>
      </c>
      <c r="E1000">
        <v>50</v>
      </c>
      <c r="F1000">
        <v>47.386417389000002</v>
      </c>
      <c r="G1000">
        <v>1337.6804199000001</v>
      </c>
      <c r="H1000">
        <v>1335.7233887</v>
      </c>
      <c r="I1000">
        <v>1327.7856445</v>
      </c>
      <c r="J1000">
        <v>1326.5191649999999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405.15428300000002</v>
      </c>
      <c r="B1001" s="1">
        <f>DATE(2011,6,10) + TIME(3,42,10)</f>
        <v>40704.154282407406</v>
      </c>
      <c r="C1001">
        <v>80</v>
      </c>
      <c r="D1001">
        <v>79.954864502000007</v>
      </c>
      <c r="E1001">
        <v>50</v>
      </c>
      <c r="F1001">
        <v>47.348564148000001</v>
      </c>
      <c r="G1001">
        <v>1337.6751709</v>
      </c>
      <c r="H1001">
        <v>1335.7220459</v>
      </c>
      <c r="I1001">
        <v>1327.7744141000001</v>
      </c>
      <c r="J1001">
        <v>1326.5028076000001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406.00912699999998</v>
      </c>
      <c r="B1002" s="1">
        <f>DATE(2011,6,11) + TIME(0,13,8)</f>
        <v>40705.009120370371</v>
      </c>
      <c r="C1002">
        <v>80</v>
      </c>
      <c r="D1002">
        <v>79.954818725999999</v>
      </c>
      <c r="E1002">
        <v>50</v>
      </c>
      <c r="F1002">
        <v>47.310264586999999</v>
      </c>
      <c r="G1002">
        <v>1337.6699219</v>
      </c>
      <c r="H1002">
        <v>1335.7205810999999</v>
      </c>
      <c r="I1002">
        <v>1327.7629394999999</v>
      </c>
      <c r="J1002">
        <v>1326.4862060999999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406.88758799999999</v>
      </c>
      <c r="B1003" s="1">
        <f>DATE(2011,6,11) + TIME(21,18,7)</f>
        <v>40705.88758101852</v>
      </c>
      <c r="C1003">
        <v>80</v>
      </c>
      <c r="D1003">
        <v>79.954772949000002</v>
      </c>
      <c r="E1003">
        <v>50</v>
      </c>
      <c r="F1003">
        <v>47.271381378000001</v>
      </c>
      <c r="G1003">
        <v>1337.6647949000001</v>
      </c>
      <c r="H1003">
        <v>1335.7192382999999</v>
      </c>
      <c r="I1003">
        <v>1327.7513428</v>
      </c>
      <c r="J1003">
        <v>1326.4692382999999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407.80288000000002</v>
      </c>
      <c r="B1004" s="1">
        <f>DATE(2011,6,12) + TIME(19,16,8)</f>
        <v>40706.802870370368</v>
      </c>
      <c r="C1004">
        <v>80</v>
      </c>
      <c r="D1004">
        <v>79.954727172999995</v>
      </c>
      <c r="E1004">
        <v>50</v>
      </c>
      <c r="F1004">
        <v>47.231540680000002</v>
      </c>
      <c r="G1004">
        <v>1337.6595459</v>
      </c>
      <c r="H1004">
        <v>1335.7177733999999</v>
      </c>
      <c r="I1004">
        <v>1327.7393798999999</v>
      </c>
      <c r="J1004">
        <v>1326.4517822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408.73704900000001</v>
      </c>
      <c r="B1005" s="1">
        <f>DATE(2011,6,13) + TIME(17,41,21)</f>
        <v>40707.73704861111</v>
      </c>
      <c r="C1005">
        <v>80</v>
      </c>
      <c r="D1005">
        <v>79.954689025999997</v>
      </c>
      <c r="E1005">
        <v>50</v>
      </c>
      <c r="F1005">
        <v>47.191082000999998</v>
      </c>
      <c r="G1005">
        <v>1337.6541748</v>
      </c>
      <c r="H1005">
        <v>1335.7163086</v>
      </c>
      <c r="I1005">
        <v>1327.7270507999999</v>
      </c>
      <c r="J1005">
        <v>1326.4338379000001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409.68244299999998</v>
      </c>
      <c r="B1006" s="1">
        <f>DATE(2011,6,14) + TIME(16,22,43)</f>
        <v>40708.682442129626</v>
      </c>
      <c r="C1006">
        <v>80</v>
      </c>
      <c r="D1006">
        <v>79.954643250000004</v>
      </c>
      <c r="E1006">
        <v>50</v>
      </c>
      <c r="F1006">
        <v>47.150264739999997</v>
      </c>
      <c r="G1006">
        <v>1337.6488036999999</v>
      </c>
      <c r="H1006">
        <v>1335.7148437999999</v>
      </c>
      <c r="I1006">
        <v>1327.7144774999999</v>
      </c>
      <c r="J1006">
        <v>1326.4154053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410.64538199999998</v>
      </c>
      <c r="B1007" s="1">
        <f>DATE(2011,6,15) + TIME(15,29,20)</f>
        <v>40709.645370370374</v>
      </c>
      <c r="C1007">
        <v>80</v>
      </c>
      <c r="D1007">
        <v>79.954597473000007</v>
      </c>
      <c r="E1007">
        <v>50</v>
      </c>
      <c r="F1007">
        <v>47.109016418000003</v>
      </c>
      <c r="G1007">
        <v>1337.6435547000001</v>
      </c>
      <c r="H1007">
        <v>1335.7132568</v>
      </c>
      <c r="I1007">
        <v>1327.7017822</v>
      </c>
      <c r="J1007">
        <v>1326.3968506000001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411.63179300000002</v>
      </c>
      <c r="B1008" s="1">
        <f>DATE(2011,6,16) + TIME(15,9,46)</f>
        <v>40710.631782407407</v>
      </c>
      <c r="C1008">
        <v>80</v>
      </c>
      <c r="D1008">
        <v>79.954559325999995</v>
      </c>
      <c r="E1008">
        <v>50</v>
      </c>
      <c r="F1008">
        <v>47.067203522</v>
      </c>
      <c r="G1008">
        <v>1337.6383057</v>
      </c>
      <c r="H1008">
        <v>1335.7117920000001</v>
      </c>
      <c r="I1008">
        <v>1327.6888428</v>
      </c>
      <c r="J1008">
        <v>1326.3779297000001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412.64120000000003</v>
      </c>
      <c r="B1009" s="1">
        <f>DATE(2011,6,17) + TIME(15,23,19)</f>
        <v>40711.641192129631</v>
      </c>
      <c r="C1009">
        <v>80</v>
      </c>
      <c r="D1009">
        <v>79.954521178999997</v>
      </c>
      <c r="E1009">
        <v>50</v>
      </c>
      <c r="F1009">
        <v>47.024803161999998</v>
      </c>
      <c r="G1009">
        <v>1337.6331786999999</v>
      </c>
      <c r="H1009">
        <v>1335.7103271000001</v>
      </c>
      <c r="I1009">
        <v>1327.6756591999999</v>
      </c>
      <c r="J1009">
        <v>1326.3586425999999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413.67057799999998</v>
      </c>
      <c r="B1010" s="1">
        <f>DATE(2011,6,18) + TIME(16,5,37)</f>
        <v>40712.670567129629</v>
      </c>
      <c r="C1010">
        <v>80</v>
      </c>
      <c r="D1010">
        <v>79.954483031999999</v>
      </c>
      <c r="E1010">
        <v>50</v>
      </c>
      <c r="F1010">
        <v>46.981853485000002</v>
      </c>
      <c r="G1010">
        <v>1337.6279297000001</v>
      </c>
      <c r="H1010">
        <v>1335.7087402</v>
      </c>
      <c r="I1010">
        <v>1327.6623535000001</v>
      </c>
      <c r="J1010">
        <v>1326.3388672000001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414.725663</v>
      </c>
      <c r="B1011" s="1">
        <f>DATE(2011,6,19) + TIME(17,24,57)</f>
        <v>40713.725659722222</v>
      </c>
      <c r="C1011">
        <v>80</v>
      </c>
      <c r="D1011">
        <v>79.954452515</v>
      </c>
      <c r="E1011">
        <v>50</v>
      </c>
      <c r="F1011">
        <v>46.938243866000001</v>
      </c>
      <c r="G1011">
        <v>1337.6226807</v>
      </c>
      <c r="H1011">
        <v>1335.7071533000001</v>
      </c>
      <c r="I1011">
        <v>1327.6486815999999</v>
      </c>
      <c r="J1011">
        <v>1326.3188477000001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415.81316900000002</v>
      </c>
      <c r="B1012" s="1">
        <f>DATE(2011,6,20) + TIME(19,30,57)</f>
        <v>40714.813159722224</v>
      </c>
      <c r="C1012">
        <v>80</v>
      </c>
      <c r="D1012">
        <v>79.954414368000002</v>
      </c>
      <c r="E1012">
        <v>50</v>
      </c>
      <c r="F1012">
        <v>46.893775939999998</v>
      </c>
      <c r="G1012">
        <v>1337.6175536999999</v>
      </c>
      <c r="H1012">
        <v>1335.7056885</v>
      </c>
      <c r="I1012">
        <v>1327.6348877</v>
      </c>
      <c r="J1012">
        <v>1326.2984618999999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416.91483799999997</v>
      </c>
      <c r="B1013" s="1">
        <f>DATE(2011,6,21) + TIME(21,57,22)</f>
        <v>40715.914837962962</v>
      </c>
      <c r="C1013">
        <v>80</v>
      </c>
      <c r="D1013">
        <v>79.954383849999999</v>
      </c>
      <c r="E1013">
        <v>50</v>
      </c>
      <c r="F1013">
        <v>46.848766327</v>
      </c>
      <c r="G1013">
        <v>1337.6123047000001</v>
      </c>
      <c r="H1013">
        <v>1335.7041016000001</v>
      </c>
      <c r="I1013">
        <v>1327.6206055</v>
      </c>
      <c r="J1013">
        <v>1326.2774658000001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418.03085099999998</v>
      </c>
      <c r="B1014" s="1">
        <f>DATE(2011,6,23) + TIME(0,44,25)</f>
        <v>40717.030844907407</v>
      </c>
      <c r="C1014">
        <v>80</v>
      </c>
      <c r="D1014">
        <v>79.954353333</v>
      </c>
      <c r="E1014">
        <v>50</v>
      </c>
      <c r="F1014">
        <v>46.803310394</v>
      </c>
      <c r="G1014">
        <v>1337.6070557</v>
      </c>
      <c r="H1014">
        <v>1335.7025146000001</v>
      </c>
      <c r="I1014">
        <v>1327.6063231999999</v>
      </c>
      <c r="J1014">
        <v>1326.2562256000001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419.17290400000002</v>
      </c>
      <c r="B1015" s="1">
        <f>DATE(2011,6,24) + TIME(4,8,58)</f>
        <v>40718.172893518517</v>
      </c>
      <c r="C1015">
        <v>80</v>
      </c>
      <c r="D1015">
        <v>79.954322814999998</v>
      </c>
      <c r="E1015">
        <v>50</v>
      </c>
      <c r="F1015">
        <v>46.757209778000004</v>
      </c>
      <c r="G1015">
        <v>1337.6020507999999</v>
      </c>
      <c r="H1015">
        <v>1335.7009277</v>
      </c>
      <c r="I1015">
        <v>1327.5917969</v>
      </c>
      <c r="J1015">
        <v>1326.2348632999999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420.31868100000003</v>
      </c>
      <c r="B1016" s="1">
        <f>DATE(2011,6,25) + TIME(7,38,54)</f>
        <v>40719.318680555552</v>
      </c>
      <c r="C1016">
        <v>80</v>
      </c>
      <c r="D1016">
        <v>79.954299926999994</v>
      </c>
      <c r="E1016">
        <v>50</v>
      </c>
      <c r="F1016">
        <v>46.710845947000003</v>
      </c>
      <c r="G1016">
        <v>1337.5969238</v>
      </c>
      <c r="H1016">
        <v>1335.6993408000001</v>
      </c>
      <c r="I1016">
        <v>1327.5771483999999</v>
      </c>
      <c r="J1016">
        <v>1326.2130127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421.47248999999999</v>
      </c>
      <c r="B1017" s="1">
        <f>DATE(2011,6,26) + TIME(11,20,23)</f>
        <v>40720.472488425927</v>
      </c>
      <c r="C1017">
        <v>80</v>
      </c>
      <c r="D1017">
        <v>79.954269409000005</v>
      </c>
      <c r="E1017">
        <v>50</v>
      </c>
      <c r="F1017">
        <v>46.664272308000001</v>
      </c>
      <c r="G1017">
        <v>1337.5919189000001</v>
      </c>
      <c r="H1017">
        <v>1335.6977539</v>
      </c>
      <c r="I1017">
        <v>1327.5625</v>
      </c>
      <c r="J1017">
        <v>1326.1911620999999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422.64677799999998</v>
      </c>
      <c r="B1018" s="1">
        <f>DATE(2011,6,27) + TIME(15,31,21)</f>
        <v>40721.646770833337</v>
      </c>
      <c r="C1018">
        <v>80</v>
      </c>
      <c r="D1018">
        <v>79.954246521000002</v>
      </c>
      <c r="E1018">
        <v>50</v>
      </c>
      <c r="F1018">
        <v>46.617259979000004</v>
      </c>
      <c r="G1018">
        <v>1337.5870361</v>
      </c>
      <c r="H1018">
        <v>1335.6961670000001</v>
      </c>
      <c r="I1018">
        <v>1327.5478516000001</v>
      </c>
      <c r="J1018">
        <v>1326.1691894999999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423.83594499999998</v>
      </c>
      <c r="B1019" s="1">
        <f>DATE(2011,6,28) + TIME(20,3,45)</f>
        <v>40722.8359375</v>
      </c>
      <c r="C1019">
        <v>80</v>
      </c>
      <c r="D1019">
        <v>79.954231261999993</v>
      </c>
      <c r="E1019">
        <v>50</v>
      </c>
      <c r="F1019">
        <v>46.569808960000003</v>
      </c>
      <c r="G1019">
        <v>1337.5821533000001</v>
      </c>
      <c r="H1019">
        <v>1335.6945800999999</v>
      </c>
      <c r="I1019">
        <v>1327.5329589999999</v>
      </c>
      <c r="J1019">
        <v>1326.1469727000001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425.03758399999998</v>
      </c>
      <c r="B1020" s="1">
        <f>DATE(2011,6,30) + TIME(0,54,7)</f>
        <v>40724.037581018521</v>
      </c>
      <c r="C1020">
        <v>80</v>
      </c>
      <c r="D1020">
        <v>79.954208374000004</v>
      </c>
      <c r="E1020">
        <v>50</v>
      </c>
      <c r="F1020">
        <v>46.521953582999998</v>
      </c>
      <c r="G1020">
        <v>1337.5772704999999</v>
      </c>
      <c r="H1020">
        <v>1335.6929932</v>
      </c>
      <c r="I1020">
        <v>1327.5180664</v>
      </c>
      <c r="J1020">
        <v>1326.1246338000001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426</v>
      </c>
      <c r="B1021" s="1">
        <f>DATE(2011,7,1) + TIME(0,0,0)</f>
        <v>40725</v>
      </c>
      <c r="C1021">
        <v>80</v>
      </c>
      <c r="D1021">
        <v>79.954185486</v>
      </c>
      <c r="E1021">
        <v>50</v>
      </c>
      <c r="F1021">
        <v>46.479301452999998</v>
      </c>
      <c r="G1021">
        <v>1337.5726318</v>
      </c>
      <c r="H1021">
        <v>1335.6915283000001</v>
      </c>
      <c r="I1021">
        <v>1327.5035399999999</v>
      </c>
      <c r="J1021">
        <v>1326.1027832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427.22080199999999</v>
      </c>
      <c r="B1022" s="1">
        <f>DATE(2011,7,2) + TIME(5,17,57)</f>
        <v>40726.22079861111</v>
      </c>
      <c r="C1022">
        <v>80</v>
      </c>
      <c r="D1022">
        <v>79.954177856000001</v>
      </c>
      <c r="E1022">
        <v>50</v>
      </c>
      <c r="F1022">
        <v>46.432994843000003</v>
      </c>
      <c r="G1022">
        <v>1337.5688477000001</v>
      </c>
      <c r="H1022">
        <v>1335.6901855000001</v>
      </c>
      <c r="I1022">
        <v>1327.4907227000001</v>
      </c>
      <c r="J1022">
        <v>1326.0831298999999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428.45771200000001</v>
      </c>
      <c r="B1023" s="1">
        <f>DATE(2011,7,3) + TIME(10,59,6)</f>
        <v>40727.457708333335</v>
      </c>
      <c r="C1023">
        <v>80</v>
      </c>
      <c r="D1023">
        <v>79.954162597999996</v>
      </c>
      <c r="E1023">
        <v>50</v>
      </c>
      <c r="F1023">
        <v>46.385166167999998</v>
      </c>
      <c r="G1023">
        <v>1337.5642089999999</v>
      </c>
      <c r="H1023">
        <v>1335.6887207</v>
      </c>
      <c r="I1023">
        <v>1327.4760742000001</v>
      </c>
      <c r="J1023">
        <v>1326.0610352000001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429.71366399999999</v>
      </c>
      <c r="B1024" s="1">
        <f>DATE(2011,7,4) + TIME(17,7,40)</f>
        <v>40728.71365740741</v>
      </c>
      <c r="C1024">
        <v>80</v>
      </c>
      <c r="D1024">
        <v>79.954154967999997</v>
      </c>
      <c r="E1024">
        <v>50</v>
      </c>
      <c r="F1024">
        <v>46.33625412</v>
      </c>
      <c r="G1024">
        <v>1337.5596923999999</v>
      </c>
      <c r="H1024">
        <v>1335.6871338000001</v>
      </c>
      <c r="I1024">
        <v>1327.4613036999999</v>
      </c>
      <c r="J1024">
        <v>1326.0385742000001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430.9957</v>
      </c>
      <c r="B1025" s="1">
        <f>DATE(2011,7,5) + TIME(23,53,48)</f>
        <v>40729.995694444442</v>
      </c>
      <c r="C1025">
        <v>80</v>
      </c>
      <c r="D1025">
        <v>79.954139709000003</v>
      </c>
      <c r="E1025">
        <v>50</v>
      </c>
      <c r="F1025">
        <v>46.286369323999999</v>
      </c>
      <c r="G1025">
        <v>1337.5551757999999</v>
      </c>
      <c r="H1025">
        <v>1335.6855469</v>
      </c>
      <c r="I1025">
        <v>1327.4462891000001</v>
      </c>
      <c r="J1025">
        <v>1326.0158690999999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432.28709300000003</v>
      </c>
      <c r="B1026" s="1">
        <f>DATE(2011,7,7) + TIME(6,53,24)</f>
        <v>40731.287083333336</v>
      </c>
      <c r="C1026">
        <v>80</v>
      </c>
      <c r="D1026">
        <v>79.954132079999994</v>
      </c>
      <c r="E1026">
        <v>50</v>
      </c>
      <c r="F1026">
        <v>46.235904693999998</v>
      </c>
      <c r="G1026">
        <v>1337.5506591999999</v>
      </c>
      <c r="H1026">
        <v>1335.684082</v>
      </c>
      <c r="I1026">
        <v>1327.4312743999999</v>
      </c>
      <c r="J1026">
        <v>1325.9926757999999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433.589246</v>
      </c>
      <c r="B1027" s="1">
        <f>DATE(2011,7,8) + TIME(14,8,30)</f>
        <v>40732.589236111111</v>
      </c>
      <c r="C1027">
        <v>80</v>
      </c>
      <c r="D1027">
        <v>79.954124450999998</v>
      </c>
      <c r="E1027">
        <v>50</v>
      </c>
      <c r="F1027">
        <v>46.185104369999998</v>
      </c>
      <c r="G1027">
        <v>1337.5461425999999</v>
      </c>
      <c r="H1027">
        <v>1335.6824951000001</v>
      </c>
      <c r="I1027">
        <v>1327.4161377</v>
      </c>
      <c r="J1027">
        <v>1325.9694824000001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434.91025100000002</v>
      </c>
      <c r="B1028" s="1">
        <f>DATE(2011,7,9) + TIME(21,50,45)</f>
        <v>40733.910243055558</v>
      </c>
      <c r="C1028">
        <v>80</v>
      </c>
      <c r="D1028">
        <v>79.954116821</v>
      </c>
      <c r="E1028">
        <v>50</v>
      </c>
      <c r="F1028">
        <v>46.134002686000002</v>
      </c>
      <c r="G1028">
        <v>1337.5417480000001</v>
      </c>
      <c r="H1028">
        <v>1335.6809082</v>
      </c>
      <c r="I1028">
        <v>1327.4011230000001</v>
      </c>
      <c r="J1028">
        <v>1325.9462891000001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436.23944599999999</v>
      </c>
      <c r="B1029" s="1">
        <f>DATE(2011,7,11) + TIME(5,44,48)</f>
        <v>40735.239444444444</v>
      </c>
      <c r="C1029">
        <v>80</v>
      </c>
      <c r="D1029">
        <v>79.954116821</v>
      </c>
      <c r="E1029">
        <v>50</v>
      </c>
      <c r="F1029">
        <v>46.082912444999998</v>
      </c>
      <c r="G1029">
        <v>1337.5373535000001</v>
      </c>
      <c r="H1029">
        <v>1335.6794434000001</v>
      </c>
      <c r="I1029">
        <v>1327.3861084</v>
      </c>
      <c r="J1029">
        <v>1325.9228516000001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437.59098499999999</v>
      </c>
      <c r="B1030" s="1">
        <f>DATE(2011,7,12) + TIME(14,11,1)</f>
        <v>40736.590983796297</v>
      </c>
      <c r="C1030">
        <v>80</v>
      </c>
      <c r="D1030">
        <v>79.954116821</v>
      </c>
      <c r="E1030">
        <v>50</v>
      </c>
      <c r="F1030">
        <v>46.031894684000001</v>
      </c>
      <c r="G1030">
        <v>1337.5330810999999</v>
      </c>
      <c r="H1030">
        <v>1335.6778564000001</v>
      </c>
      <c r="I1030">
        <v>1327.3712158000001</v>
      </c>
      <c r="J1030">
        <v>1325.8995361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438.969537</v>
      </c>
      <c r="B1031" s="1">
        <f>DATE(2011,7,13) + TIME(23,16,7)</f>
        <v>40737.969525462962</v>
      </c>
      <c r="C1031">
        <v>80</v>
      </c>
      <c r="D1031">
        <v>79.954116821</v>
      </c>
      <c r="E1031">
        <v>50</v>
      </c>
      <c r="F1031">
        <v>45.981067656999997</v>
      </c>
      <c r="G1031">
        <v>1337.5288086</v>
      </c>
      <c r="H1031">
        <v>1335.6762695</v>
      </c>
      <c r="I1031">
        <v>1327.3562012</v>
      </c>
      <c r="J1031">
        <v>1325.8759766000001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440.35033099999998</v>
      </c>
      <c r="B1032" s="1">
        <f>DATE(2011,7,15) + TIME(8,24,28)</f>
        <v>40739.350324074076</v>
      </c>
      <c r="C1032">
        <v>80</v>
      </c>
      <c r="D1032">
        <v>79.954116821</v>
      </c>
      <c r="E1032">
        <v>50</v>
      </c>
      <c r="F1032">
        <v>45.931167602999999</v>
      </c>
      <c r="G1032">
        <v>1337.5245361</v>
      </c>
      <c r="H1032">
        <v>1335.6746826000001</v>
      </c>
      <c r="I1032">
        <v>1327.3413086</v>
      </c>
      <c r="J1032">
        <v>1325.8522949000001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441.74696999999998</v>
      </c>
      <c r="B1033" s="1">
        <f>DATE(2011,7,16) + TIME(17,55,38)</f>
        <v>40740.746967592589</v>
      </c>
      <c r="C1033">
        <v>80</v>
      </c>
      <c r="D1033">
        <v>79.954116821</v>
      </c>
      <c r="E1033">
        <v>50</v>
      </c>
      <c r="F1033">
        <v>45.882698058999999</v>
      </c>
      <c r="G1033">
        <v>1337.5203856999999</v>
      </c>
      <c r="H1033">
        <v>1335.6730957</v>
      </c>
      <c r="I1033">
        <v>1327.3266602000001</v>
      </c>
      <c r="J1033">
        <v>1325.8287353999999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443.16497500000003</v>
      </c>
      <c r="B1034" s="1">
        <f>DATE(2011,7,18) + TIME(3,57,33)</f>
        <v>40742.164965277778</v>
      </c>
      <c r="C1034">
        <v>80</v>
      </c>
      <c r="D1034">
        <v>79.954124450999998</v>
      </c>
      <c r="E1034">
        <v>50</v>
      </c>
      <c r="F1034">
        <v>45.836231232000003</v>
      </c>
      <c r="G1034">
        <v>1337.5162353999999</v>
      </c>
      <c r="H1034">
        <v>1335.6716309000001</v>
      </c>
      <c r="I1034">
        <v>1327.3120117000001</v>
      </c>
      <c r="J1034">
        <v>1325.8052978999999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444.59537899999998</v>
      </c>
      <c r="B1035" s="1">
        <f>DATE(2011,7,19) + TIME(14,17,20)</f>
        <v>40743.595370370371</v>
      </c>
      <c r="C1035">
        <v>80</v>
      </c>
      <c r="D1035">
        <v>79.954132079999994</v>
      </c>
      <c r="E1035">
        <v>50</v>
      </c>
      <c r="F1035">
        <v>45.792701721</v>
      </c>
      <c r="G1035">
        <v>1337.5120850000001</v>
      </c>
      <c r="H1035">
        <v>1335.6700439000001</v>
      </c>
      <c r="I1035">
        <v>1327.2976074000001</v>
      </c>
      <c r="J1035">
        <v>1325.7817382999999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446.053832</v>
      </c>
      <c r="B1036" s="1">
        <f>DATE(2011,7,21) + TIME(1,17,31)</f>
        <v>40745.053831018522</v>
      </c>
      <c r="C1036">
        <v>80</v>
      </c>
      <c r="D1036">
        <v>79.954139709000003</v>
      </c>
      <c r="E1036">
        <v>50</v>
      </c>
      <c r="F1036">
        <v>45.753028870000001</v>
      </c>
      <c r="G1036">
        <v>1337.5080565999999</v>
      </c>
      <c r="H1036">
        <v>1335.668457</v>
      </c>
      <c r="I1036">
        <v>1327.2833252</v>
      </c>
      <c r="J1036">
        <v>1325.7583007999999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447.52842600000002</v>
      </c>
      <c r="B1037" s="1">
        <f>DATE(2011,7,22) + TIME(12,40,55)</f>
        <v>40746.528414351851</v>
      </c>
      <c r="C1037">
        <v>80</v>
      </c>
      <c r="D1037">
        <v>79.954147339000002</v>
      </c>
      <c r="E1037">
        <v>50</v>
      </c>
      <c r="F1037">
        <v>45.718574523999997</v>
      </c>
      <c r="G1037">
        <v>1337.5039062000001</v>
      </c>
      <c r="H1037">
        <v>1335.6668701000001</v>
      </c>
      <c r="I1037">
        <v>1327.2691649999999</v>
      </c>
      <c r="J1037">
        <v>1325.7348632999999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449.009997</v>
      </c>
      <c r="B1038" s="1">
        <f>DATE(2011,7,24) + TIME(0,14,23)</f>
        <v>40748.009988425925</v>
      </c>
      <c r="C1038">
        <v>80</v>
      </c>
      <c r="D1038">
        <v>79.954154967999997</v>
      </c>
      <c r="E1038">
        <v>50</v>
      </c>
      <c r="F1038">
        <v>45.691165924000003</v>
      </c>
      <c r="G1038">
        <v>1337.4998779</v>
      </c>
      <c r="H1038">
        <v>1335.6652832</v>
      </c>
      <c r="I1038">
        <v>1327.255249</v>
      </c>
      <c r="J1038">
        <v>1325.7115478999999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450.51525199999998</v>
      </c>
      <c r="B1039" s="1">
        <f>DATE(2011,7,25) + TIME(12,21,57)</f>
        <v>40749.515243055554</v>
      </c>
      <c r="C1039">
        <v>80</v>
      </c>
      <c r="D1039">
        <v>79.954170227000006</v>
      </c>
      <c r="E1039">
        <v>50</v>
      </c>
      <c r="F1039">
        <v>45.672557830999999</v>
      </c>
      <c r="G1039">
        <v>1337.4959716999999</v>
      </c>
      <c r="H1039">
        <v>1335.6636963000001</v>
      </c>
      <c r="I1039">
        <v>1327.2416992000001</v>
      </c>
      <c r="J1039">
        <v>1325.6885986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452.03913499999999</v>
      </c>
      <c r="B1040" s="1">
        <f>DATE(2011,7,27) + TIME(0,56,21)</f>
        <v>40751.039131944446</v>
      </c>
      <c r="C1040">
        <v>80</v>
      </c>
      <c r="D1040">
        <v>79.954185486</v>
      </c>
      <c r="E1040">
        <v>50</v>
      </c>
      <c r="F1040">
        <v>45.664951324</v>
      </c>
      <c r="G1040">
        <v>1337.4919434000001</v>
      </c>
      <c r="H1040">
        <v>1335.6621094</v>
      </c>
      <c r="I1040">
        <v>1327.2285156</v>
      </c>
      <c r="J1040">
        <v>1325.6657714999999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453.582945</v>
      </c>
      <c r="B1041" s="1">
        <f>DATE(2011,7,28) + TIME(13,59,26)</f>
        <v>40752.582939814813</v>
      </c>
      <c r="C1041">
        <v>80</v>
      </c>
      <c r="D1041">
        <v>79.954200744999994</v>
      </c>
      <c r="E1041">
        <v>50</v>
      </c>
      <c r="F1041">
        <v>45.670860290999997</v>
      </c>
      <c r="G1041">
        <v>1337.4880370999999</v>
      </c>
      <c r="H1041">
        <v>1335.6605225000001</v>
      </c>
      <c r="I1041">
        <v>1327.2155762</v>
      </c>
      <c r="J1041">
        <v>1325.6433105000001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455.147988</v>
      </c>
      <c r="B1042" s="1">
        <f>DATE(2011,7,30) + TIME(3,33,6)</f>
        <v>40754.147986111115</v>
      </c>
      <c r="C1042">
        <v>80</v>
      </c>
      <c r="D1042">
        <v>79.954216002999999</v>
      </c>
      <c r="E1042">
        <v>50</v>
      </c>
      <c r="F1042">
        <v>45.693164824999997</v>
      </c>
      <c r="G1042">
        <v>1337.4841309000001</v>
      </c>
      <c r="H1042">
        <v>1335.6589355000001</v>
      </c>
      <c r="I1042">
        <v>1327.2030029</v>
      </c>
      <c r="J1042">
        <v>1325.6210937999999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456.73001299999999</v>
      </c>
      <c r="B1043" s="1">
        <f>DATE(2011,7,31) + TIME(17,31,13)</f>
        <v>40755.730011574073</v>
      </c>
      <c r="C1043">
        <v>80</v>
      </c>
      <c r="D1043">
        <v>79.954238892000006</v>
      </c>
      <c r="E1043">
        <v>50</v>
      </c>
      <c r="F1043">
        <v>45.735172272</v>
      </c>
      <c r="G1043">
        <v>1337.4802245999999</v>
      </c>
      <c r="H1043">
        <v>1335.6573486</v>
      </c>
      <c r="I1043">
        <v>1327.190918</v>
      </c>
      <c r="J1043">
        <v>1325.5993652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457</v>
      </c>
      <c r="B1044" s="1">
        <f>DATE(2011,8,1) + TIME(0,0,0)</f>
        <v>40756</v>
      </c>
      <c r="C1044">
        <v>80</v>
      </c>
      <c r="D1044">
        <v>79.954223632999998</v>
      </c>
      <c r="E1044">
        <v>50</v>
      </c>
      <c r="F1044">
        <v>45.757026672000002</v>
      </c>
      <c r="G1044">
        <v>1337.4764404</v>
      </c>
      <c r="H1044">
        <v>1335.6557617000001</v>
      </c>
      <c r="I1044">
        <v>1327.1818848</v>
      </c>
      <c r="J1044">
        <v>1325.5819091999999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458.59819299999998</v>
      </c>
      <c r="B1045" s="1">
        <f>DATE(2011,8,2) + TIME(14,21,23)</f>
        <v>40757.598182870373</v>
      </c>
      <c r="C1045">
        <v>80</v>
      </c>
      <c r="D1045">
        <v>79.954254149999997</v>
      </c>
      <c r="E1045">
        <v>50</v>
      </c>
      <c r="F1045">
        <v>45.820117949999997</v>
      </c>
      <c r="G1045">
        <v>1337.4757079999999</v>
      </c>
      <c r="H1045">
        <v>1335.6553954999999</v>
      </c>
      <c r="I1045">
        <v>1327.1761475000001</v>
      </c>
      <c r="J1045">
        <v>1325.572876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460.23183599999999</v>
      </c>
      <c r="B1046" s="1">
        <f>DATE(2011,8,4) + TIME(5,33,50)</f>
        <v>40759.231828703705</v>
      </c>
      <c r="C1046">
        <v>80</v>
      </c>
      <c r="D1046">
        <v>79.954284668</v>
      </c>
      <c r="E1046">
        <v>50</v>
      </c>
      <c r="F1046">
        <v>45.914825438999998</v>
      </c>
      <c r="G1046">
        <v>1337.4718018000001</v>
      </c>
      <c r="H1046">
        <v>1335.6538086</v>
      </c>
      <c r="I1046">
        <v>1327.1658935999999</v>
      </c>
      <c r="J1046">
        <v>1325.5537108999999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461.87729000000002</v>
      </c>
      <c r="B1047" s="1">
        <f>DATE(2011,8,5) + TIME(21,3,17)</f>
        <v>40760.877280092594</v>
      </c>
      <c r="C1047">
        <v>80</v>
      </c>
      <c r="D1047">
        <v>79.954307556000003</v>
      </c>
      <c r="E1047">
        <v>50</v>
      </c>
      <c r="F1047">
        <v>46.042713165000002</v>
      </c>
      <c r="G1047">
        <v>1337.4680175999999</v>
      </c>
      <c r="H1047">
        <v>1335.6520995999999</v>
      </c>
      <c r="I1047">
        <v>1327.1556396000001</v>
      </c>
      <c r="J1047">
        <v>1325.5344238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463.54803600000002</v>
      </c>
      <c r="B1048" s="1">
        <f>DATE(2011,8,7) + TIME(13,9,10)</f>
        <v>40762.548032407409</v>
      </c>
      <c r="C1048">
        <v>80</v>
      </c>
      <c r="D1048">
        <v>79.954330443999993</v>
      </c>
      <c r="E1048">
        <v>50</v>
      </c>
      <c r="F1048">
        <v>46.206348419000001</v>
      </c>
      <c r="G1048">
        <v>1337.4642334</v>
      </c>
      <c r="H1048">
        <v>1335.6505127</v>
      </c>
      <c r="I1048">
        <v>1327.1457519999999</v>
      </c>
      <c r="J1048">
        <v>1325.5158690999999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464.39460200000002</v>
      </c>
      <c r="B1049" s="1">
        <f>DATE(2011,8,8) + TIME(9,28,13)</f>
        <v>40763.394594907404</v>
      </c>
      <c r="C1049">
        <v>80</v>
      </c>
      <c r="D1049">
        <v>79.954330443999993</v>
      </c>
      <c r="E1049">
        <v>50</v>
      </c>
      <c r="F1049">
        <v>46.353260040000002</v>
      </c>
      <c r="G1049">
        <v>1337.4604492000001</v>
      </c>
      <c r="H1049">
        <v>1335.6488036999999</v>
      </c>
      <c r="I1049">
        <v>1327.1380615</v>
      </c>
      <c r="J1049">
        <v>1325.4995117000001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466.045907</v>
      </c>
      <c r="B1050" s="1">
        <f>DATE(2011,8,10) + TIME(1,6,6)</f>
        <v>40765.045902777776</v>
      </c>
      <c r="C1050">
        <v>80</v>
      </c>
      <c r="D1050">
        <v>79.954360961999996</v>
      </c>
      <c r="E1050">
        <v>50</v>
      </c>
      <c r="F1050">
        <v>46.546211243000002</v>
      </c>
      <c r="G1050">
        <v>1337.4584961</v>
      </c>
      <c r="H1050">
        <v>1335.6479492000001</v>
      </c>
      <c r="I1050">
        <v>1327.1306152</v>
      </c>
      <c r="J1050">
        <v>1325.4876709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467.70138800000001</v>
      </c>
      <c r="B1051" s="1">
        <f>DATE(2011,8,11) + TIME(16,49,59)</f>
        <v>40766.701377314814</v>
      </c>
      <c r="C1051">
        <v>80</v>
      </c>
      <c r="D1051">
        <v>79.954391478999995</v>
      </c>
      <c r="E1051">
        <v>50</v>
      </c>
      <c r="F1051">
        <v>46.800750731999997</v>
      </c>
      <c r="G1051">
        <v>1337.4548339999999</v>
      </c>
      <c r="H1051">
        <v>1335.6463623</v>
      </c>
      <c r="I1051">
        <v>1327.1230469</v>
      </c>
      <c r="J1051">
        <v>1325.4729004000001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469.39217400000001</v>
      </c>
      <c r="B1052" s="1">
        <f>DATE(2011,8,13) + TIME(9,24,43)</f>
        <v>40768.392164351855</v>
      </c>
      <c r="C1052">
        <v>80</v>
      </c>
      <c r="D1052">
        <v>79.954421996999997</v>
      </c>
      <c r="E1052">
        <v>50</v>
      </c>
      <c r="F1052">
        <v>47.094703674000002</v>
      </c>
      <c r="G1052">
        <v>1337.4512939000001</v>
      </c>
      <c r="H1052">
        <v>1335.6446533000001</v>
      </c>
      <c r="I1052">
        <v>1327.1157227000001</v>
      </c>
      <c r="J1052">
        <v>1325.4587402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471.13921699999997</v>
      </c>
      <c r="B1053" s="1">
        <f>DATE(2011,8,15) + TIME(3,20,28)</f>
        <v>40770.13921296296</v>
      </c>
      <c r="C1053">
        <v>80</v>
      </c>
      <c r="D1053">
        <v>79.954452515</v>
      </c>
      <c r="E1053">
        <v>50</v>
      </c>
      <c r="F1053">
        <v>47.431724547999998</v>
      </c>
      <c r="G1053">
        <v>1337.4476318</v>
      </c>
      <c r="H1053">
        <v>1335.6430664</v>
      </c>
      <c r="I1053">
        <v>1327.1086425999999</v>
      </c>
      <c r="J1053">
        <v>1325.4453125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472.91726399999999</v>
      </c>
      <c r="B1054" s="1">
        <f>DATE(2011,8,16) + TIME(22,0,51)</f>
        <v>40771.917256944442</v>
      </c>
      <c r="C1054">
        <v>80</v>
      </c>
      <c r="D1054">
        <v>79.954490661999998</v>
      </c>
      <c r="E1054">
        <v>50</v>
      </c>
      <c r="F1054">
        <v>47.814918517999999</v>
      </c>
      <c r="G1054">
        <v>1337.4439697</v>
      </c>
      <c r="H1054">
        <v>1335.6413574000001</v>
      </c>
      <c r="I1054">
        <v>1327.1020507999999</v>
      </c>
      <c r="J1054">
        <v>1325.4327393000001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474.71304900000001</v>
      </c>
      <c r="B1055" s="1">
        <f>DATE(2011,8,18) + TIME(17,6,47)</f>
        <v>40773.713043981479</v>
      </c>
      <c r="C1055">
        <v>80</v>
      </c>
      <c r="D1055">
        <v>79.954521178999997</v>
      </c>
      <c r="E1055">
        <v>50</v>
      </c>
      <c r="F1055">
        <v>48.241069793999998</v>
      </c>
      <c r="G1055">
        <v>1337.4403076000001</v>
      </c>
      <c r="H1055">
        <v>1335.6396483999999</v>
      </c>
      <c r="I1055">
        <v>1327.0959473</v>
      </c>
      <c r="J1055">
        <v>1325.4211425999999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476.56968899999998</v>
      </c>
      <c r="B1056" s="1">
        <f>DATE(2011,8,20) + TIME(13,40,21)</f>
        <v>40775.569687499999</v>
      </c>
      <c r="C1056">
        <v>80</v>
      </c>
      <c r="D1056">
        <v>79.954559325999995</v>
      </c>
      <c r="E1056">
        <v>50</v>
      </c>
      <c r="F1056">
        <v>48.707035064999999</v>
      </c>
      <c r="G1056">
        <v>1337.4366454999999</v>
      </c>
      <c r="H1056">
        <v>1335.6380615</v>
      </c>
      <c r="I1056">
        <v>1327.0902100000001</v>
      </c>
      <c r="J1056">
        <v>1325.4106445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478.46170100000001</v>
      </c>
      <c r="B1057" s="1">
        <f>DATE(2011,8,22) + TIME(11,4,50)</f>
        <v>40777.461689814816</v>
      </c>
      <c r="C1057">
        <v>80</v>
      </c>
      <c r="D1057">
        <v>79.954597473000007</v>
      </c>
      <c r="E1057">
        <v>50</v>
      </c>
      <c r="F1057">
        <v>49.207977294999999</v>
      </c>
      <c r="G1057">
        <v>1337.4329834</v>
      </c>
      <c r="H1057">
        <v>1335.6363524999999</v>
      </c>
      <c r="I1057">
        <v>1327.0849608999999</v>
      </c>
      <c r="J1057">
        <v>1325.4011230000001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480.37582099999997</v>
      </c>
      <c r="B1058" s="1">
        <f>DATE(2011,8,24) + TIME(9,1,10)</f>
        <v>40779.375810185185</v>
      </c>
      <c r="C1058">
        <v>80</v>
      </c>
      <c r="D1058">
        <v>79.954635620000005</v>
      </c>
      <c r="E1058">
        <v>50</v>
      </c>
      <c r="F1058">
        <v>49.733882903999998</v>
      </c>
      <c r="G1058">
        <v>1337.4293213000001</v>
      </c>
      <c r="H1058">
        <v>1335.6346435999999</v>
      </c>
      <c r="I1058">
        <v>1327.0802002</v>
      </c>
      <c r="J1058">
        <v>1325.3927002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482.32010600000001</v>
      </c>
      <c r="B1059" s="1">
        <f>DATE(2011,8,26) + TIME(7,40,57)</f>
        <v>40781.320104166669</v>
      </c>
      <c r="C1059">
        <v>80</v>
      </c>
      <c r="D1059">
        <v>79.954673767000003</v>
      </c>
      <c r="E1059">
        <v>50</v>
      </c>
      <c r="F1059">
        <v>50.275791167999998</v>
      </c>
      <c r="G1059">
        <v>1337.4256591999999</v>
      </c>
      <c r="H1059">
        <v>1335.6329346</v>
      </c>
      <c r="I1059">
        <v>1327.0759277</v>
      </c>
      <c r="J1059">
        <v>1325.3852539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484.29172599999998</v>
      </c>
      <c r="B1060" s="1">
        <f>DATE(2011,8,28) + TIME(7,0,5)</f>
        <v>40783.291724537034</v>
      </c>
      <c r="C1060">
        <v>80</v>
      </c>
      <c r="D1060">
        <v>79.954711914000001</v>
      </c>
      <c r="E1060">
        <v>50</v>
      </c>
      <c r="F1060">
        <v>50.827259064000003</v>
      </c>
      <c r="G1060">
        <v>1337.4219971</v>
      </c>
      <c r="H1060">
        <v>1335.6312256000001</v>
      </c>
      <c r="I1060">
        <v>1327.0721435999999</v>
      </c>
      <c r="J1060">
        <v>1325.3786620999999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486.29705899999999</v>
      </c>
      <c r="B1061" s="1">
        <f>DATE(2011,8,30) + TIME(7,7,45)</f>
        <v>40785.297048611108</v>
      </c>
      <c r="C1061">
        <v>80</v>
      </c>
      <c r="D1061">
        <v>79.954757689999994</v>
      </c>
      <c r="E1061">
        <v>50</v>
      </c>
      <c r="F1061">
        <v>51.383213042999998</v>
      </c>
      <c r="G1061">
        <v>1337.418457</v>
      </c>
      <c r="H1061">
        <v>1335.6295166</v>
      </c>
      <c r="I1061">
        <v>1327.0688477000001</v>
      </c>
      <c r="J1061">
        <v>1325.3729248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488</v>
      </c>
      <c r="B1062" s="1">
        <f>DATE(2011,9,1) + TIME(0,0,0)</f>
        <v>40787</v>
      </c>
      <c r="C1062">
        <v>80</v>
      </c>
      <c r="D1062">
        <v>79.954788207999997</v>
      </c>
      <c r="E1062">
        <v>50</v>
      </c>
      <c r="F1062">
        <v>51.907409668</v>
      </c>
      <c r="G1062">
        <v>1337.4149170000001</v>
      </c>
      <c r="H1062">
        <v>1335.6278076000001</v>
      </c>
      <c r="I1062">
        <v>1327.0664062000001</v>
      </c>
      <c r="J1062">
        <v>1325.3680420000001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490.04008599999997</v>
      </c>
      <c r="B1063" s="1">
        <f>DATE(2011,9,3) + TIME(0,57,43)</f>
        <v>40789.040081018517</v>
      </c>
      <c r="C1063">
        <v>80</v>
      </c>
      <c r="D1063">
        <v>79.954841614000003</v>
      </c>
      <c r="E1063">
        <v>50</v>
      </c>
      <c r="F1063">
        <v>52.416114807</v>
      </c>
      <c r="G1063">
        <v>1337.4119873</v>
      </c>
      <c r="H1063">
        <v>1335.6264647999999</v>
      </c>
      <c r="I1063">
        <v>1327.0634766000001</v>
      </c>
      <c r="J1063">
        <v>1325.3642577999999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492.13919700000002</v>
      </c>
      <c r="B1064" s="1">
        <f>DATE(2011,9,5) + TIME(3,20,26)</f>
        <v>40791.139189814814</v>
      </c>
      <c r="C1064">
        <v>80</v>
      </c>
      <c r="D1064">
        <v>79.954887389999996</v>
      </c>
      <c r="E1064">
        <v>50</v>
      </c>
      <c r="F1064">
        <v>52.944362640000001</v>
      </c>
      <c r="G1064">
        <v>1337.4083252</v>
      </c>
      <c r="H1064">
        <v>1335.6247559000001</v>
      </c>
      <c r="I1064">
        <v>1327.0615233999999</v>
      </c>
      <c r="J1064">
        <v>1325.3603516000001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494.26702799999998</v>
      </c>
      <c r="B1065" s="1">
        <f>DATE(2011,9,7) + TIME(6,24,31)</f>
        <v>40793.267025462963</v>
      </c>
      <c r="C1065">
        <v>80</v>
      </c>
      <c r="D1065">
        <v>79.954933166999993</v>
      </c>
      <c r="E1065">
        <v>50</v>
      </c>
      <c r="F1065">
        <v>53.472415924000003</v>
      </c>
      <c r="G1065">
        <v>1337.4046631000001</v>
      </c>
      <c r="H1065">
        <v>1335.6230469</v>
      </c>
      <c r="I1065">
        <v>1327.0596923999999</v>
      </c>
      <c r="J1065">
        <v>1325.3570557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496.43988400000001</v>
      </c>
      <c r="B1066" s="1">
        <f>DATE(2011,9,9) + TIME(10,33,25)</f>
        <v>40795.439872685187</v>
      </c>
      <c r="C1066">
        <v>80</v>
      </c>
      <c r="D1066">
        <v>79.954978943</v>
      </c>
      <c r="E1066">
        <v>50</v>
      </c>
      <c r="F1066">
        <v>53.991260529000002</v>
      </c>
      <c r="G1066">
        <v>1337.4011230000001</v>
      </c>
      <c r="H1066">
        <v>1335.6212158000001</v>
      </c>
      <c r="I1066">
        <v>1327.0582274999999</v>
      </c>
      <c r="J1066">
        <v>1325.354126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498.64228600000001</v>
      </c>
      <c r="B1067" s="1">
        <f>DATE(2011,9,11) + TIME(15,24,53)</f>
        <v>40797.642280092594</v>
      </c>
      <c r="C1067">
        <v>80</v>
      </c>
      <c r="D1067">
        <v>79.955032349000007</v>
      </c>
      <c r="E1067">
        <v>50</v>
      </c>
      <c r="F1067">
        <v>54.498645781999997</v>
      </c>
      <c r="G1067">
        <v>1337.3975829999999</v>
      </c>
      <c r="H1067">
        <v>1335.6196289</v>
      </c>
      <c r="I1067">
        <v>1327.0571289</v>
      </c>
      <c r="J1067">
        <v>1325.3518065999999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500.89155899999997</v>
      </c>
      <c r="B1068" s="1">
        <f>DATE(2011,9,13) + TIME(21,23,50)</f>
        <v>40799.891550925924</v>
      </c>
      <c r="C1068">
        <v>80</v>
      </c>
      <c r="D1068">
        <v>79.955085753999995</v>
      </c>
      <c r="E1068">
        <v>50</v>
      </c>
      <c r="F1068">
        <v>54.993148804</v>
      </c>
      <c r="G1068">
        <v>1337.394043</v>
      </c>
      <c r="H1068">
        <v>1335.6179199000001</v>
      </c>
      <c r="I1068">
        <v>1327.0561522999999</v>
      </c>
      <c r="J1068">
        <v>1325.3497314000001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503.17461400000002</v>
      </c>
      <c r="B1069" s="1">
        <f>DATE(2011,9,16) + TIME(4,11,26)</f>
        <v>40802.17460648148</v>
      </c>
      <c r="C1069">
        <v>80</v>
      </c>
      <c r="D1069">
        <v>79.955139160000002</v>
      </c>
      <c r="E1069">
        <v>50</v>
      </c>
      <c r="F1069">
        <v>55.474822998</v>
      </c>
      <c r="G1069">
        <v>1337.390625</v>
      </c>
      <c r="H1069">
        <v>1335.6163329999999</v>
      </c>
      <c r="I1069">
        <v>1327.0555420000001</v>
      </c>
      <c r="J1069">
        <v>1325.3479004000001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505.50378000000001</v>
      </c>
      <c r="B1070" s="1">
        <f>DATE(2011,9,18) + TIME(12,5,26)</f>
        <v>40804.50377314815</v>
      </c>
      <c r="C1070">
        <v>80</v>
      </c>
      <c r="D1070">
        <v>79.955192565999994</v>
      </c>
      <c r="E1070">
        <v>50</v>
      </c>
      <c r="F1070">
        <v>55.942699431999998</v>
      </c>
      <c r="G1070">
        <v>1337.387207</v>
      </c>
      <c r="H1070">
        <v>1335.6147461</v>
      </c>
      <c r="I1070">
        <v>1327.0550536999999</v>
      </c>
      <c r="J1070">
        <v>1325.3464355000001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507.866851</v>
      </c>
      <c r="B1071" s="1">
        <f>DATE(2011,9,20) + TIME(20,48,15)</f>
        <v>40806.866840277777</v>
      </c>
      <c r="C1071">
        <v>80</v>
      </c>
      <c r="D1071">
        <v>79.955253600999995</v>
      </c>
      <c r="E1071">
        <v>50</v>
      </c>
      <c r="F1071">
        <v>56.396064758000001</v>
      </c>
      <c r="G1071">
        <v>1337.3837891000001</v>
      </c>
      <c r="H1071">
        <v>1335.6131591999999</v>
      </c>
      <c r="I1071">
        <v>1327.0548096</v>
      </c>
      <c r="J1071">
        <v>1325.3450928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510.26392399999997</v>
      </c>
      <c r="B1072" s="1">
        <f>DATE(2011,9,23) + TIME(6,20,3)</f>
        <v>40809.263923611114</v>
      </c>
      <c r="C1072">
        <v>80</v>
      </c>
      <c r="D1072">
        <v>79.955307007000002</v>
      </c>
      <c r="E1072">
        <v>50</v>
      </c>
      <c r="F1072">
        <v>56.832668304000002</v>
      </c>
      <c r="G1072">
        <v>1337.3804932</v>
      </c>
      <c r="H1072">
        <v>1335.6115723</v>
      </c>
      <c r="I1072">
        <v>1327.0545654</v>
      </c>
      <c r="J1072">
        <v>1325.3439940999999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512.71228799999994</v>
      </c>
      <c r="B1073" s="1">
        <f>DATE(2011,9,25) + TIME(17,5,41)</f>
        <v>40811.712280092594</v>
      </c>
      <c r="C1073">
        <v>80</v>
      </c>
      <c r="D1073">
        <v>79.955368042000003</v>
      </c>
      <c r="E1073">
        <v>50</v>
      </c>
      <c r="F1073">
        <v>57.253734588999997</v>
      </c>
      <c r="G1073">
        <v>1337.3773193</v>
      </c>
      <c r="H1073">
        <v>1335.6101074000001</v>
      </c>
      <c r="I1073">
        <v>1327.0545654</v>
      </c>
      <c r="J1073">
        <v>1325.3428954999999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515.19893999999999</v>
      </c>
      <c r="B1074" s="1">
        <f>DATE(2011,9,28) + TIME(4,46,28)</f>
        <v>40814.198935185188</v>
      </c>
      <c r="C1074">
        <v>80</v>
      </c>
      <c r="D1074">
        <v>79.955429077000005</v>
      </c>
      <c r="E1074">
        <v>50</v>
      </c>
      <c r="F1074">
        <v>57.659523010000001</v>
      </c>
      <c r="G1074">
        <v>1337.3740233999999</v>
      </c>
      <c r="H1074">
        <v>1335.6086425999999</v>
      </c>
      <c r="I1074">
        <v>1327.0546875</v>
      </c>
      <c r="J1074">
        <v>1325.3419189000001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517.73367099999996</v>
      </c>
      <c r="B1075" s="1">
        <f>DATE(2011,9,30) + TIME(17,36,29)</f>
        <v>40816.733668981484</v>
      </c>
      <c r="C1075">
        <v>80</v>
      </c>
      <c r="D1075">
        <v>79.955497742000006</v>
      </c>
      <c r="E1075">
        <v>50</v>
      </c>
      <c r="F1075">
        <v>58.049968718999999</v>
      </c>
      <c r="G1075">
        <v>1337.3708495999999</v>
      </c>
      <c r="H1075">
        <v>1335.6071777</v>
      </c>
      <c r="I1075">
        <v>1327.0548096</v>
      </c>
      <c r="J1075">
        <v>1325.3410644999999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518</v>
      </c>
      <c r="B1076" s="1">
        <f>DATE(2011,10,1) + TIME(0,0,0)</f>
        <v>40817</v>
      </c>
      <c r="C1076">
        <v>80</v>
      </c>
      <c r="D1076">
        <v>79.955490112000007</v>
      </c>
      <c r="E1076">
        <v>50</v>
      </c>
      <c r="F1076">
        <v>58.173038482999999</v>
      </c>
      <c r="G1076">
        <v>1337.3677978999999</v>
      </c>
      <c r="H1076">
        <v>1335.6058350000001</v>
      </c>
      <c r="I1076">
        <v>1327.0592041</v>
      </c>
      <c r="J1076">
        <v>1325.3415527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520.56829500000003</v>
      </c>
      <c r="B1077" s="1">
        <f>DATE(2011,10,3) + TIME(13,38,20)</f>
        <v>40819.568287037036</v>
      </c>
      <c r="C1077">
        <v>80</v>
      </c>
      <c r="D1077">
        <v>79.955566406000003</v>
      </c>
      <c r="E1077">
        <v>50</v>
      </c>
      <c r="F1077">
        <v>58.483665465999998</v>
      </c>
      <c r="G1077">
        <v>1337.3674315999999</v>
      </c>
      <c r="H1077">
        <v>1335.6057129000001</v>
      </c>
      <c r="I1077">
        <v>1327.0551757999999</v>
      </c>
      <c r="J1077">
        <v>1325.3409423999999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523.20582899999999</v>
      </c>
      <c r="B1078" s="1">
        <f>DATE(2011,10,6) + TIME(4,56,23)</f>
        <v>40822.205821759257</v>
      </c>
      <c r="C1078">
        <v>80</v>
      </c>
      <c r="D1078">
        <v>79.955635071000003</v>
      </c>
      <c r="E1078">
        <v>50</v>
      </c>
      <c r="F1078">
        <v>58.82780838</v>
      </c>
      <c r="G1078">
        <v>1337.3643798999999</v>
      </c>
      <c r="H1078">
        <v>1335.6042480000001</v>
      </c>
      <c r="I1078">
        <v>1327.0554199000001</v>
      </c>
      <c r="J1078">
        <v>1325.3394774999999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525.89725199999998</v>
      </c>
      <c r="B1079" s="1">
        <f>DATE(2011,10,8) + TIME(21,32,2)</f>
        <v>40824.897245370368</v>
      </c>
      <c r="C1079">
        <v>80</v>
      </c>
      <c r="D1079">
        <v>79.955703735</v>
      </c>
      <c r="E1079">
        <v>50</v>
      </c>
      <c r="F1079">
        <v>59.171329497999999</v>
      </c>
      <c r="G1079">
        <v>1337.3612060999999</v>
      </c>
      <c r="H1079">
        <v>1335.6029053</v>
      </c>
      <c r="I1079">
        <v>1327.0559082</v>
      </c>
      <c r="J1079">
        <v>1325.338501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528.61707999999999</v>
      </c>
      <c r="B1080" s="1">
        <f>DATE(2011,10,11) + TIME(14,48,35)</f>
        <v>40827.617071759261</v>
      </c>
      <c r="C1080">
        <v>80</v>
      </c>
      <c r="D1080">
        <v>79.955772400000001</v>
      </c>
      <c r="E1080">
        <v>50</v>
      </c>
      <c r="F1080">
        <v>59.504539489999999</v>
      </c>
      <c r="G1080">
        <v>1337.3582764</v>
      </c>
      <c r="H1080">
        <v>1335.6015625</v>
      </c>
      <c r="I1080">
        <v>1327.0563964999999</v>
      </c>
      <c r="J1080">
        <v>1325.3377685999999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531.39006400000005</v>
      </c>
      <c r="B1081" s="1">
        <f>DATE(2011,10,14) + TIME(9,21,41)</f>
        <v>40830.390057870369</v>
      </c>
      <c r="C1081">
        <v>80</v>
      </c>
      <c r="D1081">
        <v>79.955848693999997</v>
      </c>
      <c r="E1081">
        <v>50</v>
      </c>
      <c r="F1081">
        <v>59.823482513000002</v>
      </c>
      <c r="G1081">
        <v>1337.3552245999999</v>
      </c>
      <c r="H1081">
        <v>1335.6002197</v>
      </c>
      <c r="I1081">
        <v>1327.0570068</v>
      </c>
      <c r="J1081">
        <v>1325.3371582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534.21779600000002</v>
      </c>
      <c r="B1082" s="1">
        <f>DATE(2011,10,17) + TIME(5,13,37)</f>
        <v>40833.217789351853</v>
      </c>
      <c r="C1082">
        <v>80</v>
      </c>
      <c r="D1082">
        <v>79.955917357999994</v>
      </c>
      <c r="E1082">
        <v>50</v>
      </c>
      <c r="F1082">
        <v>60.129711151000002</v>
      </c>
      <c r="G1082">
        <v>1337.3522949000001</v>
      </c>
      <c r="H1082">
        <v>1335.598999</v>
      </c>
      <c r="I1082">
        <v>1327.0576172000001</v>
      </c>
      <c r="J1082">
        <v>1325.3365478999999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537.11495600000001</v>
      </c>
      <c r="B1083" s="1">
        <f>DATE(2011,10,20) + TIME(2,45,32)</f>
        <v>40836.114953703705</v>
      </c>
      <c r="C1083">
        <v>80</v>
      </c>
      <c r="D1083">
        <v>79.955993652000004</v>
      </c>
      <c r="E1083">
        <v>50</v>
      </c>
      <c r="F1083">
        <v>60.424274445000002</v>
      </c>
      <c r="G1083">
        <v>1337.3493652</v>
      </c>
      <c r="H1083">
        <v>1335.5976562000001</v>
      </c>
      <c r="I1083">
        <v>1327.0584716999999</v>
      </c>
      <c r="J1083">
        <v>1325.3359375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540.03951199999995</v>
      </c>
      <c r="B1084" s="1">
        <f>DATE(2011,10,23) + TIME(0,56,53)</f>
        <v>40839.039502314816</v>
      </c>
      <c r="C1084">
        <v>80</v>
      </c>
      <c r="D1084">
        <v>79.956069946</v>
      </c>
      <c r="E1084">
        <v>50</v>
      </c>
      <c r="F1084">
        <v>60.708118439000003</v>
      </c>
      <c r="G1084">
        <v>1337.3464355000001</v>
      </c>
      <c r="H1084">
        <v>1335.5964355000001</v>
      </c>
      <c r="I1084">
        <v>1327.0593262</v>
      </c>
      <c r="J1084">
        <v>1325.3354492000001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543.01316799999995</v>
      </c>
      <c r="B1085" s="1">
        <f>DATE(2011,10,26) + TIME(0,18,57)</f>
        <v>40842.013159722221</v>
      </c>
      <c r="C1085">
        <v>80</v>
      </c>
      <c r="D1085">
        <v>79.956153869999994</v>
      </c>
      <c r="E1085">
        <v>50</v>
      </c>
      <c r="F1085">
        <v>60.980091094999999</v>
      </c>
      <c r="G1085">
        <v>1337.3436279</v>
      </c>
      <c r="H1085">
        <v>1335.5952147999999</v>
      </c>
      <c r="I1085">
        <v>1327.0601807</v>
      </c>
      <c r="J1085">
        <v>1325.3349608999999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546.05881399999998</v>
      </c>
      <c r="B1086" s="1">
        <f>DATE(2011,10,29) + TIME(1,24,41)</f>
        <v>40845.058807870373</v>
      </c>
      <c r="C1086">
        <v>80</v>
      </c>
      <c r="D1086">
        <v>79.956230164000004</v>
      </c>
      <c r="E1086">
        <v>50</v>
      </c>
      <c r="F1086">
        <v>61.242160796999997</v>
      </c>
      <c r="G1086">
        <v>1337.3408202999999</v>
      </c>
      <c r="H1086">
        <v>1335.5939940999999</v>
      </c>
      <c r="I1086">
        <v>1327.0611572</v>
      </c>
      <c r="J1086">
        <v>1325.3345947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549</v>
      </c>
      <c r="B1087" s="1">
        <f>DATE(2011,11,1) + TIME(0,0,0)</f>
        <v>40848</v>
      </c>
      <c r="C1087">
        <v>80</v>
      </c>
      <c r="D1087">
        <v>79.956306458</v>
      </c>
      <c r="E1087">
        <v>50</v>
      </c>
      <c r="F1087">
        <v>61.493206024000003</v>
      </c>
      <c r="G1087">
        <v>1337.3380127</v>
      </c>
      <c r="H1087">
        <v>1335.5928954999999</v>
      </c>
      <c r="I1087">
        <v>1327.0623779</v>
      </c>
      <c r="J1087">
        <v>1325.3343506000001</v>
      </c>
      <c r="K1087">
        <v>1650</v>
      </c>
      <c r="L1087">
        <v>0</v>
      </c>
      <c r="M1087">
        <v>0</v>
      </c>
      <c r="N1087">
        <v>1650</v>
      </c>
    </row>
    <row r="1088" spans="1:14" x14ac:dyDescent="0.25">
      <c r="A1088">
        <v>549.000001</v>
      </c>
      <c r="B1088" s="1">
        <f>DATE(2011,11,1) + TIME(0,0,0)</f>
        <v>40848</v>
      </c>
      <c r="C1088">
        <v>80</v>
      </c>
      <c r="D1088">
        <v>79.956237793</v>
      </c>
      <c r="E1088">
        <v>50</v>
      </c>
      <c r="F1088">
        <v>61.493282317999999</v>
      </c>
      <c r="G1088">
        <v>1335.1035156</v>
      </c>
      <c r="H1088">
        <v>1334.7380370999999</v>
      </c>
      <c r="I1088">
        <v>1329.4471435999999</v>
      </c>
      <c r="J1088">
        <v>1327.7380370999999</v>
      </c>
      <c r="K1088">
        <v>0</v>
      </c>
      <c r="L1088">
        <v>1650</v>
      </c>
      <c r="M1088">
        <v>1650</v>
      </c>
      <c r="N1088">
        <v>0</v>
      </c>
    </row>
    <row r="1089" spans="1:14" x14ac:dyDescent="0.25">
      <c r="A1089">
        <v>549.00000399999999</v>
      </c>
      <c r="B1089" s="1">
        <f>DATE(2011,11,1) + TIME(0,0,0)</f>
        <v>40848</v>
      </c>
      <c r="C1089">
        <v>80</v>
      </c>
      <c r="D1089">
        <v>79.956146239999995</v>
      </c>
      <c r="E1089">
        <v>50</v>
      </c>
      <c r="F1089">
        <v>61.493362427000001</v>
      </c>
      <c r="G1089">
        <v>1334.4561768000001</v>
      </c>
      <c r="H1089">
        <v>1334.0975341999999</v>
      </c>
      <c r="I1089">
        <v>1330.2980957</v>
      </c>
      <c r="J1089">
        <v>1328.6807861</v>
      </c>
      <c r="K1089">
        <v>0</v>
      </c>
      <c r="L1089">
        <v>1650</v>
      </c>
      <c r="M1089">
        <v>1650</v>
      </c>
      <c r="N1089">
        <v>0</v>
      </c>
    </row>
    <row r="1090" spans="1:14" x14ac:dyDescent="0.25">
      <c r="A1090">
        <v>549.00001299999997</v>
      </c>
      <c r="B1090" s="1">
        <f>DATE(2011,11,1) + TIME(0,0,1)</f>
        <v>40848.000011574077</v>
      </c>
      <c r="C1090">
        <v>80</v>
      </c>
      <c r="D1090">
        <v>79.956047057999996</v>
      </c>
      <c r="E1090">
        <v>50</v>
      </c>
      <c r="F1090">
        <v>61.493373871000003</v>
      </c>
      <c r="G1090">
        <v>1333.7828368999999</v>
      </c>
      <c r="H1090">
        <v>1333.3995361</v>
      </c>
      <c r="I1090">
        <v>1331.3460693</v>
      </c>
      <c r="J1090">
        <v>1329.7150879000001</v>
      </c>
      <c r="K1090">
        <v>0</v>
      </c>
      <c r="L1090">
        <v>1650</v>
      </c>
      <c r="M1090">
        <v>1650</v>
      </c>
      <c r="N1090">
        <v>0</v>
      </c>
    </row>
    <row r="1091" spans="1:14" x14ac:dyDescent="0.25">
      <c r="A1091">
        <v>549.00004000000001</v>
      </c>
      <c r="B1091" s="1">
        <f>DATE(2011,11,1) + TIME(0,0,3)</f>
        <v>40848.000034722223</v>
      </c>
      <c r="C1091">
        <v>80</v>
      </c>
      <c r="D1091">
        <v>79.955947875999996</v>
      </c>
      <c r="E1091">
        <v>50</v>
      </c>
      <c r="F1091">
        <v>61.493118285999998</v>
      </c>
      <c r="G1091">
        <v>1333.1109618999999</v>
      </c>
      <c r="H1091">
        <v>1332.6899414</v>
      </c>
      <c r="I1091">
        <v>1332.4200439000001</v>
      </c>
      <c r="J1091">
        <v>1330.7503661999999</v>
      </c>
      <c r="K1091">
        <v>0</v>
      </c>
      <c r="L1091">
        <v>1650</v>
      </c>
      <c r="M1091">
        <v>1650</v>
      </c>
      <c r="N1091">
        <v>0</v>
      </c>
    </row>
    <row r="1092" spans="1:14" x14ac:dyDescent="0.25">
      <c r="A1092">
        <v>549.00012100000004</v>
      </c>
      <c r="B1092" s="1">
        <f>DATE(2011,11,1) + TIME(0,0,10)</f>
        <v>40848.000115740739</v>
      </c>
      <c r="C1092">
        <v>80</v>
      </c>
      <c r="D1092">
        <v>79.955841063999998</v>
      </c>
      <c r="E1092">
        <v>50</v>
      </c>
      <c r="F1092">
        <v>61.492050171000002</v>
      </c>
      <c r="G1092">
        <v>1332.4144286999999</v>
      </c>
      <c r="H1092">
        <v>1331.9499512</v>
      </c>
      <c r="I1092">
        <v>1333.4799805</v>
      </c>
      <c r="J1092">
        <v>1331.7716064000001</v>
      </c>
      <c r="K1092">
        <v>0</v>
      </c>
      <c r="L1092">
        <v>1650</v>
      </c>
      <c r="M1092">
        <v>1650</v>
      </c>
      <c r="N1092">
        <v>0</v>
      </c>
    </row>
    <row r="1093" spans="1:14" x14ac:dyDescent="0.25">
      <c r="A1093">
        <v>549.00036399999999</v>
      </c>
      <c r="B1093" s="1">
        <f>DATE(2011,11,1) + TIME(0,0,31)</f>
        <v>40848.000358796293</v>
      </c>
      <c r="C1093">
        <v>80</v>
      </c>
      <c r="D1093">
        <v>79.955711364999999</v>
      </c>
      <c r="E1093">
        <v>50</v>
      </c>
      <c r="F1093">
        <v>61.488475800000003</v>
      </c>
      <c r="G1093">
        <v>1331.7032471</v>
      </c>
      <c r="H1093">
        <v>1331.1928711</v>
      </c>
      <c r="I1093">
        <v>1334.5048827999999</v>
      </c>
      <c r="J1093">
        <v>1332.7492675999999</v>
      </c>
      <c r="K1093">
        <v>0</v>
      </c>
      <c r="L1093">
        <v>1650</v>
      </c>
      <c r="M1093">
        <v>1650</v>
      </c>
      <c r="N1093">
        <v>0</v>
      </c>
    </row>
    <row r="1094" spans="1:14" x14ac:dyDescent="0.25">
      <c r="A1094">
        <v>549.00109299999997</v>
      </c>
      <c r="B1094" s="1">
        <f>DATE(2011,11,1) + TIME(0,1,34)</f>
        <v>40848.001087962963</v>
      </c>
      <c r="C1094">
        <v>80</v>
      </c>
      <c r="D1094">
        <v>79.955520629999995</v>
      </c>
      <c r="E1094">
        <v>50</v>
      </c>
      <c r="F1094">
        <v>61.477172852000002</v>
      </c>
      <c r="G1094">
        <v>1331.0804443</v>
      </c>
      <c r="H1094">
        <v>1330.5308838000001</v>
      </c>
      <c r="I1094">
        <v>1335.3785399999999</v>
      </c>
      <c r="J1094">
        <v>1333.5734863</v>
      </c>
      <c r="K1094">
        <v>0</v>
      </c>
      <c r="L1094">
        <v>1650</v>
      </c>
      <c r="M1094">
        <v>1650</v>
      </c>
      <c r="N1094">
        <v>0</v>
      </c>
    </row>
    <row r="1095" spans="1:14" x14ac:dyDescent="0.25">
      <c r="A1095">
        <v>549.00328000000002</v>
      </c>
      <c r="B1095" s="1">
        <f>DATE(2011,11,1) + TIME(0,4,43)</f>
        <v>40848.003275462965</v>
      </c>
      <c r="C1095">
        <v>80</v>
      </c>
      <c r="D1095">
        <v>79.955146790000001</v>
      </c>
      <c r="E1095">
        <v>50</v>
      </c>
      <c r="F1095">
        <v>61.442516327</v>
      </c>
      <c r="G1095">
        <v>1330.6544189000001</v>
      </c>
      <c r="H1095">
        <v>1330.0839844</v>
      </c>
      <c r="I1095">
        <v>1335.9580077999999</v>
      </c>
      <c r="J1095">
        <v>1334.1206055</v>
      </c>
      <c r="K1095">
        <v>0</v>
      </c>
      <c r="L1095">
        <v>1650</v>
      </c>
      <c r="M1095">
        <v>1650</v>
      </c>
      <c r="N1095">
        <v>0</v>
      </c>
    </row>
    <row r="1096" spans="1:14" x14ac:dyDescent="0.25">
      <c r="A1096">
        <v>549.00984100000005</v>
      </c>
      <c r="B1096" s="1">
        <f>DATE(2011,11,1) + TIME(0,14,10)</f>
        <v>40848.009837962964</v>
      </c>
      <c r="C1096">
        <v>80</v>
      </c>
      <c r="D1096">
        <v>79.954170227000006</v>
      </c>
      <c r="E1096">
        <v>50</v>
      </c>
      <c r="F1096">
        <v>61.338756560999997</v>
      </c>
      <c r="G1096">
        <v>1330.4372559000001</v>
      </c>
      <c r="H1096">
        <v>1329.8603516000001</v>
      </c>
      <c r="I1096">
        <v>1336.2176514</v>
      </c>
      <c r="J1096">
        <v>1334.3675536999999</v>
      </c>
      <c r="K1096">
        <v>0</v>
      </c>
      <c r="L1096">
        <v>1650</v>
      </c>
      <c r="M1096">
        <v>1650</v>
      </c>
      <c r="N1096">
        <v>0</v>
      </c>
    </row>
    <row r="1097" spans="1:14" x14ac:dyDescent="0.25">
      <c r="A1097">
        <v>549.02952400000004</v>
      </c>
      <c r="B1097" s="1">
        <f>DATE(2011,11,1) + TIME(0,42,30)</f>
        <v>40848.029513888891</v>
      </c>
      <c r="C1097">
        <v>80</v>
      </c>
      <c r="D1097">
        <v>79.951354980000005</v>
      </c>
      <c r="E1097">
        <v>50</v>
      </c>
      <c r="F1097">
        <v>61.036685943999998</v>
      </c>
      <c r="G1097">
        <v>1330.3673096</v>
      </c>
      <c r="H1097">
        <v>1329.7884521000001</v>
      </c>
      <c r="I1097">
        <v>1336.2684326000001</v>
      </c>
      <c r="J1097">
        <v>1334.4160156</v>
      </c>
      <c r="K1097">
        <v>0</v>
      </c>
      <c r="L1097">
        <v>1650</v>
      </c>
      <c r="M1097">
        <v>1650</v>
      </c>
      <c r="N1097">
        <v>0</v>
      </c>
    </row>
    <row r="1098" spans="1:14" x14ac:dyDescent="0.25">
      <c r="A1098">
        <v>549.08455200000003</v>
      </c>
      <c r="B1098" s="1">
        <f>DATE(2011,11,1) + TIME(2,1,45)</f>
        <v>40848.084548611114</v>
      </c>
      <c r="C1098">
        <v>80</v>
      </c>
      <c r="D1098">
        <v>79.943679810000006</v>
      </c>
      <c r="E1098">
        <v>50</v>
      </c>
      <c r="F1098">
        <v>60.261466980000002</v>
      </c>
      <c r="G1098">
        <v>1330.3525391000001</v>
      </c>
      <c r="H1098">
        <v>1329.7713623</v>
      </c>
      <c r="I1098">
        <v>1336.2506103999999</v>
      </c>
      <c r="J1098">
        <v>1334.4000243999999</v>
      </c>
      <c r="K1098">
        <v>0</v>
      </c>
      <c r="L1098">
        <v>1650</v>
      </c>
      <c r="M1098">
        <v>1650</v>
      </c>
      <c r="N1098">
        <v>0</v>
      </c>
    </row>
    <row r="1099" spans="1:14" x14ac:dyDescent="0.25">
      <c r="A1099">
        <v>549.14325699999995</v>
      </c>
      <c r="B1099" s="1">
        <f>DATE(2011,11,1) + TIME(3,26,17)</f>
        <v>40848.143252314818</v>
      </c>
      <c r="C1099">
        <v>80</v>
      </c>
      <c r="D1099">
        <v>79.935539246000005</v>
      </c>
      <c r="E1099">
        <v>50</v>
      </c>
      <c r="F1099">
        <v>59.504394531000003</v>
      </c>
      <c r="G1099">
        <v>1330.3438721</v>
      </c>
      <c r="H1099">
        <v>1329.7585449000001</v>
      </c>
      <c r="I1099">
        <v>1336.2348632999999</v>
      </c>
      <c r="J1099">
        <v>1334.3852539</v>
      </c>
      <c r="K1099">
        <v>0</v>
      </c>
      <c r="L1099">
        <v>1650</v>
      </c>
      <c r="M1099">
        <v>1650</v>
      </c>
      <c r="N1099">
        <v>0</v>
      </c>
    </row>
    <row r="1100" spans="1:14" x14ac:dyDescent="0.25">
      <c r="A1100">
        <v>549.204294</v>
      </c>
      <c r="B1100" s="1">
        <f>DATE(2011,11,1) + TIME(4,54,11)</f>
        <v>40848.204293981478</v>
      </c>
      <c r="C1100">
        <v>80</v>
      </c>
      <c r="D1100">
        <v>79.927124023000005</v>
      </c>
      <c r="E1100">
        <v>50</v>
      </c>
      <c r="F1100">
        <v>58.784950256000002</v>
      </c>
      <c r="G1100">
        <v>1330.3356934000001</v>
      </c>
      <c r="H1100">
        <v>1329.7462158000001</v>
      </c>
      <c r="I1100">
        <v>1336.2210693</v>
      </c>
      <c r="J1100">
        <v>1334.3719481999999</v>
      </c>
      <c r="K1100">
        <v>0</v>
      </c>
      <c r="L1100">
        <v>1650</v>
      </c>
      <c r="M1100">
        <v>1650</v>
      </c>
      <c r="N1100">
        <v>0</v>
      </c>
    </row>
    <row r="1101" spans="1:14" x14ac:dyDescent="0.25">
      <c r="A1101">
        <v>549.26723200000004</v>
      </c>
      <c r="B1101" s="1">
        <f>DATE(2011,11,1) + TIME(6,24,48)</f>
        <v>40848.267222222225</v>
      </c>
      <c r="C1101">
        <v>80</v>
      </c>
      <c r="D1101">
        <v>79.918502808</v>
      </c>
      <c r="E1101">
        <v>50</v>
      </c>
      <c r="F1101">
        <v>58.107494354000004</v>
      </c>
      <c r="G1101">
        <v>1330.3275146000001</v>
      </c>
      <c r="H1101">
        <v>1329.7338867000001</v>
      </c>
      <c r="I1101">
        <v>1336.2092285000001</v>
      </c>
      <c r="J1101">
        <v>1334.3603516000001</v>
      </c>
      <c r="K1101">
        <v>0</v>
      </c>
      <c r="L1101">
        <v>1650</v>
      </c>
      <c r="M1101">
        <v>1650</v>
      </c>
      <c r="N1101">
        <v>0</v>
      </c>
    </row>
    <row r="1102" spans="1:14" x14ac:dyDescent="0.25">
      <c r="A1102">
        <v>549.33219499999996</v>
      </c>
      <c r="B1102" s="1">
        <f>DATE(2011,11,1) + TIME(7,58,21)</f>
        <v>40848.332187499997</v>
      </c>
      <c r="C1102">
        <v>80</v>
      </c>
      <c r="D1102">
        <v>79.909652710000003</v>
      </c>
      <c r="E1102">
        <v>50</v>
      </c>
      <c r="F1102">
        <v>57.469528197999999</v>
      </c>
      <c r="G1102">
        <v>1330.3194579999999</v>
      </c>
      <c r="H1102">
        <v>1329.7214355000001</v>
      </c>
      <c r="I1102">
        <v>1336.1990966999999</v>
      </c>
      <c r="J1102">
        <v>1334.3499756000001</v>
      </c>
      <c r="K1102">
        <v>0</v>
      </c>
      <c r="L1102">
        <v>1650</v>
      </c>
      <c r="M1102">
        <v>1650</v>
      </c>
      <c r="N1102">
        <v>0</v>
      </c>
    </row>
    <row r="1103" spans="1:14" x14ac:dyDescent="0.25">
      <c r="A1103">
        <v>549.399362</v>
      </c>
      <c r="B1103" s="1">
        <f>DATE(2011,11,1) + TIME(9,35,4)</f>
        <v>40848.399351851855</v>
      </c>
      <c r="C1103">
        <v>80</v>
      </c>
      <c r="D1103">
        <v>79.900566100999995</v>
      </c>
      <c r="E1103">
        <v>50</v>
      </c>
      <c r="F1103">
        <v>56.868473053000002</v>
      </c>
      <c r="G1103">
        <v>1330.3112793</v>
      </c>
      <c r="H1103">
        <v>1329.7091064000001</v>
      </c>
      <c r="I1103">
        <v>1336.1906738</v>
      </c>
      <c r="J1103">
        <v>1334.3409423999999</v>
      </c>
      <c r="K1103">
        <v>0</v>
      </c>
      <c r="L1103">
        <v>1650</v>
      </c>
      <c r="M1103">
        <v>1650</v>
      </c>
      <c r="N1103">
        <v>0</v>
      </c>
    </row>
    <row r="1104" spans="1:14" x14ac:dyDescent="0.25">
      <c r="A1104">
        <v>549.468929</v>
      </c>
      <c r="B1104" s="1">
        <f>DATE(2011,11,1) + TIME(11,15,15)</f>
        <v>40848.468923611108</v>
      </c>
      <c r="C1104">
        <v>80</v>
      </c>
      <c r="D1104">
        <v>79.891220093000001</v>
      </c>
      <c r="E1104">
        <v>50</v>
      </c>
      <c r="F1104">
        <v>56.302032470999997</v>
      </c>
      <c r="G1104">
        <v>1330.3032227000001</v>
      </c>
      <c r="H1104">
        <v>1329.6967772999999</v>
      </c>
      <c r="I1104">
        <v>1336.1837158000001</v>
      </c>
      <c r="J1104">
        <v>1334.3331298999999</v>
      </c>
      <c r="K1104">
        <v>0</v>
      </c>
      <c r="L1104">
        <v>1650</v>
      </c>
      <c r="M1104">
        <v>1650</v>
      </c>
      <c r="N1104">
        <v>0</v>
      </c>
    </row>
    <row r="1105" spans="1:14" x14ac:dyDescent="0.25">
      <c r="A1105">
        <v>549.54111399999999</v>
      </c>
      <c r="B1105" s="1">
        <f>DATE(2011,11,1) + TIME(12,59,12)</f>
        <v>40848.54111111111</v>
      </c>
      <c r="C1105">
        <v>80</v>
      </c>
      <c r="D1105">
        <v>79.881591796999999</v>
      </c>
      <c r="E1105">
        <v>50</v>
      </c>
      <c r="F1105">
        <v>55.768177031999997</v>
      </c>
      <c r="G1105">
        <v>1330.2950439000001</v>
      </c>
      <c r="H1105">
        <v>1329.6844481999999</v>
      </c>
      <c r="I1105">
        <v>1336.1782227000001</v>
      </c>
      <c r="J1105">
        <v>1334.3264160000001</v>
      </c>
      <c r="K1105">
        <v>0</v>
      </c>
      <c r="L1105">
        <v>1650</v>
      </c>
      <c r="M1105">
        <v>1650</v>
      </c>
      <c r="N1105">
        <v>0</v>
      </c>
    </row>
    <row r="1106" spans="1:14" x14ac:dyDescent="0.25">
      <c r="A1106">
        <v>549.61611100000005</v>
      </c>
      <c r="B1106" s="1">
        <f>DATE(2011,11,1) + TIME(14,47,12)</f>
        <v>40848.616111111114</v>
      </c>
      <c r="C1106">
        <v>80</v>
      </c>
      <c r="D1106">
        <v>79.871658324999999</v>
      </c>
      <c r="E1106">
        <v>50</v>
      </c>
      <c r="F1106">
        <v>55.265403747999997</v>
      </c>
      <c r="G1106">
        <v>1330.2867432</v>
      </c>
      <c r="H1106">
        <v>1329.671875</v>
      </c>
      <c r="I1106">
        <v>1336.1743164</v>
      </c>
      <c r="J1106">
        <v>1334.3209228999999</v>
      </c>
      <c r="K1106">
        <v>0</v>
      </c>
      <c r="L1106">
        <v>1650</v>
      </c>
      <c r="M1106">
        <v>1650</v>
      </c>
      <c r="N1106">
        <v>0</v>
      </c>
    </row>
    <row r="1107" spans="1:14" x14ac:dyDescent="0.25">
      <c r="A1107">
        <v>549.69422799999995</v>
      </c>
      <c r="B1107" s="1">
        <f>DATE(2011,11,1) + TIME(16,39,41)</f>
        <v>40848.694224537037</v>
      </c>
      <c r="C1107">
        <v>80</v>
      </c>
      <c r="D1107">
        <v>79.861389160000002</v>
      </c>
      <c r="E1107">
        <v>50</v>
      </c>
      <c r="F1107">
        <v>54.791839600000003</v>
      </c>
      <c r="G1107">
        <v>1330.2784423999999</v>
      </c>
      <c r="H1107">
        <v>1329.6593018000001</v>
      </c>
      <c r="I1107">
        <v>1336.1716309000001</v>
      </c>
      <c r="J1107">
        <v>1334.3164062000001</v>
      </c>
      <c r="K1107">
        <v>0</v>
      </c>
      <c r="L1107">
        <v>1650</v>
      </c>
      <c r="M1107">
        <v>1650</v>
      </c>
      <c r="N1107">
        <v>0</v>
      </c>
    </row>
    <row r="1108" spans="1:14" x14ac:dyDescent="0.25">
      <c r="A1108">
        <v>549.77576999999997</v>
      </c>
      <c r="B1108" s="1">
        <f>DATE(2011,11,1) + TIME(18,37,6)</f>
        <v>40848.775763888887</v>
      </c>
      <c r="C1108">
        <v>80</v>
      </c>
      <c r="D1108">
        <v>79.850753784000005</v>
      </c>
      <c r="E1108">
        <v>50</v>
      </c>
      <c r="F1108">
        <v>54.346065521</v>
      </c>
      <c r="G1108">
        <v>1330.2700195</v>
      </c>
      <c r="H1108">
        <v>1329.6466064000001</v>
      </c>
      <c r="I1108">
        <v>1336.1702881000001</v>
      </c>
      <c r="J1108">
        <v>1334.3129882999999</v>
      </c>
      <c r="K1108">
        <v>0</v>
      </c>
      <c r="L1108">
        <v>1650</v>
      </c>
      <c r="M1108">
        <v>1650</v>
      </c>
      <c r="N1108">
        <v>0</v>
      </c>
    </row>
    <row r="1109" spans="1:14" x14ac:dyDescent="0.25">
      <c r="A1109">
        <v>549.86107600000003</v>
      </c>
      <c r="B1109" s="1">
        <f>DATE(2011,11,1) + TIME(20,39,56)</f>
        <v>40848.861064814817</v>
      </c>
      <c r="C1109">
        <v>80</v>
      </c>
      <c r="D1109">
        <v>79.839729309000006</v>
      </c>
      <c r="E1109">
        <v>50</v>
      </c>
      <c r="F1109">
        <v>53.926841736</v>
      </c>
      <c r="G1109">
        <v>1330.2615966999999</v>
      </c>
      <c r="H1109">
        <v>1329.6337891000001</v>
      </c>
      <c r="I1109">
        <v>1336.1702881000001</v>
      </c>
      <c r="J1109">
        <v>1334.3104248</v>
      </c>
      <c r="K1109">
        <v>0</v>
      </c>
      <c r="L1109">
        <v>1650</v>
      </c>
      <c r="M1109">
        <v>1650</v>
      </c>
      <c r="N1109">
        <v>0</v>
      </c>
    </row>
    <row r="1110" spans="1:14" x14ac:dyDescent="0.25">
      <c r="A1110">
        <v>549.95053199999995</v>
      </c>
      <c r="B1110" s="1">
        <f>DATE(2011,11,1) + TIME(22,48,46)</f>
        <v>40848.950532407405</v>
      </c>
      <c r="C1110">
        <v>80</v>
      </c>
      <c r="D1110">
        <v>79.828262328999998</v>
      </c>
      <c r="E1110">
        <v>50</v>
      </c>
      <c r="F1110">
        <v>53.533081054999997</v>
      </c>
      <c r="G1110">
        <v>1330.2529297000001</v>
      </c>
      <c r="H1110">
        <v>1329.6207274999999</v>
      </c>
      <c r="I1110">
        <v>1336.1713867000001</v>
      </c>
      <c r="J1110">
        <v>1334.3088379000001</v>
      </c>
      <c r="K1110">
        <v>0</v>
      </c>
      <c r="L1110">
        <v>1650</v>
      </c>
      <c r="M1110">
        <v>1650</v>
      </c>
      <c r="N1110">
        <v>0</v>
      </c>
    </row>
    <row r="1111" spans="1:14" x14ac:dyDescent="0.25">
      <c r="A1111">
        <v>550.04456100000004</v>
      </c>
      <c r="B1111" s="1">
        <f>DATE(2011,11,2) + TIME(1,4,10)</f>
        <v>40849.044560185182</v>
      </c>
      <c r="C1111">
        <v>80</v>
      </c>
      <c r="D1111">
        <v>79.816329956000004</v>
      </c>
      <c r="E1111">
        <v>50</v>
      </c>
      <c r="F1111">
        <v>53.163879395000002</v>
      </c>
      <c r="G1111">
        <v>1330.2440185999999</v>
      </c>
      <c r="H1111">
        <v>1329.6074219</v>
      </c>
      <c r="I1111">
        <v>1336.1734618999999</v>
      </c>
      <c r="J1111">
        <v>1334.3081055</v>
      </c>
      <c r="K1111">
        <v>0</v>
      </c>
      <c r="L1111">
        <v>1650</v>
      </c>
      <c r="M1111">
        <v>1650</v>
      </c>
      <c r="N1111">
        <v>0</v>
      </c>
    </row>
    <row r="1112" spans="1:14" x14ac:dyDescent="0.25">
      <c r="A1112">
        <v>550.14367100000004</v>
      </c>
      <c r="B1112" s="1">
        <f>DATE(2011,11,2) + TIME(3,26,53)</f>
        <v>40849.14366898148</v>
      </c>
      <c r="C1112">
        <v>80</v>
      </c>
      <c r="D1112">
        <v>79.803863524999997</v>
      </c>
      <c r="E1112">
        <v>50</v>
      </c>
      <c r="F1112">
        <v>52.818355560000001</v>
      </c>
      <c r="G1112">
        <v>1330.2349853999999</v>
      </c>
      <c r="H1112">
        <v>1329.5938721</v>
      </c>
      <c r="I1112">
        <v>1336.1766356999999</v>
      </c>
      <c r="J1112">
        <v>1334.3081055</v>
      </c>
      <c r="K1112">
        <v>0</v>
      </c>
      <c r="L1112">
        <v>1650</v>
      </c>
      <c r="M1112">
        <v>1650</v>
      </c>
      <c r="N1112">
        <v>0</v>
      </c>
    </row>
    <row r="1113" spans="1:14" x14ac:dyDescent="0.25">
      <c r="A1113">
        <v>550.24844700000006</v>
      </c>
      <c r="B1113" s="1">
        <f>DATE(2011,11,2) + TIME(5,57,45)</f>
        <v>40849.248437499999</v>
      </c>
      <c r="C1113">
        <v>80</v>
      </c>
      <c r="D1113">
        <v>79.790824889999996</v>
      </c>
      <c r="E1113">
        <v>50</v>
      </c>
      <c r="F1113">
        <v>52.495735168000003</v>
      </c>
      <c r="G1113">
        <v>1330.2258300999999</v>
      </c>
      <c r="H1113">
        <v>1329.5799560999999</v>
      </c>
      <c r="I1113">
        <v>1336.1807861</v>
      </c>
      <c r="J1113">
        <v>1334.3089600000001</v>
      </c>
      <c r="K1113">
        <v>0</v>
      </c>
      <c r="L1113">
        <v>1650</v>
      </c>
      <c r="M1113">
        <v>1650</v>
      </c>
      <c r="N1113">
        <v>0</v>
      </c>
    </row>
    <row r="1114" spans="1:14" x14ac:dyDescent="0.25">
      <c r="A1114">
        <v>550.35956099999999</v>
      </c>
      <c r="B1114" s="1">
        <f>DATE(2011,11,2) + TIME(8,37,46)</f>
        <v>40849.359560185185</v>
      </c>
      <c r="C1114">
        <v>80</v>
      </c>
      <c r="D1114">
        <v>79.777137756000002</v>
      </c>
      <c r="E1114">
        <v>50</v>
      </c>
      <c r="F1114">
        <v>52.195365905999999</v>
      </c>
      <c r="G1114">
        <v>1330.2163086</v>
      </c>
      <c r="H1114">
        <v>1329.5656738</v>
      </c>
      <c r="I1114">
        <v>1336.1857910000001</v>
      </c>
      <c r="J1114">
        <v>1334.3104248</v>
      </c>
      <c r="K1114">
        <v>0</v>
      </c>
      <c r="L1114">
        <v>1650</v>
      </c>
      <c r="M1114">
        <v>1650</v>
      </c>
      <c r="N1114">
        <v>0</v>
      </c>
    </row>
    <row r="1115" spans="1:14" x14ac:dyDescent="0.25">
      <c r="A1115">
        <v>550.47707700000001</v>
      </c>
      <c r="B1115" s="1">
        <f>DATE(2011,11,2) + TIME(11,26,59)</f>
        <v>40849.477071759262</v>
      </c>
      <c r="C1115">
        <v>80</v>
      </c>
      <c r="D1115">
        <v>79.762817382999998</v>
      </c>
      <c r="E1115">
        <v>50</v>
      </c>
      <c r="F1115">
        <v>51.918144226000003</v>
      </c>
      <c r="G1115">
        <v>1330.206543</v>
      </c>
      <c r="H1115">
        <v>1329.5510254000001</v>
      </c>
      <c r="I1115">
        <v>1336.1917725000001</v>
      </c>
      <c r="J1115">
        <v>1334.3126221</v>
      </c>
      <c r="K1115">
        <v>0</v>
      </c>
      <c r="L1115">
        <v>1650</v>
      </c>
      <c r="M1115">
        <v>1650</v>
      </c>
      <c r="N1115">
        <v>0</v>
      </c>
    </row>
    <row r="1116" spans="1:14" x14ac:dyDescent="0.25">
      <c r="A1116">
        <v>550.60033799999997</v>
      </c>
      <c r="B1116" s="1">
        <f>DATE(2011,11,2) + TIME(14,24,29)</f>
        <v>40849.600335648145</v>
      </c>
      <c r="C1116">
        <v>80</v>
      </c>
      <c r="D1116">
        <v>79.747962951999995</v>
      </c>
      <c r="E1116">
        <v>50</v>
      </c>
      <c r="F1116">
        <v>51.665740966999998</v>
      </c>
      <c r="G1116">
        <v>1330.1964111</v>
      </c>
      <c r="H1116">
        <v>1329.5360106999999</v>
      </c>
      <c r="I1116">
        <v>1336.1984863</v>
      </c>
      <c r="J1116">
        <v>1334.3155518000001</v>
      </c>
      <c r="K1116">
        <v>0</v>
      </c>
      <c r="L1116">
        <v>1650</v>
      </c>
      <c r="M1116">
        <v>1650</v>
      </c>
      <c r="N1116">
        <v>0</v>
      </c>
    </row>
    <row r="1117" spans="1:14" x14ac:dyDescent="0.25">
      <c r="A1117">
        <v>550.72960999999998</v>
      </c>
      <c r="B1117" s="1">
        <f>DATE(2011,11,2) + TIME(17,30,38)</f>
        <v>40849.72960648148</v>
      </c>
      <c r="C1117">
        <v>80</v>
      </c>
      <c r="D1117">
        <v>79.732536315999994</v>
      </c>
      <c r="E1117">
        <v>50</v>
      </c>
      <c r="F1117">
        <v>51.437244415000002</v>
      </c>
      <c r="G1117">
        <v>1330.1861572</v>
      </c>
      <c r="H1117">
        <v>1329.5206298999999</v>
      </c>
      <c r="I1117">
        <v>1336.2056885</v>
      </c>
      <c r="J1117">
        <v>1334.3189697</v>
      </c>
      <c r="K1117">
        <v>0</v>
      </c>
      <c r="L1117">
        <v>1650</v>
      </c>
      <c r="M1117">
        <v>1650</v>
      </c>
      <c r="N1117">
        <v>0</v>
      </c>
    </row>
    <row r="1118" spans="1:14" x14ac:dyDescent="0.25">
      <c r="A1118">
        <v>550.86524199999997</v>
      </c>
      <c r="B1118" s="1">
        <f>DATE(2011,11,2) + TIME(20,45,56)</f>
        <v>40849.865231481483</v>
      </c>
      <c r="C1118">
        <v>80</v>
      </c>
      <c r="D1118">
        <v>79.716529846</v>
      </c>
      <c r="E1118">
        <v>50</v>
      </c>
      <c r="F1118">
        <v>51.231552123999997</v>
      </c>
      <c r="G1118">
        <v>1330.1756591999999</v>
      </c>
      <c r="H1118">
        <v>1329.5050048999999</v>
      </c>
      <c r="I1118">
        <v>1336.2132568</v>
      </c>
      <c r="J1118">
        <v>1334.3227539</v>
      </c>
      <c r="K1118">
        <v>0</v>
      </c>
      <c r="L1118">
        <v>1650</v>
      </c>
      <c r="M1118">
        <v>1650</v>
      </c>
      <c r="N1118">
        <v>0</v>
      </c>
    </row>
    <row r="1119" spans="1:14" x14ac:dyDescent="0.25">
      <c r="A1119">
        <v>551.00761799999998</v>
      </c>
      <c r="B1119" s="1">
        <f>DATE(2011,11,3) + TIME(0,10,58)</f>
        <v>40850.007615740738</v>
      </c>
      <c r="C1119">
        <v>80</v>
      </c>
      <c r="D1119">
        <v>79.699905396000005</v>
      </c>
      <c r="E1119">
        <v>50</v>
      </c>
      <c r="F1119">
        <v>51.047473906999997</v>
      </c>
      <c r="G1119">
        <v>1330.1647949000001</v>
      </c>
      <c r="H1119">
        <v>1329.4890137</v>
      </c>
      <c r="I1119">
        <v>1336.2210693</v>
      </c>
      <c r="J1119">
        <v>1334.3267822</v>
      </c>
      <c r="K1119">
        <v>0</v>
      </c>
      <c r="L1119">
        <v>1650</v>
      </c>
      <c r="M1119">
        <v>1650</v>
      </c>
      <c r="N1119">
        <v>0</v>
      </c>
    </row>
    <row r="1120" spans="1:14" x14ac:dyDescent="0.25">
      <c r="A1120">
        <v>551.15715599999999</v>
      </c>
      <c r="B1120" s="1">
        <f>DATE(2011,11,3) + TIME(3,46,18)</f>
        <v>40850.157152777778</v>
      </c>
      <c r="C1120">
        <v>80</v>
      </c>
      <c r="D1120">
        <v>79.682632446</v>
      </c>
      <c r="E1120">
        <v>50</v>
      </c>
      <c r="F1120">
        <v>50.883777618000003</v>
      </c>
      <c r="G1120">
        <v>1330.1538086</v>
      </c>
      <c r="H1120">
        <v>1329.4726562000001</v>
      </c>
      <c r="I1120">
        <v>1336.2290039</v>
      </c>
      <c r="J1120">
        <v>1334.3310547000001</v>
      </c>
      <c r="K1120">
        <v>0</v>
      </c>
      <c r="L1120">
        <v>1650</v>
      </c>
      <c r="M1120">
        <v>1650</v>
      </c>
      <c r="N1120">
        <v>0</v>
      </c>
    </row>
    <row r="1121" spans="1:14" x14ac:dyDescent="0.25">
      <c r="A1121">
        <v>551.31430799999998</v>
      </c>
      <c r="B1121" s="1">
        <f>DATE(2011,11,3) + TIME(7,32,36)</f>
        <v>40850.314305555556</v>
      </c>
      <c r="C1121">
        <v>80</v>
      </c>
      <c r="D1121">
        <v>79.66468811</v>
      </c>
      <c r="E1121">
        <v>50</v>
      </c>
      <c r="F1121">
        <v>50.739181518999999</v>
      </c>
      <c r="G1121">
        <v>1330.1424560999999</v>
      </c>
      <c r="H1121">
        <v>1329.4559326000001</v>
      </c>
      <c r="I1121">
        <v>1336.2369385</v>
      </c>
      <c r="J1121">
        <v>1334.3355713000001</v>
      </c>
      <c r="K1121">
        <v>0</v>
      </c>
      <c r="L1121">
        <v>1650</v>
      </c>
      <c r="M1121">
        <v>1650</v>
      </c>
      <c r="N1121">
        <v>0</v>
      </c>
    </row>
    <row r="1122" spans="1:14" x14ac:dyDescent="0.25">
      <c r="A1122">
        <v>551.47957299999996</v>
      </c>
      <c r="B1122" s="1">
        <f>DATE(2011,11,3) + TIME(11,30,35)</f>
        <v>40850.479571759257</v>
      </c>
      <c r="C1122">
        <v>80</v>
      </c>
      <c r="D1122">
        <v>79.646018982000001</v>
      </c>
      <c r="E1122">
        <v>50</v>
      </c>
      <c r="F1122">
        <v>50.612361907999997</v>
      </c>
      <c r="G1122">
        <v>1330.1308594</v>
      </c>
      <c r="H1122">
        <v>1329.4387207</v>
      </c>
      <c r="I1122">
        <v>1336.2446289</v>
      </c>
      <c r="J1122">
        <v>1334.3399658000001</v>
      </c>
      <c r="K1122">
        <v>0</v>
      </c>
      <c r="L1122">
        <v>1650</v>
      </c>
      <c r="M1122">
        <v>1650</v>
      </c>
      <c r="N1122">
        <v>0</v>
      </c>
    </row>
    <row r="1123" spans="1:14" x14ac:dyDescent="0.25">
      <c r="A1123">
        <v>551.65349200000003</v>
      </c>
      <c r="B1123" s="1">
        <f>DATE(2011,11,3) + TIME(15,41,1)</f>
        <v>40850.653483796297</v>
      </c>
      <c r="C1123">
        <v>80</v>
      </c>
      <c r="D1123">
        <v>79.626594542999996</v>
      </c>
      <c r="E1123">
        <v>50</v>
      </c>
      <c r="F1123">
        <v>50.501976012999997</v>
      </c>
      <c r="G1123">
        <v>1330.1188964999999</v>
      </c>
      <c r="H1123">
        <v>1329.4211425999999</v>
      </c>
      <c r="I1123">
        <v>1336.2520752</v>
      </c>
      <c r="J1123">
        <v>1334.3443603999999</v>
      </c>
      <c r="K1123">
        <v>0</v>
      </c>
      <c r="L1123">
        <v>1650</v>
      </c>
      <c r="M1123">
        <v>1650</v>
      </c>
      <c r="N1123">
        <v>0</v>
      </c>
    </row>
    <row r="1124" spans="1:14" x14ac:dyDescent="0.25">
      <c r="A1124">
        <v>551.83666400000004</v>
      </c>
      <c r="B1124" s="1">
        <f>DATE(2011,11,3) + TIME(20,4,47)</f>
        <v>40850.836655092593</v>
      </c>
      <c r="C1124">
        <v>80</v>
      </c>
      <c r="D1124">
        <v>79.606361389</v>
      </c>
      <c r="E1124">
        <v>50</v>
      </c>
      <c r="F1124">
        <v>50.406661987</v>
      </c>
      <c r="G1124">
        <v>1330.1065673999999</v>
      </c>
      <c r="H1124">
        <v>1329.4030762</v>
      </c>
      <c r="I1124">
        <v>1336.2591553</v>
      </c>
      <c r="J1124">
        <v>1334.3487548999999</v>
      </c>
      <c r="K1124">
        <v>0</v>
      </c>
      <c r="L1124">
        <v>1650</v>
      </c>
      <c r="M1124">
        <v>1650</v>
      </c>
      <c r="N1124">
        <v>0</v>
      </c>
    </row>
    <row r="1125" spans="1:14" x14ac:dyDescent="0.25">
      <c r="A1125">
        <v>552.02973099999997</v>
      </c>
      <c r="B1125" s="1">
        <f>DATE(2011,11,4) + TIME(0,42,48)</f>
        <v>40851.029722222222</v>
      </c>
      <c r="C1125">
        <v>80</v>
      </c>
      <c r="D1125">
        <v>79.585273743000002</v>
      </c>
      <c r="E1125">
        <v>50</v>
      </c>
      <c r="F1125">
        <v>50.325065613</v>
      </c>
      <c r="G1125">
        <v>1330.0938721</v>
      </c>
      <c r="H1125">
        <v>1329.3843993999999</v>
      </c>
      <c r="I1125">
        <v>1336.2658690999999</v>
      </c>
      <c r="J1125">
        <v>1334.3529053</v>
      </c>
      <c r="K1125">
        <v>0</v>
      </c>
      <c r="L1125">
        <v>1650</v>
      </c>
      <c r="M1125">
        <v>1650</v>
      </c>
      <c r="N1125">
        <v>0</v>
      </c>
    </row>
    <row r="1126" spans="1:14" x14ac:dyDescent="0.25">
      <c r="A1126">
        <v>552.23333700000001</v>
      </c>
      <c r="B1126" s="1">
        <f>DATE(2011,11,4) + TIME(5,36,0)</f>
        <v>40851.23333333333</v>
      </c>
      <c r="C1126">
        <v>80</v>
      </c>
      <c r="D1126">
        <v>79.563285828000005</v>
      </c>
      <c r="E1126">
        <v>50</v>
      </c>
      <c r="F1126">
        <v>50.255863189999999</v>
      </c>
      <c r="G1126">
        <v>1330.0808105000001</v>
      </c>
      <c r="H1126">
        <v>1329.3652344</v>
      </c>
      <c r="I1126">
        <v>1336.2720947</v>
      </c>
      <c r="J1126">
        <v>1334.3568115</v>
      </c>
      <c r="K1126">
        <v>0</v>
      </c>
      <c r="L1126">
        <v>1650</v>
      </c>
      <c r="M1126">
        <v>1650</v>
      </c>
      <c r="N1126">
        <v>0</v>
      </c>
    </row>
    <row r="1127" spans="1:14" x14ac:dyDescent="0.25">
      <c r="A1127">
        <v>552.44835</v>
      </c>
      <c r="B1127" s="1">
        <f>DATE(2011,11,4) + TIME(10,45,37)</f>
        <v>40851.448344907411</v>
      </c>
      <c r="C1127">
        <v>80</v>
      </c>
      <c r="D1127">
        <v>79.540328978999995</v>
      </c>
      <c r="E1127">
        <v>50</v>
      </c>
      <c r="F1127">
        <v>50.197708130000002</v>
      </c>
      <c r="G1127">
        <v>1330.0672606999999</v>
      </c>
      <c r="H1127">
        <v>1329.3454589999999</v>
      </c>
      <c r="I1127">
        <v>1336.2777100000001</v>
      </c>
      <c r="J1127">
        <v>1334.3604736</v>
      </c>
      <c r="K1127">
        <v>0</v>
      </c>
      <c r="L1127">
        <v>1650</v>
      </c>
      <c r="M1127">
        <v>1650</v>
      </c>
      <c r="N1127">
        <v>0</v>
      </c>
    </row>
    <row r="1128" spans="1:14" x14ac:dyDescent="0.25">
      <c r="A1128">
        <v>552.67567699999995</v>
      </c>
      <c r="B1128" s="1">
        <f>DATE(2011,11,4) + TIME(16,12,58)</f>
        <v>40851.675671296296</v>
      </c>
      <c r="C1128">
        <v>80</v>
      </c>
      <c r="D1128">
        <v>79.516326903999996</v>
      </c>
      <c r="E1128">
        <v>50</v>
      </c>
      <c r="F1128">
        <v>50.149330139</v>
      </c>
      <c r="G1128">
        <v>1330.0533447</v>
      </c>
      <c r="H1128">
        <v>1329.3250731999999</v>
      </c>
      <c r="I1128">
        <v>1336.2825928</v>
      </c>
      <c r="J1128">
        <v>1334.3637695</v>
      </c>
      <c r="K1128">
        <v>0</v>
      </c>
      <c r="L1128">
        <v>1650</v>
      </c>
      <c r="M1128">
        <v>1650</v>
      </c>
      <c r="N1128">
        <v>0</v>
      </c>
    </row>
    <row r="1129" spans="1:14" x14ac:dyDescent="0.25">
      <c r="A1129">
        <v>552.91632300000003</v>
      </c>
      <c r="B1129" s="1">
        <f>DATE(2011,11,4) + TIME(21,59,30)</f>
        <v>40851.916319444441</v>
      </c>
      <c r="C1129">
        <v>80</v>
      </c>
      <c r="D1129">
        <v>79.491203307999996</v>
      </c>
      <c r="E1129">
        <v>50</v>
      </c>
      <c r="F1129">
        <v>50.109512328999998</v>
      </c>
      <c r="G1129">
        <v>1330.0388184000001</v>
      </c>
      <c r="H1129">
        <v>1329.3040771000001</v>
      </c>
      <c r="I1129">
        <v>1336.2868652</v>
      </c>
      <c r="J1129">
        <v>1334.3668213000001</v>
      </c>
      <c r="K1129">
        <v>0</v>
      </c>
      <c r="L1129">
        <v>1650</v>
      </c>
      <c r="M1129">
        <v>1650</v>
      </c>
      <c r="N1129">
        <v>0</v>
      </c>
    </row>
    <row r="1130" spans="1:14" x14ac:dyDescent="0.25">
      <c r="A1130">
        <v>553.17141200000003</v>
      </c>
      <c r="B1130" s="1">
        <f>DATE(2011,11,5) + TIME(4,6,50)</f>
        <v>40852.171412037038</v>
      </c>
      <c r="C1130">
        <v>80</v>
      </c>
      <c r="D1130">
        <v>79.464874268000003</v>
      </c>
      <c r="E1130">
        <v>50</v>
      </c>
      <c r="F1130">
        <v>50.077106475999997</v>
      </c>
      <c r="G1130">
        <v>1330.0236815999999</v>
      </c>
      <c r="H1130">
        <v>1329.2822266000001</v>
      </c>
      <c r="I1130">
        <v>1336.2905272999999</v>
      </c>
      <c r="J1130">
        <v>1334.3693848</v>
      </c>
      <c r="K1130">
        <v>0</v>
      </c>
      <c r="L1130">
        <v>1650</v>
      </c>
      <c r="M1130">
        <v>1650</v>
      </c>
      <c r="N1130">
        <v>0</v>
      </c>
    </row>
    <row r="1131" spans="1:14" x14ac:dyDescent="0.25">
      <c r="A1131">
        <v>553.44220800000005</v>
      </c>
      <c r="B1131" s="1">
        <f>DATE(2011,11,5) + TIME(10,36,46)</f>
        <v>40852.442199074074</v>
      </c>
      <c r="C1131">
        <v>80</v>
      </c>
      <c r="D1131">
        <v>79.437240600999999</v>
      </c>
      <c r="E1131">
        <v>50</v>
      </c>
      <c r="F1131">
        <v>50.051044464</v>
      </c>
      <c r="G1131">
        <v>1330.0080565999999</v>
      </c>
      <c r="H1131">
        <v>1329.2595214999999</v>
      </c>
      <c r="I1131">
        <v>1336.2933350000001</v>
      </c>
      <c r="J1131">
        <v>1334.371582</v>
      </c>
      <c r="K1131">
        <v>0</v>
      </c>
      <c r="L1131">
        <v>1650</v>
      </c>
      <c r="M1131">
        <v>1650</v>
      </c>
      <c r="N1131">
        <v>0</v>
      </c>
    </row>
    <row r="1132" spans="1:14" x14ac:dyDescent="0.25">
      <c r="A1132">
        <v>553.72896100000003</v>
      </c>
      <c r="B1132" s="1">
        <f>DATE(2011,11,5) + TIME(17,29,42)</f>
        <v>40852.728958333333</v>
      </c>
      <c r="C1132">
        <v>80</v>
      </c>
      <c r="D1132">
        <v>79.408294678000004</v>
      </c>
      <c r="E1132">
        <v>50</v>
      </c>
      <c r="F1132">
        <v>50.030414581000002</v>
      </c>
      <c r="G1132">
        <v>1329.9918213000001</v>
      </c>
      <c r="H1132">
        <v>1329.2360839999999</v>
      </c>
      <c r="I1132">
        <v>1336.2955322</v>
      </c>
      <c r="J1132">
        <v>1334.3734131000001</v>
      </c>
      <c r="K1132">
        <v>0</v>
      </c>
      <c r="L1132">
        <v>1650</v>
      </c>
      <c r="M1132">
        <v>1650</v>
      </c>
      <c r="N1132">
        <v>0</v>
      </c>
    </row>
    <row r="1133" spans="1:14" x14ac:dyDescent="0.25">
      <c r="A1133">
        <v>554.02686400000005</v>
      </c>
      <c r="B1133" s="1">
        <f>DATE(2011,11,6) + TIME(0,38,41)</f>
        <v>40853.026863425926</v>
      </c>
      <c r="C1133">
        <v>80</v>
      </c>
      <c r="D1133">
        <v>79.378440857000001</v>
      </c>
      <c r="E1133">
        <v>50</v>
      </c>
      <c r="F1133">
        <v>50.014522552000003</v>
      </c>
      <c r="G1133">
        <v>1329.9749756000001</v>
      </c>
      <c r="H1133">
        <v>1329.2117920000001</v>
      </c>
      <c r="I1133">
        <v>1336.2969971</v>
      </c>
      <c r="J1133">
        <v>1334.3748779</v>
      </c>
      <c r="K1133">
        <v>0</v>
      </c>
      <c r="L1133">
        <v>1650</v>
      </c>
      <c r="M1133">
        <v>1650</v>
      </c>
      <c r="N1133">
        <v>0</v>
      </c>
    </row>
    <row r="1134" spans="1:14" x14ac:dyDescent="0.25">
      <c r="A1134">
        <v>554.33834899999999</v>
      </c>
      <c r="B1134" s="1">
        <f>DATE(2011,11,6) + TIME(8,7,13)</f>
        <v>40853.33834490741</v>
      </c>
      <c r="C1134">
        <v>80</v>
      </c>
      <c r="D1134">
        <v>79.347488403</v>
      </c>
      <c r="E1134">
        <v>50</v>
      </c>
      <c r="F1134">
        <v>50.002330780000001</v>
      </c>
      <c r="G1134">
        <v>1329.9576416</v>
      </c>
      <c r="H1134">
        <v>1329.1868896000001</v>
      </c>
      <c r="I1134">
        <v>1336.2977295000001</v>
      </c>
      <c r="J1134">
        <v>1334.3758545000001</v>
      </c>
      <c r="K1134">
        <v>0</v>
      </c>
      <c r="L1134">
        <v>1650</v>
      </c>
      <c r="M1134">
        <v>1650</v>
      </c>
      <c r="N1134">
        <v>0</v>
      </c>
    </row>
    <row r="1135" spans="1:14" x14ac:dyDescent="0.25">
      <c r="A1135">
        <v>554.66565300000002</v>
      </c>
      <c r="B1135" s="1">
        <f>DATE(2011,11,6) + TIME(15,58,32)</f>
        <v>40853.665648148148</v>
      </c>
      <c r="C1135">
        <v>80</v>
      </c>
      <c r="D1135">
        <v>79.315269470000004</v>
      </c>
      <c r="E1135">
        <v>50</v>
      </c>
      <c r="F1135">
        <v>49.993022918999998</v>
      </c>
      <c r="G1135">
        <v>1329.9399414</v>
      </c>
      <c r="H1135">
        <v>1329.161499</v>
      </c>
      <c r="I1135">
        <v>1336.2978516000001</v>
      </c>
      <c r="J1135">
        <v>1334.3764647999999</v>
      </c>
      <c r="K1135">
        <v>0</v>
      </c>
      <c r="L1135">
        <v>1650</v>
      </c>
      <c r="M1135">
        <v>1650</v>
      </c>
      <c r="N1135">
        <v>0</v>
      </c>
    </row>
    <row r="1136" spans="1:14" x14ac:dyDescent="0.25">
      <c r="A1136">
        <v>555.01145899999995</v>
      </c>
      <c r="B1136" s="1">
        <f>DATE(2011,11,7) + TIME(0,16,30)</f>
        <v>40854.011458333334</v>
      </c>
      <c r="C1136">
        <v>80</v>
      </c>
      <c r="D1136">
        <v>79.281593322999996</v>
      </c>
      <c r="E1136">
        <v>50</v>
      </c>
      <c r="F1136">
        <v>49.985973358000003</v>
      </c>
      <c r="G1136">
        <v>1329.9216309000001</v>
      </c>
      <c r="H1136">
        <v>1329.1352539</v>
      </c>
      <c r="I1136">
        <v>1336.2972411999999</v>
      </c>
      <c r="J1136">
        <v>1334.3765868999999</v>
      </c>
      <c r="K1136">
        <v>0</v>
      </c>
      <c r="L1136">
        <v>1650</v>
      </c>
      <c r="M1136">
        <v>1650</v>
      </c>
      <c r="N1136">
        <v>0</v>
      </c>
    </row>
    <row r="1137" spans="1:14" x14ac:dyDescent="0.25">
      <c r="A1137">
        <v>555.37519899999995</v>
      </c>
      <c r="B1137" s="1">
        <f>DATE(2011,11,7) + TIME(9,0,17)</f>
        <v>40854.375196759262</v>
      </c>
      <c r="C1137">
        <v>80</v>
      </c>
      <c r="D1137">
        <v>79.246498107999997</v>
      </c>
      <c r="E1137">
        <v>50</v>
      </c>
      <c r="F1137">
        <v>49.980712891000003</v>
      </c>
      <c r="G1137">
        <v>1329.9025879000001</v>
      </c>
      <c r="H1137">
        <v>1329.1081543</v>
      </c>
      <c r="I1137">
        <v>1336.2961425999999</v>
      </c>
      <c r="J1137">
        <v>1334.3764647999999</v>
      </c>
      <c r="K1137">
        <v>0</v>
      </c>
      <c r="L1137">
        <v>1650</v>
      </c>
      <c r="M1137">
        <v>1650</v>
      </c>
      <c r="N1137">
        <v>0</v>
      </c>
    </row>
    <row r="1138" spans="1:14" x14ac:dyDescent="0.25">
      <c r="A1138">
        <v>555.74820299999999</v>
      </c>
      <c r="B1138" s="1">
        <f>DATE(2011,11,7) + TIME(17,57,24)</f>
        <v>40854.748194444444</v>
      </c>
      <c r="C1138">
        <v>80</v>
      </c>
      <c r="D1138">
        <v>79.210632324000002</v>
      </c>
      <c r="E1138">
        <v>50</v>
      </c>
      <c r="F1138">
        <v>49.976894379000001</v>
      </c>
      <c r="G1138">
        <v>1329.8830565999999</v>
      </c>
      <c r="H1138">
        <v>1329.0803223</v>
      </c>
      <c r="I1138">
        <v>1336.2945557</v>
      </c>
      <c r="J1138">
        <v>1334.3759766000001</v>
      </c>
      <c r="K1138">
        <v>0</v>
      </c>
      <c r="L1138">
        <v>1650</v>
      </c>
      <c r="M1138">
        <v>1650</v>
      </c>
      <c r="N1138">
        <v>0</v>
      </c>
    </row>
    <row r="1139" spans="1:14" x14ac:dyDescent="0.25">
      <c r="A1139">
        <v>556.13158699999997</v>
      </c>
      <c r="B1139" s="1">
        <f>DATE(2011,11,8) + TIME(3,9,29)</f>
        <v>40855.131585648145</v>
      </c>
      <c r="C1139">
        <v>80</v>
      </c>
      <c r="D1139">
        <v>79.173965453999998</v>
      </c>
      <c r="E1139">
        <v>50</v>
      </c>
      <c r="F1139">
        <v>49.974124908</v>
      </c>
      <c r="G1139">
        <v>1329.8632812000001</v>
      </c>
      <c r="H1139">
        <v>1329.052124</v>
      </c>
      <c r="I1139">
        <v>1336.2924805</v>
      </c>
      <c r="J1139">
        <v>1334.3752440999999</v>
      </c>
      <c r="K1139">
        <v>0</v>
      </c>
      <c r="L1139">
        <v>1650</v>
      </c>
      <c r="M1139">
        <v>1650</v>
      </c>
      <c r="N1139">
        <v>0</v>
      </c>
    </row>
    <row r="1140" spans="1:14" x14ac:dyDescent="0.25">
      <c r="A1140">
        <v>556.52628000000004</v>
      </c>
      <c r="B1140" s="1">
        <f>DATE(2011,11,8) + TIME(12,37,50)</f>
        <v>40855.526273148149</v>
      </c>
      <c r="C1140">
        <v>80</v>
      </c>
      <c r="D1140">
        <v>79.136436462000006</v>
      </c>
      <c r="E1140">
        <v>50</v>
      </c>
      <c r="F1140">
        <v>49.972114562999998</v>
      </c>
      <c r="G1140">
        <v>1329.8432617000001</v>
      </c>
      <c r="H1140">
        <v>1329.0236815999999</v>
      </c>
      <c r="I1140">
        <v>1336.2900391000001</v>
      </c>
      <c r="J1140">
        <v>1334.3742675999999</v>
      </c>
      <c r="K1140">
        <v>0</v>
      </c>
      <c r="L1140">
        <v>1650</v>
      </c>
      <c r="M1140">
        <v>1650</v>
      </c>
      <c r="N1140">
        <v>0</v>
      </c>
    </row>
    <row r="1141" spans="1:14" x14ac:dyDescent="0.25">
      <c r="A1141">
        <v>556.93328099999997</v>
      </c>
      <c r="B1141" s="1">
        <f>DATE(2011,11,8) + TIME(22,23,55)</f>
        <v>40855.933275462965</v>
      </c>
      <c r="C1141">
        <v>80</v>
      </c>
      <c r="D1141">
        <v>79.097999572999996</v>
      </c>
      <c r="E1141">
        <v>50</v>
      </c>
      <c r="F1141">
        <v>49.970653534</v>
      </c>
      <c r="G1141">
        <v>1329.8229980000001</v>
      </c>
      <c r="H1141">
        <v>1328.9948730000001</v>
      </c>
      <c r="I1141">
        <v>1336.2872314000001</v>
      </c>
      <c r="J1141">
        <v>1334.3730469</v>
      </c>
      <c r="K1141">
        <v>0</v>
      </c>
      <c r="L1141">
        <v>1650</v>
      </c>
      <c r="M1141">
        <v>1650</v>
      </c>
      <c r="N1141">
        <v>0</v>
      </c>
    </row>
    <row r="1142" spans="1:14" x14ac:dyDescent="0.25">
      <c r="A1142">
        <v>557.35366499999998</v>
      </c>
      <c r="B1142" s="1">
        <f>DATE(2011,11,9) + TIME(8,29,16)</f>
        <v>40856.35365740741</v>
      </c>
      <c r="C1142">
        <v>80</v>
      </c>
      <c r="D1142">
        <v>79.05859375</v>
      </c>
      <c r="E1142">
        <v>50</v>
      </c>
      <c r="F1142">
        <v>49.969589233000001</v>
      </c>
      <c r="G1142">
        <v>1329.8024902</v>
      </c>
      <c r="H1142">
        <v>1328.9656981999999</v>
      </c>
      <c r="I1142">
        <v>1336.2841797000001</v>
      </c>
      <c r="J1142">
        <v>1334.3717041</v>
      </c>
      <c r="K1142">
        <v>0</v>
      </c>
      <c r="L1142">
        <v>1650</v>
      </c>
      <c r="M1142">
        <v>1650</v>
      </c>
      <c r="N1142">
        <v>0</v>
      </c>
    </row>
    <row r="1143" spans="1:14" x14ac:dyDescent="0.25">
      <c r="A1143">
        <v>557.78858200000002</v>
      </c>
      <c r="B1143" s="1">
        <f>DATE(2011,11,9) + TIME(18,55,33)</f>
        <v>40856.788576388892</v>
      </c>
      <c r="C1143">
        <v>80</v>
      </c>
      <c r="D1143">
        <v>79.018150329999997</v>
      </c>
      <c r="E1143">
        <v>50</v>
      </c>
      <c r="F1143">
        <v>49.968807220000002</v>
      </c>
      <c r="G1143">
        <v>1329.7814940999999</v>
      </c>
      <c r="H1143">
        <v>1328.9361572</v>
      </c>
      <c r="I1143">
        <v>1336.2810059000001</v>
      </c>
      <c r="J1143">
        <v>1334.3701172000001</v>
      </c>
      <c r="K1143">
        <v>0</v>
      </c>
      <c r="L1143">
        <v>1650</v>
      </c>
      <c r="M1143">
        <v>1650</v>
      </c>
      <c r="N1143">
        <v>0</v>
      </c>
    </row>
    <row r="1144" spans="1:14" x14ac:dyDescent="0.25">
      <c r="A1144">
        <v>558.23927700000002</v>
      </c>
      <c r="B1144" s="1">
        <f>DATE(2011,11,10) + TIME(5,44,33)</f>
        <v>40857.239270833335</v>
      </c>
      <c r="C1144">
        <v>80</v>
      </c>
      <c r="D1144">
        <v>78.976593018000003</v>
      </c>
      <c r="E1144">
        <v>50</v>
      </c>
      <c r="F1144">
        <v>49.968235016000001</v>
      </c>
      <c r="G1144">
        <v>1329.7602539</v>
      </c>
      <c r="H1144">
        <v>1328.9061279</v>
      </c>
      <c r="I1144">
        <v>1336.2775879000001</v>
      </c>
      <c r="J1144">
        <v>1334.3685303</v>
      </c>
      <c r="K1144">
        <v>0</v>
      </c>
      <c r="L1144">
        <v>1650</v>
      </c>
      <c r="M1144">
        <v>1650</v>
      </c>
      <c r="N1144">
        <v>0</v>
      </c>
    </row>
    <row r="1145" spans="1:14" x14ac:dyDescent="0.25">
      <c r="A1145">
        <v>558.70703800000001</v>
      </c>
      <c r="B1145" s="1">
        <f>DATE(2011,11,10) + TIME(16,58,8)</f>
        <v>40857.707037037035</v>
      </c>
      <c r="C1145">
        <v>80</v>
      </c>
      <c r="D1145">
        <v>78.933830260999997</v>
      </c>
      <c r="E1145">
        <v>50</v>
      </c>
      <c r="F1145">
        <v>49.96780777</v>
      </c>
      <c r="G1145">
        <v>1329.7386475000001</v>
      </c>
      <c r="H1145">
        <v>1328.8756103999999</v>
      </c>
      <c r="I1145">
        <v>1336.2739257999999</v>
      </c>
      <c r="J1145">
        <v>1334.3668213000001</v>
      </c>
      <c r="K1145">
        <v>0</v>
      </c>
      <c r="L1145">
        <v>1650</v>
      </c>
      <c r="M1145">
        <v>1650</v>
      </c>
      <c r="N1145">
        <v>0</v>
      </c>
    </row>
    <row r="1146" spans="1:14" x14ac:dyDescent="0.25">
      <c r="A1146">
        <v>559.193263</v>
      </c>
      <c r="B1146" s="1">
        <f>DATE(2011,11,11) + TIME(4,38,17)</f>
        <v>40858.193252314813</v>
      </c>
      <c r="C1146">
        <v>80</v>
      </c>
      <c r="D1146">
        <v>78.889770507999998</v>
      </c>
      <c r="E1146">
        <v>50</v>
      </c>
      <c r="F1146">
        <v>49.967487335000001</v>
      </c>
      <c r="G1146">
        <v>1329.7165527</v>
      </c>
      <c r="H1146">
        <v>1328.8444824000001</v>
      </c>
      <c r="I1146">
        <v>1336.2702637</v>
      </c>
      <c r="J1146">
        <v>1334.3649902</v>
      </c>
      <c r="K1146">
        <v>0</v>
      </c>
      <c r="L1146">
        <v>1650</v>
      </c>
      <c r="M1146">
        <v>1650</v>
      </c>
      <c r="N1146">
        <v>0</v>
      </c>
    </row>
    <row r="1147" spans="1:14" x14ac:dyDescent="0.25">
      <c r="A1147">
        <v>559.699704</v>
      </c>
      <c r="B1147" s="1">
        <f>DATE(2011,11,11) + TIME(16,47,34)</f>
        <v>40858.699699074074</v>
      </c>
      <c r="C1147">
        <v>80</v>
      </c>
      <c r="D1147">
        <v>78.844276428000001</v>
      </c>
      <c r="E1147">
        <v>50</v>
      </c>
      <c r="F1147">
        <v>49.967243195000002</v>
      </c>
      <c r="G1147">
        <v>1329.6940918</v>
      </c>
      <c r="H1147">
        <v>1328.8127440999999</v>
      </c>
      <c r="I1147">
        <v>1336.2663574000001</v>
      </c>
      <c r="J1147">
        <v>1334.3631591999999</v>
      </c>
      <c r="K1147">
        <v>0</v>
      </c>
      <c r="L1147">
        <v>1650</v>
      </c>
      <c r="M1147">
        <v>1650</v>
      </c>
      <c r="N1147">
        <v>0</v>
      </c>
    </row>
    <row r="1148" spans="1:14" x14ac:dyDescent="0.25">
      <c r="A1148">
        <v>560.228162</v>
      </c>
      <c r="B1148" s="1">
        <f>DATE(2011,11,12) + TIME(5,28,33)</f>
        <v>40859.228159722225</v>
      </c>
      <c r="C1148">
        <v>80</v>
      </c>
      <c r="D1148">
        <v>78.797233582000004</v>
      </c>
      <c r="E1148">
        <v>50</v>
      </c>
      <c r="F1148">
        <v>49.967052459999998</v>
      </c>
      <c r="G1148">
        <v>1329.6710204999999</v>
      </c>
      <c r="H1148">
        <v>1328.7803954999999</v>
      </c>
      <c r="I1148">
        <v>1336.2624512</v>
      </c>
      <c r="J1148">
        <v>1334.3612060999999</v>
      </c>
      <c r="K1148">
        <v>0</v>
      </c>
      <c r="L1148">
        <v>1650</v>
      </c>
      <c r="M1148">
        <v>1650</v>
      </c>
      <c r="N1148">
        <v>0</v>
      </c>
    </row>
    <row r="1149" spans="1:14" x14ac:dyDescent="0.25">
      <c r="A1149">
        <v>560.78064199999994</v>
      </c>
      <c r="B1149" s="1">
        <f>DATE(2011,11,12) + TIME(18,44,7)</f>
        <v>40859.780636574076</v>
      </c>
      <c r="C1149">
        <v>80</v>
      </c>
      <c r="D1149">
        <v>78.748489379999995</v>
      </c>
      <c r="E1149">
        <v>50</v>
      </c>
      <c r="F1149">
        <v>49.966907501000001</v>
      </c>
      <c r="G1149">
        <v>1329.6473389</v>
      </c>
      <c r="H1149">
        <v>1328.7473144999999</v>
      </c>
      <c r="I1149">
        <v>1336.2583007999999</v>
      </c>
      <c r="J1149">
        <v>1334.3591309000001</v>
      </c>
      <c r="K1149">
        <v>0</v>
      </c>
      <c r="L1149">
        <v>1650</v>
      </c>
      <c r="M1149">
        <v>1650</v>
      </c>
      <c r="N1149">
        <v>0</v>
      </c>
    </row>
    <row r="1150" spans="1:14" x14ac:dyDescent="0.25">
      <c r="A1150">
        <v>561.35937899999999</v>
      </c>
      <c r="B1150" s="1">
        <f>DATE(2011,11,13) + TIME(8,37,30)</f>
        <v>40860.359375</v>
      </c>
      <c r="C1150">
        <v>80</v>
      </c>
      <c r="D1150">
        <v>78.697875976999995</v>
      </c>
      <c r="E1150">
        <v>50</v>
      </c>
      <c r="F1150">
        <v>49.966789245999998</v>
      </c>
      <c r="G1150">
        <v>1329.6231689000001</v>
      </c>
      <c r="H1150">
        <v>1328.713501</v>
      </c>
      <c r="I1150">
        <v>1336.2541504000001</v>
      </c>
      <c r="J1150">
        <v>1334.3570557</v>
      </c>
      <c r="K1150">
        <v>0</v>
      </c>
      <c r="L1150">
        <v>1650</v>
      </c>
      <c r="M1150">
        <v>1650</v>
      </c>
      <c r="N1150">
        <v>0</v>
      </c>
    </row>
    <row r="1151" spans="1:14" x14ac:dyDescent="0.25">
      <c r="A1151">
        <v>561.96687499999996</v>
      </c>
      <c r="B1151" s="1">
        <f>DATE(2011,11,13) + TIME(23,12,17)</f>
        <v>40860.966863425929</v>
      </c>
      <c r="C1151">
        <v>80</v>
      </c>
      <c r="D1151">
        <v>78.645195006999998</v>
      </c>
      <c r="E1151">
        <v>50</v>
      </c>
      <c r="F1151">
        <v>49.966693878000001</v>
      </c>
      <c r="G1151">
        <v>1329.5981445</v>
      </c>
      <c r="H1151">
        <v>1328.6787108999999</v>
      </c>
      <c r="I1151">
        <v>1336.2498779</v>
      </c>
      <c r="J1151">
        <v>1334.3549805</v>
      </c>
      <c r="K1151">
        <v>0</v>
      </c>
      <c r="L1151">
        <v>1650</v>
      </c>
      <c r="M1151">
        <v>1650</v>
      </c>
      <c r="N1151">
        <v>0</v>
      </c>
    </row>
    <row r="1152" spans="1:14" x14ac:dyDescent="0.25">
      <c r="A1152">
        <v>562.595913</v>
      </c>
      <c r="B1152" s="1">
        <f>DATE(2011,11,14) + TIME(14,18,6)</f>
        <v>40861.595902777779</v>
      </c>
      <c r="C1152">
        <v>80</v>
      </c>
      <c r="D1152">
        <v>78.590789795000006</v>
      </c>
      <c r="E1152">
        <v>50</v>
      </c>
      <c r="F1152">
        <v>49.966617583999998</v>
      </c>
      <c r="G1152">
        <v>1329.5725098</v>
      </c>
      <c r="H1152">
        <v>1328.6429443</v>
      </c>
      <c r="I1152">
        <v>1336.2456055</v>
      </c>
      <c r="J1152">
        <v>1334.3529053</v>
      </c>
      <c r="K1152">
        <v>0</v>
      </c>
      <c r="L1152">
        <v>1650</v>
      </c>
      <c r="M1152">
        <v>1650</v>
      </c>
      <c r="N1152">
        <v>0</v>
      </c>
    </row>
    <row r="1153" spans="1:14" x14ac:dyDescent="0.25">
      <c r="A1153">
        <v>563.25024599999995</v>
      </c>
      <c r="B1153" s="1">
        <f>DATE(2011,11,15) + TIME(6,0,21)</f>
        <v>40862.250243055554</v>
      </c>
      <c r="C1153">
        <v>80</v>
      </c>
      <c r="D1153">
        <v>78.534477233999993</v>
      </c>
      <c r="E1153">
        <v>50</v>
      </c>
      <c r="F1153">
        <v>49.966552733999997</v>
      </c>
      <c r="G1153">
        <v>1329.5463867000001</v>
      </c>
      <c r="H1153">
        <v>1328.6065673999999</v>
      </c>
      <c r="I1153">
        <v>1336.2412108999999</v>
      </c>
      <c r="J1153">
        <v>1334.3508300999999</v>
      </c>
      <c r="K1153">
        <v>0</v>
      </c>
      <c r="L1153">
        <v>1650</v>
      </c>
      <c r="M1153">
        <v>1650</v>
      </c>
      <c r="N1153">
        <v>0</v>
      </c>
    </row>
    <row r="1154" spans="1:14" x14ac:dyDescent="0.25">
      <c r="A1154">
        <v>563.934977</v>
      </c>
      <c r="B1154" s="1">
        <f>DATE(2011,11,15) + TIME(22,26,21)</f>
        <v>40862.934965277775</v>
      </c>
      <c r="C1154">
        <v>80</v>
      </c>
      <c r="D1154">
        <v>78.475952148000005</v>
      </c>
      <c r="E1154">
        <v>50</v>
      </c>
      <c r="F1154">
        <v>49.966499329000001</v>
      </c>
      <c r="G1154">
        <v>1329.5196533000001</v>
      </c>
      <c r="H1154">
        <v>1328.5694579999999</v>
      </c>
      <c r="I1154">
        <v>1336.2368164</v>
      </c>
      <c r="J1154">
        <v>1334.3486327999999</v>
      </c>
      <c r="K1154">
        <v>0</v>
      </c>
      <c r="L1154">
        <v>1650</v>
      </c>
      <c r="M1154">
        <v>1650</v>
      </c>
      <c r="N1154">
        <v>0</v>
      </c>
    </row>
    <row r="1155" spans="1:14" x14ac:dyDescent="0.25">
      <c r="A1155">
        <v>564.65606200000002</v>
      </c>
      <c r="B1155" s="1">
        <f>DATE(2011,11,16) + TIME(15,44,43)</f>
        <v>40863.656053240738</v>
      </c>
      <c r="C1155">
        <v>80</v>
      </c>
      <c r="D1155">
        <v>78.414817810000002</v>
      </c>
      <c r="E1155">
        <v>50</v>
      </c>
      <c r="F1155">
        <v>49.966453551999997</v>
      </c>
      <c r="G1155">
        <v>1329.4921875</v>
      </c>
      <c r="H1155">
        <v>1328.5313721</v>
      </c>
      <c r="I1155">
        <v>1336.2322998</v>
      </c>
      <c r="J1155">
        <v>1334.3465576000001</v>
      </c>
      <c r="K1155">
        <v>0</v>
      </c>
      <c r="L1155">
        <v>1650</v>
      </c>
      <c r="M1155">
        <v>1650</v>
      </c>
      <c r="N1155">
        <v>0</v>
      </c>
    </row>
    <row r="1156" spans="1:14" x14ac:dyDescent="0.25">
      <c r="A1156">
        <v>565.417868</v>
      </c>
      <c r="B1156" s="1">
        <f>DATE(2011,11,17) + TIME(10,1,43)</f>
        <v>40864.417858796296</v>
      </c>
      <c r="C1156">
        <v>80</v>
      </c>
      <c r="D1156">
        <v>78.350692749000004</v>
      </c>
      <c r="E1156">
        <v>50</v>
      </c>
      <c r="F1156">
        <v>49.966411591000004</v>
      </c>
      <c r="G1156">
        <v>1329.4638672000001</v>
      </c>
      <c r="H1156">
        <v>1328.4921875</v>
      </c>
      <c r="I1156">
        <v>1336.2279053</v>
      </c>
      <c r="J1156">
        <v>1334.3443603999999</v>
      </c>
      <c r="K1156">
        <v>0</v>
      </c>
      <c r="L1156">
        <v>1650</v>
      </c>
      <c r="M1156">
        <v>1650</v>
      </c>
      <c r="N1156">
        <v>0</v>
      </c>
    </row>
    <row r="1157" spans="1:14" x14ac:dyDescent="0.25">
      <c r="A1157">
        <v>566.19991700000003</v>
      </c>
      <c r="B1157" s="1">
        <f>DATE(2011,11,18) + TIME(4,47,52)</f>
        <v>40865.199907407405</v>
      </c>
      <c r="C1157">
        <v>80</v>
      </c>
      <c r="D1157">
        <v>78.284416199000006</v>
      </c>
      <c r="E1157">
        <v>50</v>
      </c>
      <c r="F1157">
        <v>49.966377258000001</v>
      </c>
      <c r="G1157">
        <v>1329.4345702999999</v>
      </c>
      <c r="H1157">
        <v>1328.4519043</v>
      </c>
      <c r="I1157">
        <v>1336.2232666</v>
      </c>
      <c r="J1157">
        <v>1334.3422852000001</v>
      </c>
      <c r="K1157">
        <v>0</v>
      </c>
      <c r="L1157">
        <v>1650</v>
      </c>
      <c r="M1157">
        <v>1650</v>
      </c>
      <c r="N1157">
        <v>0</v>
      </c>
    </row>
    <row r="1158" spans="1:14" x14ac:dyDescent="0.25">
      <c r="A1158">
        <v>567.00050199999998</v>
      </c>
      <c r="B1158" s="1">
        <f>DATE(2011,11,19) + TIME(0,0,43)</f>
        <v>40866.000497685185</v>
      </c>
      <c r="C1158">
        <v>80</v>
      </c>
      <c r="D1158">
        <v>78.216224670000003</v>
      </c>
      <c r="E1158">
        <v>50</v>
      </c>
      <c r="F1158">
        <v>49.966346741000002</v>
      </c>
      <c r="G1158">
        <v>1329.4049072</v>
      </c>
      <c r="H1158">
        <v>1328.4110106999999</v>
      </c>
      <c r="I1158">
        <v>1336.21875</v>
      </c>
      <c r="J1158">
        <v>1334.3402100000001</v>
      </c>
      <c r="K1158">
        <v>0</v>
      </c>
      <c r="L1158">
        <v>1650</v>
      </c>
      <c r="M1158">
        <v>1650</v>
      </c>
      <c r="N1158">
        <v>0</v>
      </c>
    </row>
    <row r="1159" spans="1:14" x14ac:dyDescent="0.25">
      <c r="A1159">
        <v>567.82482200000004</v>
      </c>
      <c r="B1159" s="1">
        <f>DATE(2011,11,19) + TIME(19,47,44)</f>
        <v>40866.824814814812</v>
      </c>
      <c r="C1159">
        <v>80</v>
      </c>
      <c r="D1159">
        <v>78.145980835000003</v>
      </c>
      <c r="E1159">
        <v>50</v>
      </c>
      <c r="F1159">
        <v>49.966316223</v>
      </c>
      <c r="G1159">
        <v>1329.3751221</v>
      </c>
      <c r="H1159">
        <v>1328.3698730000001</v>
      </c>
      <c r="I1159">
        <v>1336.2142334</v>
      </c>
      <c r="J1159">
        <v>1334.3381348</v>
      </c>
      <c r="K1159">
        <v>0</v>
      </c>
      <c r="L1159">
        <v>1650</v>
      </c>
      <c r="M1159">
        <v>1650</v>
      </c>
      <c r="N1159">
        <v>0</v>
      </c>
    </row>
    <row r="1160" spans="1:14" x14ac:dyDescent="0.25">
      <c r="A1160">
        <v>568.67307800000003</v>
      </c>
      <c r="B1160" s="1">
        <f>DATE(2011,11,20) + TIME(16,9,13)</f>
        <v>40867.673067129632</v>
      </c>
      <c r="C1160">
        <v>80</v>
      </c>
      <c r="D1160">
        <v>78.073623656999999</v>
      </c>
      <c r="E1160">
        <v>50</v>
      </c>
      <c r="F1160">
        <v>49.966293335000003</v>
      </c>
      <c r="G1160">
        <v>1329.3448486</v>
      </c>
      <c r="H1160">
        <v>1328.3282471</v>
      </c>
      <c r="I1160">
        <v>1336.2098389</v>
      </c>
      <c r="J1160">
        <v>1334.3361815999999</v>
      </c>
      <c r="K1160">
        <v>0</v>
      </c>
      <c r="L1160">
        <v>1650</v>
      </c>
      <c r="M1160">
        <v>1650</v>
      </c>
      <c r="N1160">
        <v>0</v>
      </c>
    </row>
    <row r="1161" spans="1:14" x14ac:dyDescent="0.25">
      <c r="A1161">
        <v>569.54405999999994</v>
      </c>
      <c r="B1161" s="1">
        <f>DATE(2011,11,21) + TIME(13,3,26)</f>
        <v>40868.544050925928</v>
      </c>
      <c r="C1161">
        <v>80</v>
      </c>
      <c r="D1161">
        <v>77.999153136999993</v>
      </c>
      <c r="E1161">
        <v>50</v>
      </c>
      <c r="F1161">
        <v>49.966266632</v>
      </c>
      <c r="G1161">
        <v>1329.3143310999999</v>
      </c>
      <c r="H1161">
        <v>1328.2863769999999</v>
      </c>
      <c r="I1161">
        <v>1336.2054443</v>
      </c>
      <c r="J1161">
        <v>1334.3342285000001</v>
      </c>
      <c r="K1161">
        <v>0</v>
      </c>
      <c r="L1161">
        <v>1650</v>
      </c>
      <c r="M1161">
        <v>1650</v>
      </c>
      <c r="N1161">
        <v>0</v>
      </c>
    </row>
    <row r="1162" spans="1:14" x14ac:dyDescent="0.25">
      <c r="A1162">
        <v>570.43274599999995</v>
      </c>
      <c r="B1162" s="1">
        <f>DATE(2011,11,22) + TIME(10,23,9)</f>
        <v>40869.432743055557</v>
      </c>
      <c r="C1162">
        <v>80</v>
      </c>
      <c r="D1162">
        <v>77.922752380000006</v>
      </c>
      <c r="E1162">
        <v>50</v>
      </c>
      <c r="F1162">
        <v>49.966247559000003</v>
      </c>
      <c r="G1162">
        <v>1329.2835693</v>
      </c>
      <c r="H1162">
        <v>1328.2441406</v>
      </c>
      <c r="I1162">
        <v>1336.2010498</v>
      </c>
      <c r="J1162">
        <v>1334.3323975000001</v>
      </c>
      <c r="K1162">
        <v>0</v>
      </c>
      <c r="L1162">
        <v>1650</v>
      </c>
      <c r="M1162">
        <v>1650</v>
      </c>
      <c r="N1162">
        <v>0</v>
      </c>
    </row>
    <row r="1163" spans="1:14" x14ac:dyDescent="0.25">
      <c r="A1163">
        <v>571.34544300000005</v>
      </c>
      <c r="B1163" s="1">
        <f>DATE(2011,11,23) + TIME(8,17,26)</f>
        <v>40870.345439814817</v>
      </c>
      <c r="C1163">
        <v>80</v>
      </c>
      <c r="D1163">
        <v>77.844169617000006</v>
      </c>
      <c r="E1163">
        <v>50</v>
      </c>
      <c r="F1163">
        <v>49.966224670000003</v>
      </c>
      <c r="G1163">
        <v>1329.2526855000001</v>
      </c>
      <c r="H1163">
        <v>1328.2019043</v>
      </c>
      <c r="I1163">
        <v>1336.1967772999999</v>
      </c>
      <c r="J1163">
        <v>1334.3305664</v>
      </c>
      <c r="K1163">
        <v>0</v>
      </c>
      <c r="L1163">
        <v>1650</v>
      </c>
      <c r="M1163">
        <v>1650</v>
      </c>
      <c r="N1163">
        <v>0</v>
      </c>
    </row>
    <row r="1164" spans="1:14" x14ac:dyDescent="0.25">
      <c r="A1164">
        <v>572.28877699999998</v>
      </c>
      <c r="B1164" s="1">
        <f>DATE(2011,11,24) + TIME(6,55,50)</f>
        <v>40871.288773148146</v>
      </c>
      <c r="C1164">
        <v>80</v>
      </c>
      <c r="D1164">
        <v>77.762969971000004</v>
      </c>
      <c r="E1164">
        <v>50</v>
      </c>
      <c r="F1164">
        <v>49.966205596999998</v>
      </c>
      <c r="G1164">
        <v>1329.2216797000001</v>
      </c>
      <c r="H1164">
        <v>1328.1594238</v>
      </c>
      <c r="I1164">
        <v>1336.1926269999999</v>
      </c>
      <c r="J1164">
        <v>1334.3288574000001</v>
      </c>
      <c r="K1164">
        <v>0</v>
      </c>
      <c r="L1164">
        <v>1650</v>
      </c>
      <c r="M1164">
        <v>1650</v>
      </c>
      <c r="N1164">
        <v>0</v>
      </c>
    </row>
    <row r="1165" spans="1:14" x14ac:dyDescent="0.25">
      <c r="A1165">
        <v>573.27015700000004</v>
      </c>
      <c r="B1165" s="1">
        <f>DATE(2011,11,25) + TIME(6,29,1)</f>
        <v>40872.270150462966</v>
      </c>
      <c r="C1165">
        <v>80</v>
      </c>
      <c r="D1165">
        <v>77.678588867000002</v>
      </c>
      <c r="E1165">
        <v>50</v>
      </c>
      <c r="F1165">
        <v>49.966186522999998</v>
      </c>
      <c r="G1165">
        <v>1329.1901855000001</v>
      </c>
      <c r="H1165">
        <v>1328.1165771000001</v>
      </c>
      <c r="I1165">
        <v>1336.1884766000001</v>
      </c>
      <c r="J1165">
        <v>1334.3271483999999</v>
      </c>
      <c r="K1165">
        <v>0</v>
      </c>
      <c r="L1165">
        <v>1650</v>
      </c>
      <c r="M1165">
        <v>1650</v>
      </c>
      <c r="N1165">
        <v>0</v>
      </c>
    </row>
    <row r="1166" spans="1:14" x14ac:dyDescent="0.25">
      <c r="A1166">
        <v>574.29700000000003</v>
      </c>
      <c r="B1166" s="1">
        <f>DATE(2011,11,26) + TIME(7,7,40)</f>
        <v>40873.296990740739</v>
      </c>
      <c r="C1166">
        <v>80</v>
      </c>
      <c r="D1166">
        <v>77.590370178000001</v>
      </c>
      <c r="E1166">
        <v>50</v>
      </c>
      <c r="F1166">
        <v>49.96616745</v>
      </c>
      <c r="G1166">
        <v>1329.1582031</v>
      </c>
      <c r="H1166">
        <v>1328.0729980000001</v>
      </c>
      <c r="I1166">
        <v>1336.1842041</v>
      </c>
      <c r="J1166">
        <v>1334.3254394999999</v>
      </c>
      <c r="K1166">
        <v>0</v>
      </c>
      <c r="L1166">
        <v>1650</v>
      </c>
      <c r="M1166">
        <v>1650</v>
      </c>
      <c r="N1166">
        <v>0</v>
      </c>
    </row>
    <row r="1167" spans="1:14" x14ac:dyDescent="0.25">
      <c r="A1167">
        <v>575.364104</v>
      </c>
      <c r="B1167" s="1">
        <f>DATE(2011,11,27) + TIME(8,44,18)</f>
        <v>40874.36409722222</v>
      </c>
      <c r="C1167">
        <v>80</v>
      </c>
      <c r="D1167">
        <v>77.498100281000006</v>
      </c>
      <c r="E1167">
        <v>50</v>
      </c>
      <c r="F1167">
        <v>49.966148376</v>
      </c>
      <c r="G1167">
        <v>1329.1256103999999</v>
      </c>
      <c r="H1167">
        <v>1328.0285644999999</v>
      </c>
      <c r="I1167">
        <v>1336.1800536999999</v>
      </c>
      <c r="J1167">
        <v>1334.3237305</v>
      </c>
      <c r="K1167">
        <v>0</v>
      </c>
      <c r="L1167">
        <v>1650</v>
      </c>
      <c r="M1167">
        <v>1650</v>
      </c>
      <c r="N1167">
        <v>0</v>
      </c>
    </row>
    <row r="1168" spans="1:14" x14ac:dyDescent="0.25">
      <c r="A1168">
        <v>576.45047399999999</v>
      </c>
      <c r="B1168" s="1">
        <f>DATE(2011,11,28) + TIME(10,48,40)</f>
        <v>40875.450462962966</v>
      </c>
      <c r="C1168">
        <v>80</v>
      </c>
      <c r="D1168">
        <v>77.402503967000001</v>
      </c>
      <c r="E1168">
        <v>50</v>
      </c>
      <c r="F1168">
        <v>49.966129303000002</v>
      </c>
      <c r="G1168">
        <v>1329.0924072</v>
      </c>
      <c r="H1168">
        <v>1327.9835204999999</v>
      </c>
      <c r="I1168">
        <v>1336.1757812000001</v>
      </c>
      <c r="J1168">
        <v>1334.3221435999999</v>
      </c>
      <c r="K1168">
        <v>0</v>
      </c>
      <c r="L1168">
        <v>1650</v>
      </c>
      <c r="M1168">
        <v>1650</v>
      </c>
      <c r="N1168">
        <v>0</v>
      </c>
    </row>
    <row r="1169" spans="1:14" x14ac:dyDescent="0.25">
      <c r="A1169">
        <v>577.56513600000005</v>
      </c>
      <c r="B1169" s="1">
        <f>DATE(2011,11,29) + TIME(13,33,47)</f>
        <v>40876.565127314818</v>
      </c>
      <c r="C1169">
        <v>80</v>
      </c>
      <c r="D1169">
        <v>77.303611755000006</v>
      </c>
      <c r="E1169">
        <v>50</v>
      </c>
      <c r="F1169">
        <v>49.966114044000001</v>
      </c>
      <c r="G1169">
        <v>1329.059082</v>
      </c>
      <c r="H1169">
        <v>1327.9383545000001</v>
      </c>
      <c r="I1169">
        <v>1336.1716309000001</v>
      </c>
      <c r="J1169">
        <v>1334.3206786999999</v>
      </c>
      <c r="K1169">
        <v>0</v>
      </c>
      <c r="L1169">
        <v>1650</v>
      </c>
      <c r="M1169">
        <v>1650</v>
      </c>
      <c r="N1169">
        <v>0</v>
      </c>
    </row>
    <row r="1170" spans="1:14" x14ac:dyDescent="0.25">
      <c r="A1170">
        <v>578.71730100000002</v>
      </c>
      <c r="B1170" s="1">
        <f>DATE(2011,11,30) + TIME(17,12,54)</f>
        <v>40877.717291666668</v>
      </c>
      <c r="C1170">
        <v>80</v>
      </c>
      <c r="D1170">
        <v>77.200996399000005</v>
      </c>
      <c r="E1170">
        <v>50</v>
      </c>
      <c r="F1170">
        <v>49.966094970999997</v>
      </c>
      <c r="G1170">
        <v>1329.0255127</v>
      </c>
      <c r="H1170">
        <v>1327.8929443</v>
      </c>
      <c r="I1170">
        <v>1336.1676024999999</v>
      </c>
      <c r="J1170">
        <v>1334.3192139</v>
      </c>
      <c r="K1170">
        <v>0</v>
      </c>
      <c r="L1170">
        <v>1650</v>
      </c>
      <c r="M1170">
        <v>1650</v>
      </c>
      <c r="N1170">
        <v>0</v>
      </c>
    </row>
    <row r="1171" spans="1:14" x14ac:dyDescent="0.25">
      <c r="A1171">
        <v>579</v>
      </c>
      <c r="B1171" s="1">
        <f>DATE(2011,12,1) + TIME(0,0,0)</f>
        <v>40878</v>
      </c>
      <c r="C1171">
        <v>80</v>
      </c>
      <c r="D1171">
        <v>77.156883239999999</v>
      </c>
      <c r="E1171">
        <v>50</v>
      </c>
      <c r="F1171">
        <v>49.966083527000002</v>
      </c>
      <c r="G1171">
        <v>1328.9935303</v>
      </c>
      <c r="H1171">
        <v>1327.8513184000001</v>
      </c>
      <c r="I1171">
        <v>1336.1633300999999</v>
      </c>
      <c r="J1171">
        <v>1334.3176269999999</v>
      </c>
      <c r="K1171">
        <v>0</v>
      </c>
      <c r="L1171">
        <v>1650</v>
      </c>
      <c r="M1171">
        <v>1650</v>
      </c>
      <c r="N1171">
        <v>0</v>
      </c>
    </row>
    <row r="1172" spans="1:14" x14ac:dyDescent="0.25">
      <c r="A1172">
        <v>580.19985499999996</v>
      </c>
      <c r="B1172" s="1">
        <f>DATE(2011,12,2) + TIME(4,47,47)</f>
        <v>40879.199849537035</v>
      </c>
      <c r="C1172">
        <v>80</v>
      </c>
      <c r="D1172">
        <v>77.059646606000001</v>
      </c>
      <c r="E1172">
        <v>50</v>
      </c>
      <c r="F1172">
        <v>49.966072083</v>
      </c>
      <c r="G1172">
        <v>1328.9803466999999</v>
      </c>
      <c r="H1172">
        <v>1327.8306885</v>
      </c>
      <c r="I1172">
        <v>1336.1624756000001</v>
      </c>
      <c r="J1172">
        <v>1334.3173827999999</v>
      </c>
      <c r="K1172">
        <v>0</v>
      </c>
      <c r="L1172">
        <v>1650</v>
      </c>
      <c r="M1172">
        <v>1650</v>
      </c>
      <c r="N1172">
        <v>0</v>
      </c>
    </row>
    <row r="1173" spans="1:14" x14ac:dyDescent="0.25">
      <c r="A1173">
        <v>581.42055800000003</v>
      </c>
      <c r="B1173" s="1">
        <f>DATE(2011,12,3) + TIME(10,5,36)</f>
        <v>40880.420555555553</v>
      </c>
      <c r="C1173">
        <v>80</v>
      </c>
      <c r="D1173">
        <v>76.952812195000007</v>
      </c>
      <c r="E1173">
        <v>50</v>
      </c>
      <c r="F1173">
        <v>49.966056823999999</v>
      </c>
      <c r="G1173">
        <v>1328.9477539</v>
      </c>
      <c r="H1173">
        <v>1327.7874756000001</v>
      </c>
      <c r="I1173">
        <v>1336.1584473</v>
      </c>
      <c r="J1173">
        <v>1334.3160399999999</v>
      </c>
      <c r="K1173">
        <v>0</v>
      </c>
      <c r="L1173">
        <v>1650</v>
      </c>
      <c r="M1173">
        <v>1650</v>
      </c>
      <c r="N1173">
        <v>0</v>
      </c>
    </row>
    <row r="1174" spans="1:14" x14ac:dyDescent="0.25">
      <c r="A1174">
        <v>582.664851</v>
      </c>
      <c r="B1174" s="1">
        <f>DATE(2011,12,4) + TIME(15,57,23)</f>
        <v>40881.664849537039</v>
      </c>
      <c r="C1174">
        <v>80</v>
      </c>
      <c r="D1174">
        <v>76.839912415000001</v>
      </c>
      <c r="E1174">
        <v>50</v>
      </c>
      <c r="F1174">
        <v>49.966041564999998</v>
      </c>
      <c r="G1174">
        <v>1328.9143065999999</v>
      </c>
      <c r="H1174">
        <v>1327.7426757999999</v>
      </c>
      <c r="I1174">
        <v>1336.1544189000001</v>
      </c>
      <c r="J1174">
        <v>1334.3146973</v>
      </c>
      <c r="K1174">
        <v>0</v>
      </c>
      <c r="L1174">
        <v>1650</v>
      </c>
      <c r="M1174">
        <v>1650</v>
      </c>
      <c r="N1174">
        <v>0</v>
      </c>
    </row>
    <row r="1175" spans="1:14" x14ac:dyDescent="0.25">
      <c r="A1175">
        <v>583.94187599999998</v>
      </c>
      <c r="B1175" s="1">
        <f>DATE(2011,12,5) + TIME(22,36,18)</f>
        <v>40882.941874999997</v>
      </c>
      <c r="C1175">
        <v>80</v>
      </c>
      <c r="D1175">
        <v>76.722129821999999</v>
      </c>
      <c r="E1175">
        <v>50</v>
      </c>
      <c r="F1175">
        <v>49.966026306000003</v>
      </c>
      <c r="G1175">
        <v>1328.8803711</v>
      </c>
      <c r="H1175">
        <v>1327.6972656</v>
      </c>
      <c r="I1175">
        <v>1336.1505127</v>
      </c>
      <c r="J1175">
        <v>1334.3134766000001</v>
      </c>
      <c r="K1175">
        <v>0</v>
      </c>
      <c r="L1175">
        <v>1650</v>
      </c>
      <c r="M1175">
        <v>1650</v>
      </c>
      <c r="N1175">
        <v>0</v>
      </c>
    </row>
    <row r="1176" spans="1:14" x14ac:dyDescent="0.25">
      <c r="A1176">
        <v>585.26144499999998</v>
      </c>
      <c r="B1176" s="1">
        <f>DATE(2011,12,7) + TIME(6,16,28)</f>
        <v>40884.261435185188</v>
      </c>
      <c r="C1176">
        <v>80</v>
      </c>
      <c r="D1176">
        <v>76.599449157999999</v>
      </c>
      <c r="E1176">
        <v>50</v>
      </c>
      <c r="F1176">
        <v>49.966011047000002</v>
      </c>
      <c r="G1176">
        <v>1328.8463135</v>
      </c>
      <c r="H1176">
        <v>1327.6513672000001</v>
      </c>
      <c r="I1176">
        <v>1336.1466064000001</v>
      </c>
      <c r="J1176">
        <v>1334.3122559000001</v>
      </c>
      <c r="K1176">
        <v>0</v>
      </c>
      <c r="L1176">
        <v>1650</v>
      </c>
      <c r="M1176">
        <v>1650</v>
      </c>
      <c r="N1176">
        <v>0</v>
      </c>
    </row>
    <row r="1177" spans="1:14" x14ac:dyDescent="0.25">
      <c r="A1177">
        <v>586.63455699999997</v>
      </c>
      <c r="B1177" s="1">
        <f>DATE(2011,12,8) + TIME(15,13,45)</f>
        <v>40885.634548611109</v>
      </c>
      <c r="C1177">
        <v>80</v>
      </c>
      <c r="D1177">
        <v>76.471221924000005</v>
      </c>
      <c r="E1177">
        <v>50</v>
      </c>
      <c r="F1177">
        <v>49.965995788999997</v>
      </c>
      <c r="G1177">
        <v>1328.8117675999999</v>
      </c>
      <c r="H1177">
        <v>1327.6051024999999</v>
      </c>
      <c r="I1177">
        <v>1336.1427002</v>
      </c>
      <c r="J1177">
        <v>1334.3111572</v>
      </c>
      <c r="K1177">
        <v>0</v>
      </c>
      <c r="L1177">
        <v>1650</v>
      </c>
      <c r="M1177">
        <v>1650</v>
      </c>
      <c r="N1177">
        <v>0</v>
      </c>
    </row>
    <row r="1178" spans="1:14" x14ac:dyDescent="0.25">
      <c r="A1178">
        <v>588.06717300000003</v>
      </c>
      <c r="B1178" s="1">
        <f>DATE(2011,12,10) + TIME(1,36,43)</f>
        <v>40887.067164351851</v>
      </c>
      <c r="C1178">
        <v>80</v>
      </c>
      <c r="D1178">
        <v>76.336700438999998</v>
      </c>
      <c r="E1178">
        <v>50</v>
      </c>
      <c r="F1178">
        <v>49.965984343999999</v>
      </c>
      <c r="G1178">
        <v>1328.7767334</v>
      </c>
      <c r="H1178">
        <v>1327.5582274999999</v>
      </c>
      <c r="I1178">
        <v>1336.1387939000001</v>
      </c>
      <c r="J1178">
        <v>1334.3100586</v>
      </c>
      <c r="K1178">
        <v>0</v>
      </c>
      <c r="L1178">
        <v>1650</v>
      </c>
      <c r="M1178">
        <v>1650</v>
      </c>
      <c r="N1178">
        <v>0</v>
      </c>
    </row>
    <row r="1179" spans="1:14" x14ac:dyDescent="0.25">
      <c r="A1179">
        <v>589.54334500000004</v>
      </c>
      <c r="B1179" s="1">
        <f>DATE(2011,12,11) + TIME(13,2,25)</f>
        <v>40888.543344907404</v>
      </c>
      <c r="C1179">
        <v>80</v>
      </c>
      <c r="D1179">
        <v>76.19593811</v>
      </c>
      <c r="E1179">
        <v>50</v>
      </c>
      <c r="F1179">
        <v>49.965969086000001</v>
      </c>
      <c r="G1179">
        <v>1328.7410889</v>
      </c>
      <c r="H1179">
        <v>1327.5107422000001</v>
      </c>
      <c r="I1179">
        <v>1336.1347656</v>
      </c>
      <c r="J1179">
        <v>1334.3089600000001</v>
      </c>
      <c r="K1179">
        <v>0</v>
      </c>
      <c r="L1179">
        <v>1650</v>
      </c>
      <c r="M1179">
        <v>1650</v>
      </c>
      <c r="N1179">
        <v>0</v>
      </c>
    </row>
    <row r="1180" spans="1:14" x14ac:dyDescent="0.25">
      <c r="A1180">
        <v>591.07738700000004</v>
      </c>
      <c r="B1180" s="1">
        <f>DATE(2011,12,13) + TIME(1,51,26)</f>
        <v>40890.077384259261</v>
      </c>
      <c r="C1180">
        <v>80</v>
      </c>
      <c r="D1180">
        <v>76.048774718999994</v>
      </c>
      <c r="E1180">
        <v>50</v>
      </c>
      <c r="F1180">
        <v>49.965953827</v>
      </c>
      <c r="G1180">
        <v>1328.7050781</v>
      </c>
      <c r="H1180">
        <v>1327.4626464999999</v>
      </c>
      <c r="I1180">
        <v>1336.1308594</v>
      </c>
      <c r="J1180">
        <v>1334.3079834</v>
      </c>
      <c r="K1180">
        <v>0</v>
      </c>
      <c r="L1180">
        <v>1650</v>
      </c>
      <c r="M1180">
        <v>1650</v>
      </c>
      <c r="N1180">
        <v>0</v>
      </c>
    </row>
    <row r="1181" spans="1:14" x14ac:dyDescent="0.25">
      <c r="A1181">
        <v>592.63955699999997</v>
      </c>
      <c r="B1181" s="1">
        <f>DATE(2011,12,14) + TIME(15,20,57)</f>
        <v>40891.639548611114</v>
      </c>
      <c r="C1181">
        <v>80</v>
      </c>
      <c r="D1181">
        <v>75.895767211999996</v>
      </c>
      <c r="E1181">
        <v>50</v>
      </c>
      <c r="F1181">
        <v>49.965942382999998</v>
      </c>
      <c r="G1181">
        <v>1328.6687012</v>
      </c>
      <c r="H1181">
        <v>1327.4141846</v>
      </c>
      <c r="I1181">
        <v>1336.1269531</v>
      </c>
      <c r="J1181">
        <v>1334.3068848</v>
      </c>
      <c r="K1181">
        <v>0</v>
      </c>
      <c r="L1181">
        <v>1650</v>
      </c>
      <c r="M1181">
        <v>1650</v>
      </c>
      <c r="N1181">
        <v>0</v>
      </c>
    </row>
    <row r="1182" spans="1:14" x14ac:dyDescent="0.25">
      <c r="A1182">
        <v>594.21900700000003</v>
      </c>
      <c r="B1182" s="1">
        <f>DATE(2011,12,16) + TIME(5,15,22)</f>
        <v>40893.219004629631</v>
      </c>
      <c r="C1182">
        <v>80</v>
      </c>
      <c r="D1182">
        <v>75.738334656000006</v>
      </c>
      <c r="E1182">
        <v>50</v>
      </c>
      <c r="F1182">
        <v>49.965927123999997</v>
      </c>
      <c r="G1182">
        <v>1328.6323242000001</v>
      </c>
      <c r="H1182">
        <v>1327.3656006000001</v>
      </c>
      <c r="I1182">
        <v>1336.1230469</v>
      </c>
      <c r="J1182">
        <v>1334.3060303</v>
      </c>
      <c r="K1182">
        <v>0</v>
      </c>
      <c r="L1182">
        <v>1650</v>
      </c>
      <c r="M1182">
        <v>1650</v>
      </c>
      <c r="N1182">
        <v>0</v>
      </c>
    </row>
    <row r="1183" spans="1:14" x14ac:dyDescent="0.25">
      <c r="A1183">
        <v>595.828394</v>
      </c>
      <c r="B1183" s="1">
        <f>DATE(2011,12,17) + TIME(19,52,53)</f>
        <v>40894.8283912037</v>
      </c>
      <c r="C1183">
        <v>80</v>
      </c>
      <c r="D1183">
        <v>75.576904296999999</v>
      </c>
      <c r="E1183">
        <v>50</v>
      </c>
      <c r="F1183">
        <v>49.965915680000002</v>
      </c>
      <c r="G1183">
        <v>1328.5961914</v>
      </c>
      <c r="H1183">
        <v>1327.3175048999999</v>
      </c>
      <c r="I1183">
        <v>1336.1191406</v>
      </c>
      <c r="J1183">
        <v>1334.3050536999999</v>
      </c>
      <c r="K1183">
        <v>0</v>
      </c>
      <c r="L1183">
        <v>1650</v>
      </c>
      <c r="M1183">
        <v>1650</v>
      </c>
      <c r="N1183">
        <v>0</v>
      </c>
    </row>
    <row r="1184" spans="1:14" x14ac:dyDescent="0.25">
      <c r="A1184">
        <v>597.48058700000001</v>
      </c>
      <c r="B1184" s="1">
        <f>DATE(2011,12,19) + TIME(11,32,2)</f>
        <v>40896.480578703704</v>
      </c>
      <c r="C1184">
        <v>80</v>
      </c>
      <c r="D1184">
        <v>75.410812378000003</v>
      </c>
      <c r="E1184">
        <v>50</v>
      </c>
      <c r="F1184">
        <v>49.965900421000001</v>
      </c>
      <c r="G1184">
        <v>1328.5603027</v>
      </c>
      <c r="H1184">
        <v>1327.2697754000001</v>
      </c>
      <c r="I1184">
        <v>1336.1153564000001</v>
      </c>
      <c r="J1184">
        <v>1334.3043213000001</v>
      </c>
      <c r="K1184">
        <v>0</v>
      </c>
      <c r="L1184">
        <v>1650</v>
      </c>
      <c r="M1184">
        <v>1650</v>
      </c>
      <c r="N1184">
        <v>0</v>
      </c>
    </row>
    <row r="1185" spans="1:14" x14ac:dyDescent="0.25">
      <c r="A1185">
        <v>599.18940699999996</v>
      </c>
      <c r="B1185" s="1">
        <f>DATE(2011,12,21) + TIME(4,32,44)</f>
        <v>40898.189398148148</v>
      </c>
      <c r="C1185">
        <v>80</v>
      </c>
      <c r="D1185">
        <v>75.238975525000001</v>
      </c>
      <c r="E1185">
        <v>50</v>
      </c>
      <c r="F1185">
        <v>49.965888976999999</v>
      </c>
      <c r="G1185">
        <v>1328.5244141000001</v>
      </c>
      <c r="H1185">
        <v>1327.2220459</v>
      </c>
      <c r="I1185">
        <v>1336.1115723</v>
      </c>
      <c r="J1185">
        <v>1334.3034668</v>
      </c>
      <c r="K1185">
        <v>0</v>
      </c>
      <c r="L1185">
        <v>1650</v>
      </c>
      <c r="M1185">
        <v>1650</v>
      </c>
      <c r="N1185">
        <v>0</v>
      </c>
    </row>
    <row r="1186" spans="1:14" x14ac:dyDescent="0.25">
      <c r="A1186">
        <v>600.97029099999997</v>
      </c>
      <c r="B1186" s="1">
        <f>DATE(2011,12,22) + TIME(23,17,13)</f>
        <v>40899.970289351855</v>
      </c>
      <c r="C1186">
        <v>80</v>
      </c>
      <c r="D1186">
        <v>75.060035705999994</v>
      </c>
      <c r="E1186">
        <v>50</v>
      </c>
      <c r="F1186">
        <v>49.965877532999997</v>
      </c>
      <c r="G1186">
        <v>1328.4882812000001</v>
      </c>
      <c r="H1186">
        <v>1327.1741943</v>
      </c>
      <c r="I1186">
        <v>1336.1077881000001</v>
      </c>
      <c r="J1186">
        <v>1334.3027344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602.81974100000002</v>
      </c>
      <c r="B1187" s="1">
        <f>DATE(2011,12,24) + TIME(19,40,25)</f>
        <v>40901.819733796299</v>
      </c>
      <c r="C1187">
        <v>80</v>
      </c>
      <c r="D1187">
        <v>74.872909546000002</v>
      </c>
      <c r="E1187">
        <v>50</v>
      </c>
      <c r="F1187">
        <v>49.965869904000002</v>
      </c>
      <c r="G1187">
        <v>1328.4516602000001</v>
      </c>
      <c r="H1187">
        <v>1327.1258545000001</v>
      </c>
      <c r="I1187">
        <v>1336.1040039</v>
      </c>
      <c r="J1187">
        <v>1334.3020019999999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604.72209099999998</v>
      </c>
      <c r="B1188" s="1">
        <f>DATE(2011,12,26) + TIME(17,19,48)</f>
        <v>40903.722083333334</v>
      </c>
      <c r="C1188">
        <v>80</v>
      </c>
      <c r="D1188">
        <v>74.677871703999998</v>
      </c>
      <c r="E1188">
        <v>50</v>
      </c>
      <c r="F1188">
        <v>49.965858459000003</v>
      </c>
      <c r="G1188">
        <v>1328.4146728999999</v>
      </c>
      <c r="H1188">
        <v>1327.0770264</v>
      </c>
      <c r="I1188">
        <v>1336.1000977000001</v>
      </c>
      <c r="J1188">
        <v>1334.3012695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606.69596100000001</v>
      </c>
      <c r="B1189" s="1">
        <f>DATE(2011,12,28) + TIME(16,42,10)</f>
        <v>40905.695949074077</v>
      </c>
      <c r="C1189">
        <v>80</v>
      </c>
      <c r="D1189">
        <v>74.475181579999997</v>
      </c>
      <c r="E1189">
        <v>50</v>
      </c>
      <c r="F1189">
        <v>49.965847015000001</v>
      </c>
      <c r="G1189">
        <v>1328.3774414</v>
      </c>
      <c r="H1189">
        <v>1327.027832</v>
      </c>
      <c r="I1189">
        <v>1336.0963135</v>
      </c>
      <c r="J1189">
        <v>1334.3005370999999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608.70712700000001</v>
      </c>
      <c r="B1190" s="1">
        <f>DATE(2011,12,30) + TIME(16,58,15)</f>
        <v>40907.707118055558</v>
      </c>
      <c r="C1190">
        <v>80</v>
      </c>
      <c r="D1190">
        <v>74.265159607000001</v>
      </c>
      <c r="E1190">
        <v>50</v>
      </c>
      <c r="F1190">
        <v>49.965839385999999</v>
      </c>
      <c r="G1190">
        <v>1328.3399658000001</v>
      </c>
      <c r="H1190">
        <v>1326.9783935999999</v>
      </c>
      <c r="I1190">
        <v>1336.0924072</v>
      </c>
      <c r="J1190">
        <v>1334.2999268000001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610</v>
      </c>
      <c r="B1191" s="1">
        <f>DATE(2012,1,1) + TIME(0,0,0)</f>
        <v>40909</v>
      </c>
      <c r="C1191">
        <v>80</v>
      </c>
      <c r="D1191">
        <v>74.080101013000004</v>
      </c>
      <c r="E1191">
        <v>50</v>
      </c>
      <c r="F1191">
        <v>49.965820311999998</v>
      </c>
      <c r="G1191">
        <v>1328.3029785000001</v>
      </c>
      <c r="H1191">
        <v>1326.9301757999999</v>
      </c>
      <c r="I1191">
        <v>1336.088501</v>
      </c>
      <c r="J1191">
        <v>1334.2993164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612.04290100000003</v>
      </c>
      <c r="B1192" s="1">
        <f>DATE(2012,1,3) + TIME(1,1,46)</f>
        <v>40911.042893518519</v>
      </c>
      <c r="C1192">
        <v>80</v>
      </c>
      <c r="D1192">
        <v>73.896873474000003</v>
      </c>
      <c r="E1192">
        <v>50</v>
      </c>
      <c r="F1192">
        <v>49.965820311999998</v>
      </c>
      <c r="G1192">
        <v>1328.2752685999999</v>
      </c>
      <c r="H1192">
        <v>1326.8909911999999</v>
      </c>
      <c r="I1192">
        <v>1336.0860596</v>
      </c>
      <c r="J1192">
        <v>1334.2989502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614.17802200000006</v>
      </c>
      <c r="B1193" s="1">
        <f>DATE(2012,1,5) + TIME(4,16,21)</f>
        <v>40913.178020833337</v>
      </c>
      <c r="C1193">
        <v>80</v>
      </c>
      <c r="D1193">
        <v>73.683555603000002</v>
      </c>
      <c r="E1193">
        <v>50</v>
      </c>
      <c r="F1193">
        <v>49.965816498000002</v>
      </c>
      <c r="G1193">
        <v>1328.2410889</v>
      </c>
      <c r="H1193">
        <v>1326.847168</v>
      </c>
      <c r="I1193">
        <v>1336.0823975000001</v>
      </c>
      <c r="J1193">
        <v>1334.2983397999999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616.38554499999998</v>
      </c>
      <c r="B1194" s="1">
        <f>DATE(2012,1,7) + TIME(9,15,11)</f>
        <v>40915.38554398148</v>
      </c>
      <c r="C1194">
        <v>80</v>
      </c>
      <c r="D1194">
        <v>73.454544067</v>
      </c>
      <c r="E1194">
        <v>50</v>
      </c>
      <c r="F1194">
        <v>49.965808868000003</v>
      </c>
      <c r="G1194">
        <v>1328.2049560999999</v>
      </c>
      <c r="H1194">
        <v>1326.8001709</v>
      </c>
      <c r="I1194">
        <v>1336.0784911999999</v>
      </c>
      <c r="J1194">
        <v>1334.2978516000001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618.66098799999997</v>
      </c>
      <c r="B1195" s="1">
        <f>DATE(2012,1,9) + TIME(15,51,49)</f>
        <v>40917.660983796297</v>
      </c>
      <c r="C1195">
        <v>80</v>
      </c>
      <c r="D1195">
        <v>73.215133667000003</v>
      </c>
      <c r="E1195">
        <v>50</v>
      </c>
      <c r="F1195">
        <v>49.965805054</v>
      </c>
      <c r="G1195">
        <v>1328.1680908000001</v>
      </c>
      <c r="H1195">
        <v>1326.7518310999999</v>
      </c>
      <c r="I1195">
        <v>1336.074707</v>
      </c>
      <c r="J1195">
        <v>1334.2973632999999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621.01819599999999</v>
      </c>
      <c r="B1196" s="1">
        <f>DATE(2012,1,12) + TIME(0,26,12)</f>
        <v>40920.018194444441</v>
      </c>
      <c r="C1196">
        <v>80</v>
      </c>
      <c r="D1196">
        <v>72.966674804999997</v>
      </c>
      <c r="E1196">
        <v>50</v>
      </c>
      <c r="F1196">
        <v>49.965797424000002</v>
      </c>
      <c r="G1196">
        <v>1328.1308594</v>
      </c>
      <c r="H1196">
        <v>1326.7030029</v>
      </c>
      <c r="I1196">
        <v>1336.0708007999999</v>
      </c>
      <c r="J1196">
        <v>1334.2967529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623.43348500000002</v>
      </c>
      <c r="B1197" s="1">
        <f>DATE(2012,1,14) + TIME(10,24,13)</f>
        <v>40922.433483796296</v>
      </c>
      <c r="C1197">
        <v>80</v>
      </c>
      <c r="D1197">
        <v>72.709457396999994</v>
      </c>
      <c r="E1197">
        <v>50</v>
      </c>
      <c r="F1197">
        <v>49.965793609999999</v>
      </c>
      <c r="G1197">
        <v>1328.0933838000001</v>
      </c>
      <c r="H1197">
        <v>1326.6538086</v>
      </c>
      <c r="I1197">
        <v>1336.0668945</v>
      </c>
      <c r="J1197">
        <v>1334.2962646000001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625.93544899999995</v>
      </c>
      <c r="B1198" s="1">
        <f>DATE(2012,1,16) + TIME(22,27,2)</f>
        <v>40924.935439814813</v>
      </c>
      <c r="C1198">
        <v>80</v>
      </c>
      <c r="D1198">
        <v>72.444190978999998</v>
      </c>
      <c r="E1198">
        <v>50</v>
      </c>
      <c r="F1198">
        <v>49.965789794999999</v>
      </c>
      <c r="G1198">
        <v>1328.0559082</v>
      </c>
      <c r="H1198">
        <v>1326.6046143000001</v>
      </c>
      <c r="I1198">
        <v>1336.0629882999999</v>
      </c>
      <c r="J1198">
        <v>1334.2957764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628.50568399999997</v>
      </c>
      <c r="B1199" s="1">
        <f>DATE(2012,1,19) + TIME(12,8,11)</f>
        <v>40927.505682870367</v>
      </c>
      <c r="C1199">
        <v>80</v>
      </c>
      <c r="D1199">
        <v>72.169952393000003</v>
      </c>
      <c r="E1199">
        <v>50</v>
      </c>
      <c r="F1199">
        <v>49.96578598</v>
      </c>
      <c r="G1199">
        <v>1328.0183105000001</v>
      </c>
      <c r="H1199">
        <v>1326.5552978999999</v>
      </c>
      <c r="I1199">
        <v>1336.059082</v>
      </c>
      <c r="J1199">
        <v>1334.2952881000001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631.107891</v>
      </c>
      <c r="B1200" s="1">
        <f>DATE(2012,1,22) + TIME(2,35,21)</f>
        <v>40930.107881944445</v>
      </c>
      <c r="C1200">
        <v>80</v>
      </c>
      <c r="D1200">
        <v>71.888519286999994</v>
      </c>
      <c r="E1200">
        <v>50</v>
      </c>
      <c r="F1200">
        <v>49.96578598</v>
      </c>
      <c r="G1200">
        <v>1327.9805908000001</v>
      </c>
      <c r="H1200">
        <v>1326.5059814000001</v>
      </c>
      <c r="I1200">
        <v>1336.0551757999999</v>
      </c>
      <c r="J1200">
        <v>1334.2949219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633.76950499999998</v>
      </c>
      <c r="B1201" s="1">
        <f>DATE(2012,1,24) + TIME(18,28,5)</f>
        <v>40932.769502314812</v>
      </c>
      <c r="C1201">
        <v>80</v>
      </c>
      <c r="D1201">
        <v>71.601867675999998</v>
      </c>
      <c r="E1201">
        <v>50</v>
      </c>
      <c r="F1201">
        <v>49.965782165999997</v>
      </c>
      <c r="G1201">
        <v>1327.9433594</v>
      </c>
      <c r="H1201">
        <v>1326.4571533000001</v>
      </c>
      <c r="I1201">
        <v>1336.0512695</v>
      </c>
      <c r="J1201">
        <v>1334.2944336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636.51656800000001</v>
      </c>
      <c r="B1202" s="1">
        <f>DATE(2012,1,27) + TIME(12,23,51)</f>
        <v>40935.516562500001</v>
      </c>
      <c r="C1202">
        <v>80</v>
      </c>
      <c r="D1202">
        <v>71.308258057000003</v>
      </c>
      <c r="E1202">
        <v>50</v>
      </c>
      <c r="F1202">
        <v>49.965782165999997</v>
      </c>
      <c r="G1202">
        <v>1327.9063721</v>
      </c>
      <c r="H1202">
        <v>1326.4086914</v>
      </c>
      <c r="I1202">
        <v>1336.0473632999999</v>
      </c>
      <c r="J1202">
        <v>1334.2939452999999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639.37350000000004</v>
      </c>
      <c r="B1203" s="1">
        <f>DATE(2012,1,30) + TIME(8,57,50)</f>
        <v>40938.373495370368</v>
      </c>
      <c r="C1203">
        <v>80</v>
      </c>
      <c r="D1203">
        <v>71.005233765</v>
      </c>
      <c r="E1203">
        <v>50</v>
      </c>
      <c r="F1203">
        <v>49.96578598</v>
      </c>
      <c r="G1203">
        <v>1327.8695068</v>
      </c>
      <c r="H1203">
        <v>1326.3603516000001</v>
      </c>
      <c r="I1203">
        <v>1336.0433350000001</v>
      </c>
      <c r="J1203">
        <v>1334.293457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641</v>
      </c>
      <c r="B1204" s="1">
        <f>DATE(2012,2,1) + TIME(0,0,0)</f>
        <v>40940</v>
      </c>
      <c r="C1204">
        <v>80</v>
      </c>
      <c r="D1204">
        <v>70.736145019999995</v>
      </c>
      <c r="E1204">
        <v>50</v>
      </c>
      <c r="F1204">
        <v>49.965766907000003</v>
      </c>
      <c r="G1204">
        <v>1327.8326416</v>
      </c>
      <c r="H1204">
        <v>1326.3131103999999</v>
      </c>
      <c r="I1204">
        <v>1336.0393065999999</v>
      </c>
      <c r="J1204">
        <v>1334.2929687999999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643.95067100000006</v>
      </c>
      <c r="B1205" s="1">
        <f>DATE(2012,2,3) + TIME(22,48,58)</f>
        <v>40942.950671296298</v>
      </c>
      <c r="C1205">
        <v>80</v>
      </c>
      <c r="D1205">
        <v>70.493270874000004</v>
      </c>
      <c r="E1205">
        <v>50</v>
      </c>
      <c r="F1205">
        <v>49.96578598</v>
      </c>
      <c r="G1205">
        <v>1327.8070068</v>
      </c>
      <c r="H1205">
        <v>1326.276001</v>
      </c>
      <c r="I1205">
        <v>1336.0371094</v>
      </c>
      <c r="J1205">
        <v>1334.2927245999999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647.01169200000004</v>
      </c>
      <c r="B1206" s="1">
        <f>DATE(2012,2,7) + TIME(0,16,50)</f>
        <v>40946.011689814812</v>
      </c>
      <c r="C1206">
        <v>80</v>
      </c>
      <c r="D1206">
        <v>70.182708739999995</v>
      </c>
      <c r="E1206">
        <v>50</v>
      </c>
      <c r="F1206">
        <v>49.965793609999999</v>
      </c>
      <c r="G1206">
        <v>1327.7736815999999</v>
      </c>
      <c r="H1206">
        <v>1326.234375</v>
      </c>
      <c r="I1206">
        <v>1336.0330810999999</v>
      </c>
      <c r="J1206">
        <v>1334.2922363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650.11681499999997</v>
      </c>
      <c r="B1207" s="1">
        <f>DATE(2012,2,10) + TIME(2,48,12)</f>
        <v>40949.116805555554</v>
      </c>
      <c r="C1207">
        <v>80</v>
      </c>
      <c r="D1207">
        <v>69.850761414000004</v>
      </c>
      <c r="E1207">
        <v>50</v>
      </c>
      <c r="F1207">
        <v>49.965801239000001</v>
      </c>
      <c r="G1207">
        <v>1327.7375488</v>
      </c>
      <c r="H1207">
        <v>1326.1876221</v>
      </c>
      <c r="I1207">
        <v>1336.0290527</v>
      </c>
      <c r="J1207">
        <v>1334.2917480000001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653.31136900000001</v>
      </c>
      <c r="B1208" s="1">
        <f>DATE(2012,2,13) + TIME(7,28,22)</f>
        <v>40952.311365740738</v>
      </c>
      <c r="C1208">
        <v>80</v>
      </c>
      <c r="D1208">
        <v>69.509651184000006</v>
      </c>
      <c r="E1208">
        <v>50</v>
      </c>
      <c r="F1208">
        <v>49.965808868000003</v>
      </c>
      <c r="G1208">
        <v>1327.7011719</v>
      </c>
      <c r="H1208">
        <v>1326.1401367000001</v>
      </c>
      <c r="I1208">
        <v>1336.0249022999999</v>
      </c>
      <c r="J1208">
        <v>1334.2912598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656.59983199999999</v>
      </c>
      <c r="B1209" s="1">
        <f>DATE(2012,2,16) + TIME(14,23,45)</f>
        <v>40955.599826388891</v>
      </c>
      <c r="C1209">
        <v>80</v>
      </c>
      <c r="D1209">
        <v>69.159072875999996</v>
      </c>
      <c r="E1209">
        <v>50</v>
      </c>
      <c r="F1209">
        <v>49.965816498000002</v>
      </c>
      <c r="G1209">
        <v>1327.6649170000001</v>
      </c>
      <c r="H1209">
        <v>1326.0926514</v>
      </c>
      <c r="I1209">
        <v>1336.020874</v>
      </c>
      <c r="J1209">
        <v>1334.2907714999999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659.99119299999995</v>
      </c>
      <c r="B1210" s="1">
        <f>DATE(2012,2,19) + TIME(23,47,19)</f>
        <v>40958.99119212963</v>
      </c>
      <c r="C1210">
        <v>80</v>
      </c>
      <c r="D1210">
        <v>68.798591614000003</v>
      </c>
      <c r="E1210">
        <v>50</v>
      </c>
      <c r="F1210">
        <v>49.965827941999997</v>
      </c>
      <c r="G1210">
        <v>1327.6287841999999</v>
      </c>
      <c r="H1210">
        <v>1326.0452881000001</v>
      </c>
      <c r="I1210">
        <v>1336.0167236</v>
      </c>
      <c r="J1210">
        <v>1334.2901611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663.52622899999994</v>
      </c>
      <c r="B1211" s="1">
        <f>DATE(2012,2,23) + TIME(12,37,46)</f>
        <v>40962.526226851849</v>
      </c>
      <c r="C1211">
        <v>80</v>
      </c>
      <c r="D1211">
        <v>68.426765442000004</v>
      </c>
      <c r="E1211">
        <v>50</v>
      </c>
      <c r="F1211">
        <v>49.965843200999998</v>
      </c>
      <c r="G1211">
        <v>1327.5926514</v>
      </c>
      <c r="H1211">
        <v>1325.9979248</v>
      </c>
      <c r="I1211">
        <v>1336.0125731999999</v>
      </c>
      <c r="J1211">
        <v>1334.2895507999999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667.24508500000002</v>
      </c>
      <c r="B1212" s="1">
        <f>DATE(2012,2,27) + TIME(5,52,55)</f>
        <v>40966.245081018518</v>
      </c>
      <c r="C1212">
        <v>80</v>
      </c>
      <c r="D1212">
        <v>68.039802550999994</v>
      </c>
      <c r="E1212">
        <v>50</v>
      </c>
      <c r="F1212">
        <v>49.965858459000003</v>
      </c>
      <c r="G1212">
        <v>1327.5562743999999</v>
      </c>
      <c r="H1212">
        <v>1325.9504394999999</v>
      </c>
      <c r="I1212">
        <v>1336.0083007999999</v>
      </c>
      <c r="J1212">
        <v>1334.2889404</v>
      </c>
      <c r="K1212">
        <v>0</v>
      </c>
      <c r="L1212">
        <v>1650</v>
      </c>
      <c r="M1212">
        <v>1650</v>
      </c>
      <c r="N1212">
        <v>0</v>
      </c>
    </row>
    <row r="1213" spans="1:14" x14ac:dyDescent="0.25">
      <c r="A1213">
        <v>670</v>
      </c>
      <c r="B1213" s="1">
        <f>DATE(2012,3,1) + TIME(0,0,0)</f>
        <v>40969</v>
      </c>
      <c r="C1213">
        <v>80</v>
      </c>
      <c r="D1213">
        <v>67.659782410000005</v>
      </c>
      <c r="E1213">
        <v>50</v>
      </c>
      <c r="F1213">
        <v>49.965854645</v>
      </c>
      <c r="G1213">
        <v>1327.5194091999999</v>
      </c>
      <c r="H1213">
        <v>1325.9029541</v>
      </c>
      <c r="I1213">
        <v>1336.0037841999999</v>
      </c>
      <c r="J1213">
        <v>1334.2882079999999</v>
      </c>
      <c r="K1213">
        <v>0</v>
      </c>
      <c r="L1213">
        <v>1650</v>
      </c>
      <c r="M1213">
        <v>1650</v>
      </c>
      <c r="N1213">
        <v>0</v>
      </c>
    </row>
    <row r="1214" spans="1:14" x14ac:dyDescent="0.25">
      <c r="A1214">
        <v>673.731718</v>
      </c>
      <c r="B1214" s="1">
        <f>DATE(2012,3,4) + TIME(17,33,40)</f>
        <v>40972.731712962966</v>
      </c>
      <c r="C1214">
        <v>80</v>
      </c>
      <c r="D1214">
        <v>67.323204040999997</v>
      </c>
      <c r="E1214">
        <v>50</v>
      </c>
      <c r="F1214">
        <v>49.965881348000003</v>
      </c>
      <c r="G1214">
        <v>1327.489624</v>
      </c>
      <c r="H1214">
        <v>1325.8612060999999</v>
      </c>
      <c r="I1214">
        <v>1336.0006103999999</v>
      </c>
      <c r="J1214">
        <v>1334.2877197</v>
      </c>
      <c r="K1214">
        <v>0</v>
      </c>
      <c r="L1214">
        <v>1650</v>
      </c>
      <c r="M1214">
        <v>1650</v>
      </c>
      <c r="N1214">
        <v>0</v>
      </c>
    </row>
    <row r="1215" spans="1:14" x14ac:dyDescent="0.25">
      <c r="A1215">
        <v>677.57359199999996</v>
      </c>
      <c r="B1215" s="1">
        <f>DATE(2012,3,8) + TIME(13,45,58)</f>
        <v>40976.573587962965</v>
      </c>
      <c r="C1215">
        <v>80</v>
      </c>
      <c r="D1215">
        <v>66.926231384000005</v>
      </c>
      <c r="E1215">
        <v>50</v>
      </c>
      <c r="F1215">
        <v>49.965900421000001</v>
      </c>
      <c r="G1215">
        <v>1327.456543</v>
      </c>
      <c r="H1215">
        <v>1325.8192139</v>
      </c>
      <c r="I1215">
        <v>1335.9963379000001</v>
      </c>
      <c r="J1215">
        <v>1334.2869873</v>
      </c>
      <c r="K1215">
        <v>0</v>
      </c>
      <c r="L1215">
        <v>1650</v>
      </c>
      <c r="M1215">
        <v>1650</v>
      </c>
      <c r="N1215">
        <v>0</v>
      </c>
    </row>
    <row r="1216" spans="1:14" x14ac:dyDescent="0.25">
      <c r="A1216">
        <v>681.48240899999996</v>
      </c>
      <c r="B1216" s="1">
        <f>DATE(2012,3,12) + TIME(11,34,40)</f>
        <v>40980.482407407406</v>
      </c>
      <c r="C1216">
        <v>80</v>
      </c>
      <c r="D1216">
        <v>66.511405945000007</v>
      </c>
      <c r="E1216">
        <v>50</v>
      </c>
      <c r="F1216">
        <v>49.965923308999997</v>
      </c>
      <c r="G1216">
        <v>1327.4219971</v>
      </c>
      <c r="H1216">
        <v>1325.7740478999999</v>
      </c>
      <c r="I1216">
        <v>1335.9919434000001</v>
      </c>
      <c r="J1216">
        <v>1334.2862548999999</v>
      </c>
      <c r="K1216">
        <v>0</v>
      </c>
      <c r="L1216">
        <v>1650</v>
      </c>
      <c r="M1216">
        <v>1650</v>
      </c>
      <c r="N1216">
        <v>0</v>
      </c>
    </row>
    <row r="1217" spans="1:14" x14ac:dyDescent="0.25">
      <c r="A1217">
        <v>685.49791800000003</v>
      </c>
      <c r="B1217" s="1">
        <f>DATE(2012,3,16) + TIME(11,57,0)</f>
        <v>40984.497916666667</v>
      </c>
      <c r="C1217">
        <v>80</v>
      </c>
      <c r="D1217">
        <v>66.087120056000003</v>
      </c>
      <c r="E1217">
        <v>50</v>
      </c>
      <c r="F1217">
        <v>49.965946197999997</v>
      </c>
      <c r="G1217">
        <v>1327.3878173999999</v>
      </c>
      <c r="H1217">
        <v>1325.7290039</v>
      </c>
      <c r="I1217">
        <v>1335.9875488</v>
      </c>
      <c r="J1217">
        <v>1334.2854004000001</v>
      </c>
      <c r="K1217">
        <v>0</v>
      </c>
      <c r="L1217">
        <v>1650</v>
      </c>
      <c r="M1217">
        <v>1650</v>
      </c>
      <c r="N1217">
        <v>0</v>
      </c>
    </row>
    <row r="1218" spans="1:14" x14ac:dyDescent="0.25">
      <c r="A1218">
        <v>689.70358699999997</v>
      </c>
      <c r="B1218" s="1">
        <f>DATE(2012,3,20) + TIME(16,53,9)</f>
        <v>40988.703576388885</v>
      </c>
      <c r="C1218">
        <v>80</v>
      </c>
      <c r="D1218">
        <v>65.650901794000006</v>
      </c>
      <c r="E1218">
        <v>50</v>
      </c>
      <c r="F1218">
        <v>49.965972899999997</v>
      </c>
      <c r="G1218">
        <v>1327.3538818</v>
      </c>
      <c r="H1218">
        <v>1325.6843262</v>
      </c>
      <c r="I1218">
        <v>1335.9831543</v>
      </c>
      <c r="J1218">
        <v>1334.2845459</v>
      </c>
      <c r="K1218">
        <v>0</v>
      </c>
      <c r="L1218">
        <v>1650</v>
      </c>
      <c r="M1218">
        <v>1650</v>
      </c>
      <c r="N1218">
        <v>0</v>
      </c>
    </row>
    <row r="1219" spans="1:14" x14ac:dyDescent="0.25">
      <c r="A1219">
        <v>694.09200999999996</v>
      </c>
      <c r="B1219" s="1">
        <f>DATE(2012,3,25) + TIME(2,12,29)</f>
        <v>40993.092002314814</v>
      </c>
      <c r="C1219">
        <v>80</v>
      </c>
      <c r="D1219">
        <v>65.196136475000003</v>
      </c>
      <c r="E1219">
        <v>50</v>
      </c>
      <c r="F1219">
        <v>49.965999603</v>
      </c>
      <c r="G1219">
        <v>1327.3199463000001</v>
      </c>
      <c r="H1219">
        <v>1325.6396483999999</v>
      </c>
      <c r="I1219">
        <v>1335.9786377</v>
      </c>
      <c r="J1219">
        <v>1334.2836914</v>
      </c>
      <c r="K1219">
        <v>0</v>
      </c>
      <c r="L1219">
        <v>1650</v>
      </c>
      <c r="M1219">
        <v>1650</v>
      </c>
      <c r="N1219">
        <v>0</v>
      </c>
    </row>
    <row r="1220" spans="1:14" x14ac:dyDescent="0.25">
      <c r="A1220">
        <v>698.51712999999995</v>
      </c>
      <c r="B1220" s="1">
        <f>DATE(2012,3,29) + TIME(12,24,40)</f>
        <v>40997.517129629632</v>
      </c>
      <c r="C1220">
        <v>80</v>
      </c>
      <c r="D1220">
        <v>64.725090026999993</v>
      </c>
      <c r="E1220">
        <v>50</v>
      </c>
      <c r="F1220">
        <v>49.966030121000003</v>
      </c>
      <c r="G1220">
        <v>1327.2858887</v>
      </c>
      <c r="H1220">
        <v>1325.5948486</v>
      </c>
      <c r="I1220">
        <v>1335.973999</v>
      </c>
      <c r="J1220">
        <v>1334.2825928</v>
      </c>
      <c r="K1220">
        <v>0</v>
      </c>
      <c r="L1220">
        <v>1650</v>
      </c>
      <c r="M1220">
        <v>1650</v>
      </c>
      <c r="N1220">
        <v>0</v>
      </c>
    </row>
    <row r="1221" spans="1:14" x14ac:dyDescent="0.25">
      <c r="A1221">
        <v>701</v>
      </c>
      <c r="B1221" s="1">
        <f>DATE(2012,4,1) + TIME(0,0,0)</f>
        <v>41000</v>
      </c>
      <c r="C1221">
        <v>80</v>
      </c>
      <c r="D1221">
        <v>64.297645568999997</v>
      </c>
      <c r="E1221">
        <v>50</v>
      </c>
      <c r="F1221">
        <v>49.966022490999997</v>
      </c>
      <c r="G1221">
        <v>1327.2524414</v>
      </c>
      <c r="H1221">
        <v>1325.5515137</v>
      </c>
      <c r="I1221">
        <v>1335.9693603999999</v>
      </c>
      <c r="J1221">
        <v>1334.2814940999999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705.556917</v>
      </c>
      <c r="B1222" s="1">
        <f>DATE(2012,4,5) + TIME(13,21,57)</f>
        <v>41004.556909722225</v>
      </c>
      <c r="C1222">
        <v>80</v>
      </c>
      <c r="D1222">
        <v>63.956081390000001</v>
      </c>
      <c r="E1222">
        <v>50</v>
      </c>
      <c r="F1222">
        <v>49.966075897000003</v>
      </c>
      <c r="G1222">
        <v>1327.2303466999999</v>
      </c>
      <c r="H1222">
        <v>1325.5180664</v>
      </c>
      <c r="I1222">
        <v>1335.9667969</v>
      </c>
      <c r="J1222">
        <v>1334.2808838000001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710.35184300000003</v>
      </c>
      <c r="B1223" s="1">
        <f>DATE(2012,4,10) + TIME(8,26,39)</f>
        <v>41009.351840277777</v>
      </c>
      <c r="C1223">
        <v>80</v>
      </c>
      <c r="D1223">
        <v>63.483032227000002</v>
      </c>
      <c r="E1223">
        <v>50</v>
      </c>
      <c r="F1223">
        <v>49.966117859000001</v>
      </c>
      <c r="G1223">
        <v>1327.2020264</v>
      </c>
      <c r="H1223">
        <v>1325.4830322</v>
      </c>
      <c r="I1223">
        <v>1335.9621582</v>
      </c>
      <c r="J1223">
        <v>1334.2797852000001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715.23942399999999</v>
      </c>
      <c r="B1224" s="1">
        <f>DATE(2012,4,15) + TIME(5,44,46)</f>
        <v>41014.239421296297</v>
      </c>
      <c r="C1224">
        <v>80</v>
      </c>
      <c r="D1224">
        <v>62.97328186</v>
      </c>
      <c r="E1224">
        <v>50</v>
      </c>
      <c r="F1224">
        <v>49.966156005999999</v>
      </c>
      <c r="G1224">
        <v>1327.1710204999999</v>
      </c>
      <c r="H1224">
        <v>1325.4422606999999</v>
      </c>
      <c r="I1224">
        <v>1335.9573975000001</v>
      </c>
      <c r="J1224">
        <v>1334.2785644999999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720.234148</v>
      </c>
      <c r="B1225" s="1">
        <f>DATE(2012,4,20) + TIME(5,37,10)</f>
        <v>41019.234143518515</v>
      </c>
      <c r="C1225">
        <v>80</v>
      </c>
      <c r="D1225">
        <v>62.452888489000003</v>
      </c>
      <c r="E1225">
        <v>50</v>
      </c>
      <c r="F1225">
        <v>49.966197968000003</v>
      </c>
      <c r="G1225">
        <v>1327.1402588000001</v>
      </c>
      <c r="H1225">
        <v>1325.4013672000001</v>
      </c>
      <c r="I1225">
        <v>1335.9525146000001</v>
      </c>
      <c r="J1225">
        <v>1334.2772216999999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725.37240299999996</v>
      </c>
      <c r="B1226" s="1">
        <f>DATE(2012,4,25) + TIME(8,56,15)</f>
        <v>41024.372395833336</v>
      </c>
      <c r="C1226">
        <v>80</v>
      </c>
      <c r="D1226">
        <v>61.921073913999997</v>
      </c>
      <c r="E1226">
        <v>50</v>
      </c>
      <c r="F1226">
        <v>49.966239928999997</v>
      </c>
      <c r="G1226">
        <v>1327.1103516000001</v>
      </c>
      <c r="H1226">
        <v>1325.3615723</v>
      </c>
      <c r="I1226">
        <v>1335.9476318</v>
      </c>
      <c r="J1226">
        <v>1334.2757568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730.71715400000005</v>
      </c>
      <c r="B1227" s="1">
        <f>DATE(2012,4,30) + TIME(17,12,42)</f>
        <v>41029.717152777775</v>
      </c>
      <c r="C1227">
        <v>80</v>
      </c>
      <c r="D1227">
        <v>61.376556395999998</v>
      </c>
      <c r="E1227">
        <v>50</v>
      </c>
      <c r="F1227">
        <v>49.966289519999997</v>
      </c>
      <c r="G1227">
        <v>1327.081543</v>
      </c>
      <c r="H1227">
        <v>1325.3231201000001</v>
      </c>
      <c r="I1227">
        <v>1335.942749</v>
      </c>
      <c r="J1227">
        <v>1334.2742920000001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731</v>
      </c>
      <c r="B1228" s="1">
        <f>DATE(2012,5,1) + TIME(0,0,0)</f>
        <v>41030</v>
      </c>
      <c r="C1228">
        <v>80</v>
      </c>
      <c r="D1228">
        <v>61.202392578000001</v>
      </c>
      <c r="E1228">
        <v>50</v>
      </c>
      <c r="F1228">
        <v>49.966278076000002</v>
      </c>
      <c r="G1228">
        <v>1327.0506591999999</v>
      </c>
      <c r="H1228">
        <v>1325.2899170000001</v>
      </c>
      <c r="I1228">
        <v>1335.9376221</v>
      </c>
      <c r="J1228">
        <v>1334.2725829999999</v>
      </c>
      <c r="K1228">
        <v>0</v>
      </c>
      <c r="L1228">
        <v>1650</v>
      </c>
      <c r="M1228">
        <v>1650</v>
      </c>
      <c r="N1228">
        <v>0</v>
      </c>
    </row>
    <row r="1229" spans="1:14" x14ac:dyDescent="0.25">
      <c r="A1229">
        <v>731.000001</v>
      </c>
      <c r="B1229" s="1">
        <f>DATE(2012,5,1) + TIME(0,0,0)</f>
        <v>41030</v>
      </c>
      <c r="C1229">
        <v>80</v>
      </c>
      <c r="D1229">
        <v>61.202507019000002</v>
      </c>
      <c r="E1229">
        <v>50</v>
      </c>
      <c r="F1229">
        <v>49.966220856</v>
      </c>
      <c r="G1229">
        <v>1329.4641113</v>
      </c>
      <c r="H1229">
        <v>1327.7310791</v>
      </c>
      <c r="I1229">
        <v>1333.8226318</v>
      </c>
      <c r="J1229">
        <v>1332.8508300999999</v>
      </c>
      <c r="K1229">
        <v>1650</v>
      </c>
      <c r="L1229">
        <v>0</v>
      </c>
      <c r="M1229">
        <v>0</v>
      </c>
      <c r="N1229">
        <v>1650</v>
      </c>
    </row>
    <row r="1230" spans="1:14" x14ac:dyDescent="0.25">
      <c r="A1230">
        <v>731.00000399999999</v>
      </c>
      <c r="B1230" s="1">
        <f>DATE(2012,5,1) + TIME(0,0,0)</f>
        <v>41030</v>
      </c>
      <c r="C1230">
        <v>80</v>
      </c>
      <c r="D1230">
        <v>61.202701568999998</v>
      </c>
      <c r="E1230">
        <v>50</v>
      </c>
      <c r="F1230">
        <v>49.966129303000002</v>
      </c>
      <c r="G1230">
        <v>1330.3264160000001</v>
      </c>
      <c r="H1230">
        <v>1328.6901855000001</v>
      </c>
      <c r="I1230">
        <v>1333.1193848</v>
      </c>
      <c r="J1230">
        <v>1332.1477050999999</v>
      </c>
      <c r="K1230">
        <v>1650</v>
      </c>
      <c r="L1230">
        <v>0</v>
      </c>
      <c r="M1230">
        <v>0</v>
      </c>
      <c r="N1230">
        <v>1650</v>
      </c>
    </row>
    <row r="1231" spans="1:14" x14ac:dyDescent="0.25">
      <c r="A1231">
        <v>731.00001299999997</v>
      </c>
      <c r="B1231" s="1">
        <f>DATE(2012,5,1) + TIME(0,0,1)</f>
        <v>41030.000011574077</v>
      </c>
      <c r="C1231">
        <v>80</v>
      </c>
      <c r="D1231">
        <v>61.203048705999997</v>
      </c>
      <c r="E1231">
        <v>50</v>
      </c>
      <c r="F1231">
        <v>49.966030121000003</v>
      </c>
      <c r="G1231">
        <v>1331.3875731999999</v>
      </c>
      <c r="H1231">
        <v>1329.7346190999999</v>
      </c>
      <c r="I1231">
        <v>1332.3218993999999</v>
      </c>
      <c r="J1231">
        <v>1331.3497314000001</v>
      </c>
      <c r="K1231">
        <v>1650</v>
      </c>
      <c r="L1231">
        <v>0</v>
      </c>
      <c r="M1231">
        <v>0</v>
      </c>
      <c r="N1231">
        <v>1650</v>
      </c>
    </row>
    <row r="1232" spans="1:14" x14ac:dyDescent="0.25">
      <c r="A1232">
        <v>731.00004000000001</v>
      </c>
      <c r="B1232" s="1">
        <f>DATE(2012,5,1) + TIME(0,0,3)</f>
        <v>41030.000034722223</v>
      </c>
      <c r="C1232">
        <v>80</v>
      </c>
      <c r="D1232">
        <v>61.203830719000003</v>
      </c>
      <c r="E1232">
        <v>50</v>
      </c>
      <c r="F1232">
        <v>49.965927123999997</v>
      </c>
      <c r="G1232">
        <v>1332.4725341999999</v>
      </c>
      <c r="H1232">
        <v>1330.7725829999999</v>
      </c>
      <c r="I1232">
        <v>1331.5363769999999</v>
      </c>
      <c r="J1232">
        <v>1330.5599365</v>
      </c>
      <c r="K1232">
        <v>1650</v>
      </c>
      <c r="L1232">
        <v>0</v>
      </c>
      <c r="M1232">
        <v>0</v>
      </c>
      <c r="N1232">
        <v>1650</v>
      </c>
    </row>
    <row r="1233" spans="1:14" x14ac:dyDescent="0.25">
      <c r="A1233">
        <v>731.00012100000004</v>
      </c>
      <c r="B1233" s="1">
        <f>DATE(2012,5,1) + TIME(0,0,10)</f>
        <v>41030.000115740739</v>
      </c>
      <c r="C1233">
        <v>80</v>
      </c>
      <c r="D1233">
        <v>61.205955504999999</v>
      </c>
      <c r="E1233">
        <v>50</v>
      </c>
      <c r="F1233">
        <v>49.965820311999998</v>
      </c>
      <c r="G1233">
        <v>1333.5351562000001</v>
      </c>
      <c r="H1233">
        <v>1331.7905272999999</v>
      </c>
      <c r="I1233">
        <v>1330.7517089999999</v>
      </c>
      <c r="J1233">
        <v>1329.7586670000001</v>
      </c>
      <c r="K1233">
        <v>1650</v>
      </c>
      <c r="L1233">
        <v>0</v>
      </c>
      <c r="M1233">
        <v>0</v>
      </c>
      <c r="N1233">
        <v>1650</v>
      </c>
    </row>
    <row r="1234" spans="1:14" x14ac:dyDescent="0.25">
      <c r="A1234">
        <v>731.00036399999999</v>
      </c>
      <c r="B1234" s="1">
        <f>DATE(2012,5,1) + TIME(0,0,31)</f>
        <v>41030.000358796293</v>
      </c>
      <c r="C1234">
        <v>80</v>
      </c>
      <c r="D1234">
        <v>61.212200164999999</v>
      </c>
      <c r="E1234">
        <v>50</v>
      </c>
      <c r="F1234">
        <v>49.965698242000002</v>
      </c>
      <c r="G1234">
        <v>1334.5554199000001</v>
      </c>
      <c r="H1234">
        <v>1332.7650146000001</v>
      </c>
      <c r="I1234">
        <v>1329.9500731999999</v>
      </c>
      <c r="J1234">
        <v>1328.9227295000001</v>
      </c>
      <c r="K1234">
        <v>1650</v>
      </c>
      <c r="L1234">
        <v>0</v>
      </c>
      <c r="M1234">
        <v>0</v>
      </c>
      <c r="N1234">
        <v>1650</v>
      </c>
    </row>
    <row r="1235" spans="1:14" x14ac:dyDescent="0.25">
      <c r="A1235">
        <v>731.00109299999997</v>
      </c>
      <c r="B1235" s="1">
        <f>DATE(2012,5,1) + TIME(0,1,34)</f>
        <v>41030.001087962963</v>
      </c>
      <c r="C1235">
        <v>80</v>
      </c>
      <c r="D1235">
        <v>61.231067656999997</v>
      </c>
      <c r="E1235">
        <v>50</v>
      </c>
      <c r="F1235">
        <v>49.965530395999998</v>
      </c>
      <c r="G1235">
        <v>1335.4121094</v>
      </c>
      <c r="H1235">
        <v>1333.5804443</v>
      </c>
      <c r="I1235">
        <v>1329.2058105000001</v>
      </c>
      <c r="J1235">
        <v>1328.1416016000001</v>
      </c>
      <c r="K1235">
        <v>1650</v>
      </c>
      <c r="L1235">
        <v>0</v>
      </c>
      <c r="M1235">
        <v>0</v>
      </c>
      <c r="N1235">
        <v>1650</v>
      </c>
    </row>
    <row r="1236" spans="1:14" x14ac:dyDescent="0.25">
      <c r="A1236">
        <v>731.00328000000002</v>
      </c>
      <c r="B1236" s="1">
        <f>DATE(2012,5,1) + TIME(0,4,43)</f>
        <v>41030.003275462965</v>
      </c>
      <c r="C1236">
        <v>80</v>
      </c>
      <c r="D1236">
        <v>61.287975310999997</v>
      </c>
      <c r="E1236">
        <v>50</v>
      </c>
      <c r="F1236">
        <v>49.965240479000002</v>
      </c>
      <c r="G1236">
        <v>1335.965332</v>
      </c>
      <c r="H1236">
        <v>1334.1113281</v>
      </c>
      <c r="I1236">
        <v>1328.6628418</v>
      </c>
      <c r="J1236">
        <v>1327.5789795000001</v>
      </c>
      <c r="K1236">
        <v>1650</v>
      </c>
      <c r="L1236">
        <v>0</v>
      </c>
      <c r="M1236">
        <v>0</v>
      </c>
      <c r="N1236">
        <v>1650</v>
      </c>
    </row>
    <row r="1237" spans="1:14" x14ac:dyDescent="0.25">
      <c r="A1237">
        <v>731.00984100000005</v>
      </c>
      <c r="B1237" s="1">
        <f>DATE(2012,5,1) + TIME(0,14,10)</f>
        <v>41030.009837962964</v>
      </c>
      <c r="C1237">
        <v>80</v>
      </c>
      <c r="D1237">
        <v>61.457607269</v>
      </c>
      <c r="E1237">
        <v>50</v>
      </c>
      <c r="F1237">
        <v>49.964542389000002</v>
      </c>
      <c r="G1237">
        <v>1336.2211914</v>
      </c>
      <c r="H1237">
        <v>1334.364624</v>
      </c>
      <c r="I1237">
        <v>1328.3962402</v>
      </c>
      <c r="J1237">
        <v>1327.3065185999999</v>
      </c>
      <c r="K1237">
        <v>1650</v>
      </c>
      <c r="L1237">
        <v>0</v>
      </c>
      <c r="M1237">
        <v>0</v>
      </c>
      <c r="N1237">
        <v>1650</v>
      </c>
    </row>
    <row r="1238" spans="1:14" x14ac:dyDescent="0.25">
      <c r="A1238">
        <v>731.02952400000004</v>
      </c>
      <c r="B1238" s="1">
        <f>DATE(2012,5,1) + TIME(0,42,30)</f>
        <v>41030.029513888891</v>
      </c>
      <c r="C1238">
        <v>80</v>
      </c>
      <c r="D1238">
        <v>61.952667236000003</v>
      </c>
      <c r="E1238">
        <v>50</v>
      </c>
      <c r="F1238">
        <v>49.962558745999999</v>
      </c>
      <c r="G1238">
        <v>1336.2792969</v>
      </c>
      <c r="H1238">
        <v>1334.4361572</v>
      </c>
      <c r="I1238">
        <v>1328.3338623</v>
      </c>
      <c r="J1238">
        <v>1327.2431641000001</v>
      </c>
      <c r="K1238">
        <v>1650</v>
      </c>
      <c r="L1238">
        <v>0</v>
      </c>
      <c r="M1238">
        <v>0</v>
      </c>
      <c r="N1238">
        <v>1650</v>
      </c>
    </row>
    <row r="1239" spans="1:14" x14ac:dyDescent="0.25">
      <c r="A1239">
        <v>731.05615399999999</v>
      </c>
      <c r="B1239" s="1">
        <f>DATE(2012,5,1) + TIME(1,20,51)</f>
        <v>41030.056145833332</v>
      </c>
      <c r="C1239">
        <v>80</v>
      </c>
      <c r="D1239">
        <v>62.601261139000002</v>
      </c>
      <c r="E1239">
        <v>50</v>
      </c>
      <c r="F1239">
        <v>49.959911345999998</v>
      </c>
      <c r="G1239">
        <v>1336.2863769999999</v>
      </c>
      <c r="H1239">
        <v>1334.4520264</v>
      </c>
      <c r="I1239">
        <v>1328.3302002</v>
      </c>
      <c r="J1239">
        <v>1327.2393798999999</v>
      </c>
      <c r="K1239">
        <v>1650</v>
      </c>
      <c r="L1239">
        <v>0</v>
      </c>
      <c r="M1239">
        <v>0</v>
      </c>
      <c r="N1239">
        <v>1650</v>
      </c>
    </row>
    <row r="1240" spans="1:14" x14ac:dyDescent="0.25">
      <c r="A1240">
        <v>731.08334000000002</v>
      </c>
      <c r="B1240" s="1">
        <f>DATE(2012,5,1) + TIME(2,0,0)</f>
        <v>41030.083333333336</v>
      </c>
      <c r="C1240">
        <v>80</v>
      </c>
      <c r="D1240">
        <v>63.244098663000003</v>
      </c>
      <c r="E1240">
        <v>50</v>
      </c>
      <c r="F1240">
        <v>49.957221984999997</v>
      </c>
      <c r="G1240">
        <v>1336.2990723</v>
      </c>
      <c r="H1240">
        <v>1334.4669189000001</v>
      </c>
      <c r="I1240">
        <v>1328.3305664</v>
      </c>
      <c r="J1240">
        <v>1327.2395019999999</v>
      </c>
      <c r="K1240">
        <v>1650</v>
      </c>
      <c r="L1240">
        <v>0</v>
      </c>
      <c r="M1240">
        <v>0</v>
      </c>
      <c r="N1240">
        <v>1650</v>
      </c>
    </row>
    <row r="1241" spans="1:14" x14ac:dyDescent="0.25">
      <c r="A1241">
        <v>731.11110599999995</v>
      </c>
      <c r="B1241" s="1">
        <f>DATE(2012,5,1) + TIME(2,39,59)</f>
        <v>41030.11109953704</v>
      </c>
      <c r="C1241">
        <v>80</v>
      </c>
      <c r="D1241">
        <v>63.881027222</v>
      </c>
      <c r="E1241">
        <v>50</v>
      </c>
      <c r="F1241">
        <v>49.954494476000001</v>
      </c>
      <c r="G1241">
        <v>1336.3126221</v>
      </c>
      <c r="H1241">
        <v>1334.4816894999999</v>
      </c>
      <c r="I1241">
        <v>1328.3308105000001</v>
      </c>
      <c r="J1241">
        <v>1327.239624</v>
      </c>
      <c r="K1241">
        <v>1650</v>
      </c>
      <c r="L1241">
        <v>0</v>
      </c>
      <c r="M1241">
        <v>0</v>
      </c>
      <c r="N1241">
        <v>1650</v>
      </c>
    </row>
    <row r="1242" spans="1:14" x14ac:dyDescent="0.25">
      <c r="A1242">
        <v>731.13947599999995</v>
      </c>
      <c r="B1242" s="1">
        <f>DATE(2012,5,1) + TIME(3,20,50)</f>
        <v>41030.139467592591</v>
      </c>
      <c r="C1242">
        <v>80</v>
      </c>
      <c r="D1242">
        <v>64.511878967000001</v>
      </c>
      <c r="E1242">
        <v>50</v>
      </c>
      <c r="F1242">
        <v>49.951725005999997</v>
      </c>
      <c r="G1242">
        <v>1336.3283690999999</v>
      </c>
      <c r="H1242">
        <v>1334.4976807</v>
      </c>
      <c r="I1242">
        <v>1328.3308105000001</v>
      </c>
      <c r="J1242">
        <v>1327.239624</v>
      </c>
      <c r="K1242">
        <v>1650</v>
      </c>
      <c r="L1242">
        <v>0</v>
      </c>
      <c r="M1242">
        <v>0</v>
      </c>
      <c r="N1242">
        <v>1650</v>
      </c>
    </row>
    <row r="1243" spans="1:14" x14ac:dyDescent="0.25">
      <c r="A1243">
        <v>731.16847499999994</v>
      </c>
      <c r="B1243" s="1">
        <f>DATE(2012,5,1) + TIME(4,2,36)</f>
        <v>41030.16847222222</v>
      </c>
      <c r="C1243">
        <v>80</v>
      </c>
      <c r="D1243">
        <v>65.136398314999994</v>
      </c>
      <c r="E1243">
        <v>50</v>
      </c>
      <c r="F1243">
        <v>49.948909759999999</v>
      </c>
      <c r="G1243">
        <v>1336.3463135</v>
      </c>
      <c r="H1243">
        <v>1334.5148925999999</v>
      </c>
      <c r="I1243">
        <v>1328.3309326000001</v>
      </c>
      <c r="J1243">
        <v>1327.2395019999999</v>
      </c>
      <c r="K1243">
        <v>1650</v>
      </c>
      <c r="L1243">
        <v>0</v>
      </c>
      <c r="M1243">
        <v>0</v>
      </c>
      <c r="N1243">
        <v>1650</v>
      </c>
    </row>
    <row r="1244" spans="1:14" x14ac:dyDescent="0.25">
      <c r="A1244">
        <v>731.198128</v>
      </c>
      <c r="B1244" s="1">
        <f>DATE(2012,5,1) + TIME(4,45,18)</f>
        <v>41030.198125000003</v>
      </c>
      <c r="C1244">
        <v>80</v>
      </c>
      <c r="D1244">
        <v>65.754402161000002</v>
      </c>
      <c r="E1244">
        <v>50</v>
      </c>
      <c r="F1244">
        <v>49.946048736999998</v>
      </c>
      <c r="G1244">
        <v>1336.3662108999999</v>
      </c>
      <c r="H1244">
        <v>1334.5332031</v>
      </c>
      <c r="I1244">
        <v>1328.3309326000001</v>
      </c>
      <c r="J1244">
        <v>1327.2393798999999</v>
      </c>
      <c r="K1244">
        <v>1650</v>
      </c>
      <c r="L1244">
        <v>0</v>
      </c>
      <c r="M1244">
        <v>0</v>
      </c>
      <c r="N1244">
        <v>1650</v>
      </c>
    </row>
    <row r="1245" spans="1:14" x14ac:dyDescent="0.25">
      <c r="A1245">
        <v>731.22847000000002</v>
      </c>
      <c r="B1245" s="1">
        <f>DATE(2012,5,1) + TIME(5,28,59)</f>
        <v>41030.228460648148</v>
      </c>
      <c r="C1245">
        <v>80</v>
      </c>
      <c r="D1245">
        <v>66.365547179999993</v>
      </c>
      <c r="E1245">
        <v>50</v>
      </c>
      <c r="F1245">
        <v>49.943138122999997</v>
      </c>
      <c r="G1245">
        <v>1336.3883057</v>
      </c>
      <c r="H1245">
        <v>1334.5528564000001</v>
      </c>
      <c r="I1245">
        <v>1328.3310547000001</v>
      </c>
      <c r="J1245">
        <v>1327.2392577999999</v>
      </c>
      <c r="K1245">
        <v>1650</v>
      </c>
      <c r="L1245">
        <v>0</v>
      </c>
      <c r="M1245">
        <v>0</v>
      </c>
      <c r="N1245">
        <v>1650</v>
      </c>
    </row>
    <row r="1246" spans="1:14" x14ac:dyDescent="0.25">
      <c r="A1246">
        <v>731.25953300000003</v>
      </c>
      <c r="B1246" s="1">
        <f>DATE(2012,5,1) + TIME(6,13,43)</f>
        <v>41030.259525462963</v>
      </c>
      <c r="C1246">
        <v>80</v>
      </c>
      <c r="D1246">
        <v>66.969520568999997</v>
      </c>
      <c r="E1246">
        <v>50</v>
      </c>
      <c r="F1246">
        <v>49.940177917</v>
      </c>
      <c r="G1246">
        <v>1336.4123535000001</v>
      </c>
      <c r="H1246">
        <v>1334.5736084</v>
      </c>
      <c r="I1246">
        <v>1328.3310547000001</v>
      </c>
      <c r="J1246">
        <v>1327.2391356999999</v>
      </c>
      <c r="K1246">
        <v>1650</v>
      </c>
      <c r="L1246">
        <v>0</v>
      </c>
      <c r="M1246">
        <v>0</v>
      </c>
      <c r="N1246">
        <v>1650</v>
      </c>
    </row>
    <row r="1247" spans="1:14" x14ac:dyDescent="0.25">
      <c r="A1247">
        <v>731.29130599999996</v>
      </c>
      <c r="B1247" s="1">
        <f>DATE(2012,5,1) + TIME(6,59,28)</f>
        <v>41030.291296296295</v>
      </c>
      <c r="C1247">
        <v>80</v>
      </c>
      <c r="D1247">
        <v>67.565139771000005</v>
      </c>
      <c r="E1247">
        <v>50</v>
      </c>
      <c r="F1247">
        <v>49.937171935999999</v>
      </c>
      <c r="G1247">
        <v>1336.4382324000001</v>
      </c>
      <c r="H1247">
        <v>1334.5955810999999</v>
      </c>
      <c r="I1247">
        <v>1328.3310547000001</v>
      </c>
      <c r="J1247">
        <v>1327.2390137</v>
      </c>
      <c r="K1247">
        <v>1650</v>
      </c>
      <c r="L1247">
        <v>0</v>
      </c>
      <c r="M1247">
        <v>0</v>
      </c>
      <c r="N1247">
        <v>1650</v>
      </c>
    </row>
    <row r="1248" spans="1:14" x14ac:dyDescent="0.25">
      <c r="A1248">
        <v>731.32380899999998</v>
      </c>
      <c r="B1248" s="1">
        <f>DATE(2012,5,1) + TIME(7,46,17)</f>
        <v>41030.323807870373</v>
      </c>
      <c r="C1248">
        <v>80</v>
      </c>
      <c r="D1248">
        <v>68.151817321999999</v>
      </c>
      <c r="E1248">
        <v>50</v>
      </c>
      <c r="F1248">
        <v>49.934116363999998</v>
      </c>
      <c r="G1248">
        <v>1336.4660644999999</v>
      </c>
      <c r="H1248">
        <v>1334.6185303</v>
      </c>
      <c r="I1248">
        <v>1328.3310547000001</v>
      </c>
      <c r="J1248">
        <v>1327.2387695</v>
      </c>
      <c r="K1248">
        <v>1650</v>
      </c>
      <c r="L1248">
        <v>0</v>
      </c>
      <c r="M1248">
        <v>0</v>
      </c>
      <c r="N1248">
        <v>1650</v>
      </c>
    </row>
    <row r="1249" spans="1:14" x14ac:dyDescent="0.25">
      <c r="A1249">
        <v>731.357077</v>
      </c>
      <c r="B1249" s="1">
        <f>DATE(2012,5,1) + TIME(8,34,11)</f>
        <v>41030.357071759259</v>
      </c>
      <c r="C1249">
        <v>80</v>
      </c>
      <c r="D1249">
        <v>68.729164123999993</v>
      </c>
      <c r="E1249">
        <v>50</v>
      </c>
      <c r="F1249">
        <v>49.931007385000001</v>
      </c>
      <c r="G1249">
        <v>1336.4954834</v>
      </c>
      <c r="H1249">
        <v>1334.6424560999999</v>
      </c>
      <c r="I1249">
        <v>1328.3310547000001</v>
      </c>
      <c r="J1249">
        <v>1327.2386475000001</v>
      </c>
      <c r="K1249">
        <v>1650</v>
      </c>
      <c r="L1249">
        <v>0</v>
      </c>
      <c r="M1249">
        <v>0</v>
      </c>
      <c r="N1249">
        <v>1650</v>
      </c>
    </row>
    <row r="1250" spans="1:14" x14ac:dyDescent="0.25">
      <c r="A1250">
        <v>731.39114800000004</v>
      </c>
      <c r="B1250" s="1">
        <f>DATE(2012,5,1) + TIME(9,23,15)</f>
        <v>41030.391145833331</v>
      </c>
      <c r="C1250">
        <v>80</v>
      </c>
      <c r="D1250">
        <v>69.296760559000006</v>
      </c>
      <c r="E1250">
        <v>50</v>
      </c>
      <c r="F1250">
        <v>49.927845001000001</v>
      </c>
      <c r="G1250">
        <v>1336.5266113</v>
      </c>
      <c r="H1250">
        <v>1334.6673584</v>
      </c>
      <c r="I1250">
        <v>1328.3310547000001</v>
      </c>
      <c r="J1250">
        <v>1327.2384033000001</v>
      </c>
      <c r="K1250">
        <v>1650</v>
      </c>
      <c r="L1250">
        <v>0</v>
      </c>
      <c r="M1250">
        <v>0</v>
      </c>
      <c r="N1250">
        <v>1650</v>
      </c>
    </row>
    <row r="1251" spans="1:14" x14ac:dyDescent="0.25">
      <c r="A1251">
        <v>731.426061</v>
      </c>
      <c r="B1251" s="1">
        <f>DATE(2012,5,1) + TIME(10,13,31)</f>
        <v>41030.426053240742</v>
      </c>
      <c r="C1251">
        <v>80</v>
      </c>
      <c r="D1251">
        <v>69.854156493999994</v>
      </c>
      <c r="E1251">
        <v>50</v>
      </c>
      <c r="F1251">
        <v>49.924625397</v>
      </c>
      <c r="G1251">
        <v>1336.5592041</v>
      </c>
      <c r="H1251">
        <v>1334.6931152</v>
      </c>
      <c r="I1251">
        <v>1328.3309326000001</v>
      </c>
      <c r="J1251">
        <v>1327.2381591999999</v>
      </c>
      <c r="K1251">
        <v>1650</v>
      </c>
      <c r="L1251">
        <v>0</v>
      </c>
      <c r="M1251">
        <v>0</v>
      </c>
      <c r="N1251">
        <v>1650</v>
      </c>
    </row>
    <row r="1252" spans="1:14" x14ac:dyDescent="0.25">
      <c r="A1252">
        <v>731.46185400000002</v>
      </c>
      <c r="B1252" s="1">
        <f>DATE(2012,5,1) + TIME(11,5,4)</f>
        <v>41030.461851851855</v>
      </c>
      <c r="C1252">
        <v>80</v>
      </c>
      <c r="D1252">
        <v>70.400505065999994</v>
      </c>
      <c r="E1252">
        <v>50</v>
      </c>
      <c r="F1252">
        <v>49.921348571999999</v>
      </c>
      <c r="G1252">
        <v>1336.5932617000001</v>
      </c>
      <c r="H1252">
        <v>1334.7197266000001</v>
      </c>
      <c r="I1252">
        <v>1328.3309326000001</v>
      </c>
      <c r="J1252">
        <v>1327.2379149999999</v>
      </c>
      <c r="K1252">
        <v>1650</v>
      </c>
      <c r="L1252">
        <v>0</v>
      </c>
      <c r="M1252">
        <v>0</v>
      </c>
      <c r="N1252">
        <v>1650</v>
      </c>
    </row>
    <row r="1253" spans="1:14" x14ac:dyDescent="0.25">
      <c r="A1253">
        <v>731.49857299999996</v>
      </c>
      <c r="B1253" s="1">
        <f>DATE(2012,5,1) + TIME(11,57,56)</f>
        <v>41030.498564814814</v>
      </c>
      <c r="C1253">
        <v>80</v>
      </c>
      <c r="D1253">
        <v>70.935508728000002</v>
      </c>
      <c r="E1253">
        <v>50</v>
      </c>
      <c r="F1253">
        <v>49.918006896999998</v>
      </c>
      <c r="G1253">
        <v>1336.6286620999999</v>
      </c>
      <c r="H1253">
        <v>1334.7471923999999</v>
      </c>
      <c r="I1253">
        <v>1328.3309326000001</v>
      </c>
      <c r="J1253">
        <v>1327.2376709</v>
      </c>
      <c r="K1253">
        <v>1650</v>
      </c>
      <c r="L1253">
        <v>0</v>
      </c>
      <c r="M1253">
        <v>0</v>
      </c>
      <c r="N1253">
        <v>1650</v>
      </c>
    </row>
    <row r="1254" spans="1:14" x14ac:dyDescent="0.25">
      <c r="A1254">
        <v>731.53626899999995</v>
      </c>
      <c r="B1254" s="1">
        <f>DATE(2012,5,1) + TIME(12,52,13)</f>
        <v>41030.536261574074</v>
      </c>
      <c r="C1254">
        <v>80</v>
      </c>
      <c r="D1254">
        <v>71.458786011000001</v>
      </c>
      <c r="E1254">
        <v>50</v>
      </c>
      <c r="F1254">
        <v>49.914604187000002</v>
      </c>
      <c r="G1254">
        <v>1336.6654053</v>
      </c>
      <c r="H1254">
        <v>1334.7752685999999</v>
      </c>
      <c r="I1254">
        <v>1328.3308105000001</v>
      </c>
      <c r="J1254">
        <v>1327.2373047000001</v>
      </c>
      <c r="K1254">
        <v>1650</v>
      </c>
      <c r="L1254">
        <v>0</v>
      </c>
      <c r="M1254">
        <v>0</v>
      </c>
      <c r="N1254">
        <v>1650</v>
      </c>
    </row>
    <row r="1255" spans="1:14" x14ac:dyDescent="0.25">
      <c r="A1255">
        <v>731.57499499999994</v>
      </c>
      <c r="B1255" s="1">
        <f>DATE(2012,5,1) + TIME(13,47,59)</f>
        <v>41030.574988425928</v>
      </c>
      <c r="C1255">
        <v>80</v>
      </c>
      <c r="D1255">
        <v>71.969802856000001</v>
      </c>
      <c r="E1255">
        <v>50</v>
      </c>
      <c r="F1255">
        <v>49.911128998000002</v>
      </c>
      <c r="G1255">
        <v>1336.7032471</v>
      </c>
      <c r="H1255">
        <v>1334.8040771000001</v>
      </c>
      <c r="I1255">
        <v>1328.3306885</v>
      </c>
      <c r="J1255">
        <v>1327.2370605000001</v>
      </c>
      <c r="K1255">
        <v>1650</v>
      </c>
      <c r="L1255">
        <v>0</v>
      </c>
      <c r="M1255">
        <v>0</v>
      </c>
      <c r="N1255">
        <v>1650</v>
      </c>
    </row>
    <row r="1256" spans="1:14" x14ac:dyDescent="0.25">
      <c r="A1256">
        <v>731.61480500000005</v>
      </c>
      <c r="B1256" s="1">
        <f>DATE(2012,5,1) + TIME(14,45,19)</f>
        <v>41030.614803240744</v>
      </c>
      <c r="C1256">
        <v>80</v>
      </c>
      <c r="D1256">
        <v>72.468009949000006</v>
      </c>
      <c r="E1256">
        <v>50</v>
      </c>
      <c r="F1256">
        <v>49.907585144000002</v>
      </c>
      <c r="G1256">
        <v>1336.7421875</v>
      </c>
      <c r="H1256">
        <v>1334.8334961</v>
      </c>
      <c r="I1256">
        <v>1328.3305664</v>
      </c>
      <c r="J1256">
        <v>1327.2366943</v>
      </c>
      <c r="K1256">
        <v>1650</v>
      </c>
      <c r="L1256">
        <v>0</v>
      </c>
      <c r="M1256">
        <v>0</v>
      </c>
      <c r="N1256">
        <v>1650</v>
      </c>
    </row>
    <row r="1257" spans="1:14" x14ac:dyDescent="0.25">
      <c r="A1257">
        <v>731.65576099999998</v>
      </c>
      <c r="B1257" s="1">
        <f>DATE(2012,5,1) + TIME(15,44,17)</f>
        <v>41030.655752314815</v>
      </c>
      <c r="C1257">
        <v>80</v>
      </c>
      <c r="D1257">
        <v>72.952835082999997</v>
      </c>
      <c r="E1257">
        <v>50</v>
      </c>
      <c r="F1257">
        <v>49.903964995999999</v>
      </c>
      <c r="G1257">
        <v>1336.7821045000001</v>
      </c>
      <c r="H1257">
        <v>1334.8634033000001</v>
      </c>
      <c r="I1257">
        <v>1328.3305664</v>
      </c>
      <c r="J1257">
        <v>1327.2363281</v>
      </c>
      <c r="K1257">
        <v>1650</v>
      </c>
      <c r="L1257">
        <v>0</v>
      </c>
      <c r="M1257">
        <v>0</v>
      </c>
      <c r="N1257">
        <v>1650</v>
      </c>
    </row>
    <row r="1258" spans="1:14" x14ac:dyDescent="0.25">
      <c r="A1258">
        <v>731.69792600000005</v>
      </c>
      <c r="B1258" s="1">
        <f>DATE(2012,5,1) + TIME(16,45,0)</f>
        <v>41030.697916666664</v>
      </c>
      <c r="C1258">
        <v>80</v>
      </c>
      <c r="D1258">
        <v>73.423728943</v>
      </c>
      <c r="E1258">
        <v>50</v>
      </c>
      <c r="F1258">
        <v>49.900264739999997</v>
      </c>
      <c r="G1258">
        <v>1336.8229980000001</v>
      </c>
      <c r="H1258">
        <v>1334.8937988</v>
      </c>
      <c r="I1258">
        <v>1328.3304443</v>
      </c>
      <c r="J1258">
        <v>1327.2359618999999</v>
      </c>
      <c r="K1258">
        <v>1650</v>
      </c>
      <c r="L1258">
        <v>0</v>
      </c>
      <c r="M1258">
        <v>0</v>
      </c>
      <c r="N1258">
        <v>1650</v>
      </c>
    </row>
    <row r="1259" spans="1:14" x14ac:dyDescent="0.25">
      <c r="A1259">
        <v>731.74136999999996</v>
      </c>
      <c r="B1259" s="1">
        <f>DATE(2012,5,1) + TIME(17,47,34)</f>
        <v>41030.741365740738</v>
      </c>
      <c r="C1259">
        <v>80</v>
      </c>
      <c r="D1259">
        <v>73.880126953000001</v>
      </c>
      <c r="E1259">
        <v>50</v>
      </c>
      <c r="F1259">
        <v>49.896480560000001</v>
      </c>
      <c r="G1259">
        <v>1336.864624</v>
      </c>
      <c r="H1259">
        <v>1334.9246826000001</v>
      </c>
      <c r="I1259">
        <v>1328.3303223</v>
      </c>
      <c r="J1259">
        <v>1327.2355957</v>
      </c>
      <c r="K1259">
        <v>1650</v>
      </c>
      <c r="L1259">
        <v>0</v>
      </c>
      <c r="M1259">
        <v>0</v>
      </c>
      <c r="N1259">
        <v>1650</v>
      </c>
    </row>
    <row r="1260" spans="1:14" x14ac:dyDescent="0.25">
      <c r="A1260">
        <v>731.78616799999998</v>
      </c>
      <c r="B1260" s="1">
        <f>DATE(2012,5,1) + TIME(18,52,4)</f>
        <v>41030.786157407405</v>
      </c>
      <c r="C1260">
        <v>80</v>
      </c>
      <c r="D1260">
        <v>74.321487426999994</v>
      </c>
      <c r="E1260">
        <v>50</v>
      </c>
      <c r="F1260">
        <v>49.892608643000003</v>
      </c>
      <c r="G1260">
        <v>1336.9071045000001</v>
      </c>
      <c r="H1260">
        <v>1334.9560547000001</v>
      </c>
      <c r="I1260">
        <v>1328.3300781</v>
      </c>
      <c r="J1260">
        <v>1327.2352295000001</v>
      </c>
      <c r="K1260">
        <v>1650</v>
      </c>
      <c r="L1260">
        <v>0</v>
      </c>
      <c r="M1260">
        <v>0</v>
      </c>
      <c r="N1260">
        <v>1650</v>
      </c>
    </row>
    <row r="1261" spans="1:14" x14ac:dyDescent="0.25">
      <c r="A1261">
        <v>731.832404</v>
      </c>
      <c r="B1261" s="1">
        <f>DATE(2012,5,1) + TIME(19,58,39)</f>
        <v>41030.832395833335</v>
      </c>
      <c r="C1261">
        <v>80</v>
      </c>
      <c r="D1261">
        <v>74.747283936000002</v>
      </c>
      <c r="E1261">
        <v>50</v>
      </c>
      <c r="F1261">
        <v>49.888641356999997</v>
      </c>
      <c r="G1261">
        <v>1336.9500731999999</v>
      </c>
      <c r="H1261">
        <v>1334.9875488</v>
      </c>
      <c r="I1261">
        <v>1328.3299560999999</v>
      </c>
      <c r="J1261">
        <v>1327.2347411999999</v>
      </c>
      <c r="K1261">
        <v>1650</v>
      </c>
      <c r="L1261">
        <v>0</v>
      </c>
      <c r="M1261">
        <v>0</v>
      </c>
      <c r="N1261">
        <v>1650</v>
      </c>
    </row>
    <row r="1262" spans="1:14" x14ac:dyDescent="0.25">
      <c r="A1262">
        <v>731.88017400000001</v>
      </c>
      <c r="B1262" s="1">
        <f>DATE(2012,5,1) + TIME(21,7,27)</f>
        <v>41030.880173611113</v>
      </c>
      <c r="C1262">
        <v>80</v>
      </c>
      <c r="D1262">
        <v>75.156944275000001</v>
      </c>
      <c r="E1262">
        <v>50</v>
      </c>
      <c r="F1262">
        <v>49.884574890000003</v>
      </c>
      <c r="G1262">
        <v>1336.9936522999999</v>
      </c>
      <c r="H1262">
        <v>1335.0194091999999</v>
      </c>
      <c r="I1262">
        <v>1328.3298339999999</v>
      </c>
      <c r="J1262">
        <v>1327.2342529</v>
      </c>
      <c r="K1262">
        <v>1650</v>
      </c>
      <c r="L1262">
        <v>0</v>
      </c>
      <c r="M1262">
        <v>0</v>
      </c>
      <c r="N1262">
        <v>1650</v>
      </c>
    </row>
    <row r="1263" spans="1:14" x14ac:dyDescent="0.25">
      <c r="A1263">
        <v>731.92958499999997</v>
      </c>
      <c r="B1263" s="1">
        <f>DATE(2012,5,1) + TIME(22,18,36)</f>
        <v>41030.929583333331</v>
      </c>
      <c r="C1263">
        <v>80</v>
      </c>
      <c r="D1263">
        <v>75.550003051999994</v>
      </c>
      <c r="E1263">
        <v>50</v>
      </c>
      <c r="F1263">
        <v>49.880401611000003</v>
      </c>
      <c r="G1263">
        <v>1337.0377197</v>
      </c>
      <c r="H1263">
        <v>1335.0515137</v>
      </c>
      <c r="I1263">
        <v>1328.3295897999999</v>
      </c>
      <c r="J1263">
        <v>1327.2337646000001</v>
      </c>
      <c r="K1263">
        <v>1650</v>
      </c>
      <c r="L1263">
        <v>0</v>
      </c>
      <c r="M1263">
        <v>0</v>
      </c>
      <c r="N1263">
        <v>1650</v>
      </c>
    </row>
    <row r="1264" spans="1:14" x14ac:dyDescent="0.25">
      <c r="A1264">
        <v>731.98072999999999</v>
      </c>
      <c r="B1264" s="1">
        <f>DATE(2012,5,1) + TIME(23,32,15)</f>
        <v>41030.980729166666</v>
      </c>
      <c r="C1264">
        <v>80</v>
      </c>
      <c r="D1264">
        <v>75.926063537999994</v>
      </c>
      <c r="E1264">
        <v>50</v>
      </c>
      <c r="F1264">
        <v>49.876117706000002</v>
      </c>
      <c r="G1264">
        <v>1337.0821533000001</v>
      </c>
      <c r="H1264">
        <v>1335.0836182</v>
      </c>
      <c r="I1264">
        <v>1328.3293457</v>
      </c>
      <c r="J1264">
        <v>1327.2332764</v>
      </c>
      <c r="K1264">
        <v>1650</v>
      </c>
      <c r="L1264">
        <v>0</v>
      </c>
      <c r="M1264">
        <v>0</v>
      </c>
      <c r="N1264">
        <v>1650</v>
      </c>
    </row>
    <row r="1265" spans="1:14" x14ac:dyDescent="0.25">
      <c r="A1265">
        <v>732.033727</v>
      </c>
      <c r="B1265" s="1">
        <f>DATE(2012,5,2) + TIME(0,48,33)</f>
        <v>41031.033715277779</v>
      </c>
      <c r="C1265">
        <v>80</v>
      </c>
      <c r="D1265">
        <v>76.284751892000003</v>
      </c>
      <c r="E1265">
        <v>50</v>
      </c>
      <c r="F1265">
        <v>49.871711730999998</v>
      </c>
      <c r="G1265">
        <v>1337.1268310999999</v>
      </c>
      <c r="H1265">
        <v>1335.1158447</v>
      </c>
      <c r="I1265">
        <v>1328.3292236</v>
      </c>
      <c r="J1265">
        <v>1327.2327881000001</v>
      </c>
      <c r="K1265">
        <v>1650</v>
      </c>
      <c r="L1265">
        <v>0</v>
      </c>
      <c r="M1265">
        <v>0</v>
      </c>
      <c r="N1265">
        <v>1650</v>
      </c>
    </row>
    <row r="1266" spans="1:14" x14ac:dyDescent="0.25">
      <c r="A1266">
        <v>732.088706</v>
      </c>
      <c r="B1266" s="1">
        <f>DATE(2012,5,2) + TIME(2,7,44)</f>
        <v>41031.088703703703</v>
      </c>
      <c r="C1266">
        <v>80</v>
      </c>
      <c r="D1266">
        <v>76.625724792</v>
      </c>
      <c r="E1266">
        <v>50</v>
      </c>
      <c r="F1266">
        <v>49.867183685000001</v>
      </c>
      <c r="G1266">
        <v>1337.1717529</v>
      </c>
      <c r="H1266">
        <v>1335.1481934000001</v>
      </c>
      <c r="I1266">
        <v>1328.3289795000001</v>
      </c>
      <c r="J1266">
        <v>1327.2322998</v>
      </c>
      <c r="K1266">
        <v>1650</v>
      </c>
      <c r="L1266">
        <v>0</v>
      </c>
      <c r="M1266">
        <v>0</v>
      </c>
      <c r="N1266">
        <v>1650</v>
      </c>
    </row>
    <row r="1267" spans="1:14" x14ac:dyDescent="0.25">
      <c r="A1267">
        <v>732.14581099999998</v>
      </c>
      <c r="B1267" s="1">
        <f>DATE(2012,5,2) + TIME(3,29,58)</f>
        <v>41031.145810185182</v>
      </c>
      <c r="C1267">
        <v>80</v>
      </c>
      <c r="D1267">
        <v>76.948722838999998</v>
      </c>
      <c r="E1267">
        <v>50</v>
      </c>
      <c r="F1267">
        <v>49.862518311000002</v>
      </c>
      <c r="G1267">
        <v>1337.2166748</v>
      </c>
      <c r="H1267">
        <v>1335.1802978999999</v>
      </c>
      <c r="I1267">
        <v>1328.3287353999999</v>
      </c>
      <c r="J1267">
        <v>1327.2316894999999</v>
      </c>
      <c r="K1267">
        <v>1650</v>
      </c>
      <c r="L1267">
        <v>0</v>
      </c>
      <c r="M1267">
        <v>0</v>
      </c>
      <c r="N1267">
        <v>1650</v>
      </c>
    </row>
    <row r="1268" spans="1:14" x14ac:dyDescent="0.25">
      <c r="A1268">
        <v>732.20520199999999</v>
      </c>
      <c r="B1268" s="1">
        <f>DATE(2012,5,2) + TIME(4,55,29)</f>
        <v>41031.205196759256</v>
      </c>
      <c r="C1268">
        <v>80</v>
      </c>
      <c r="D1268">
        <v>77.253532410000005</v>
      </c>
      <c r="E1268">
        <v>50</v>
      </c>
      <c r="F1268">
        <v>49.857707976999997</v>
      </c>
      <c r="G1268">
        <v>1337.2615966999999</v>
      </c>
      <c r="H1268">
        <v>1335.2124022999999</v>
      </c>
      <c r="I1268">
        <v>1328.3284911999999</v>
      </c>
      <c r="J1268">
        <v>1327.2310791</v>
      </c>
      <c r="K1268">
        <v>1650</v>
      </c>
      <c r="L1268">
        <v>0</v>
      </c>
      <c r="M1268">
        <v>0</v>
      </c>
      <c r="N1268">
        <v>1650</v>
      </c>
    </row>
    <row r="1269" spans="1:14" x14ac:dyDescent="0.25">
      <c r="A1269">
        <v>732.26705800000002</v>
      </c>
      <c r="B1269" s="1">
        <f>DATE(2012,5,2) + TIME(6,24,33)</f>
        <v>41031.267048611109</v>
      </c>
      <c r="C1269">
        <v>80</v>
      </c>
      <c r="D1269">
        <v>77.540016174000002</v>
      </c>
      <c r="E1269">
        <v>50</v>
      </c>
      <c r="F1269">
        <v>49.852741240999997</v>
      </c>
      <c r="G1269">
        <v>1337.3062743999999</v>
      </c>
      <c r="H1269">
        <v>1335.2442627</v>
      </c>
      <c r="I1269">
        <v>1328.328125</v>
      </c>
      <c r="J1269">
        <v>1327.2304687999999</v>
      </c>
      <c r="K1269">
        <v>1650</v>
      </c>
      <c r="L1269">
        <v>0</v>
      </c>
      <c r="M1269">
        <v>0</v>
      </c>
      <c r="N1269">
        <v>1650</v>
      </c>
    </row>
    <row r="1270" spans="1:14" x14ac:dyDescent="0.25">
      <c r="A1270">
        <v>732.33157800000004</v>
      </c>
      <c r="B1270" s="1">
        <f>DATE(2012,5,2) + TIME(7,57,28)</f>
        <v>41031.331574074073</v>
      </c>
      <c r="C1270">
        <v>80</v>
      </c>
      <c r="D1270">
        <v>77.808128357000001</v>
      </c>
      <c r="E1270">
        <v>50</v>
      </c>
      <c r="F1270">
        <v>49.847610474</v>
      </c>
      <c r="G1270">
        <v>1337.3509521000001</v>
      </c>
      <c r="H1270">
        <v>1335.276001</v>
      </c>
      <c r="I1270">
        <v>1328.3278809000001</v>
      </c>
      <c r="J1270">
        <v>1327.2298584</v>
      </c>
      <c r="K1270">
        <v>1650</v>
      </c>
      <c r="L1270">
        <v>0</v>
      </c>
      <c r="M1270">
        <v>0</v>
      </c>
      <c r="N1270">
        <v>1650</v>
      </c>
    </row>
    <row r="1271" spans="1:14" x14ac:dyDescent="0.25">
      <c r="A1271">
        <v>732.39899000000003</v>
      </c>
      <c r="B1271" s="1">
        <f>DATE(2012,5,2) + TIME(9,34,32)</f>
        <v>41031.398981481485</v>
      </c>
      <c r="C1271">
        <v>80</v>
      </c>
      <c r="D1271">
        <v>78.057899474999999</v>
      </c>
      <c r="E1271">
        <v>50</v>
      </c>
      <c r="F1271">
        <v>49.842296599999997</v>
      </c>
      <c r="G1271">
        <v>1337.3951416</v>
      </c>
      <c r="H1271">
        <v>1335.307251</v>
      </c>
      <c r="I1271">
        <v>1328.3275146000001</v>
      </c>
      <c r="J1271">
        <v>1327.2292480000001</v>
      </c>
      <c r="K1271">
        <v>1650</v>
      </c>
      <c r="L1271">
        <v>0</v>
      </c>
      <c r="M1271">
        <v>0</v>
      </c>
      <c r="N1271">
        <v>1650</v>
      </c>
    </row>
    <row r="1272" spans="1:14" x14ac:dyDescent="0.25">
      <c r="A1272">
        <v>732.46954800000003</v>
      </c>
      <c r="B1272" s="1">
        <f>DATE(2012,5,2) + TIME(11,16,8)</f>
        <v>41031.469537037039</v>
      </c>
      <c r="C1272">
        <v>80</v>
      </c>
      <c r="D1272">
        <v>78.289421082000004</v>
      </c>
      <c r="E1272">
        <v>50</v>
      </c>
      <c r="F1272">
        <v>49.836788177000003</v>
      </c>
      <c r="G1272">
        <v>1337.4389647999999</v>
      </c>
      <c r="H1272">
        <v>1335.3382568</v>
      </c>
      <c r="I1272">
        <v>1328.3271483999999</v>
      </c>
      <c r="J1272">
        <v>1327.2285156</v>
      </c>
      <c r="K1272">
        <v>1650</v>
      </c>
      <c r="L1272">
        <v>0</v>
      </c>
      <c r="M1272">
        <v>0</v>
      </c>
      <c r="N1272">
        <v>1650</v>
      </c>
    </row>
    <row r="1273" spans="1:14" x14ac:dyDescent="0.25">
      <c r="A1273">
        <v>732.54359599999998</v>
      </c>
      <c r="B1273" s="1">
        <f>DATE(2012,5,2) + TIME(13,2,46)</f>
        <v>41031.543587962966</v>
      </c>
      <c r="C1273">
        <v>80</v>
      </c>
      <c r="D1273">
        <v>78.503044127999999</v>
      </c>
      <c r="E1273">
        <v>50</v>
      </c>
      <c r="F1273">
        <v>49.831066131999997</v>
      </c>
      <c r="G1273">
        <v>1337.4822998</v>
      </c>
      <c r="H1273">
        <v>1335.3688964999999</v>
      </c>
      <c r="I1273">
        <v>1328.3267822</v>
      </c>
      <c r="J1273">
        <v>1327.2277832</v>
      </c>
      <c r="K1273">
        <v>1650</v>
      </c>
      <c r="L1273">
        <v>0</v>
      </c>
      <c r="M1273">
        <v>0</v>
      </c>
      <c r="N1273">
        <v>1650</v>
      </c>
    </row>
    <row r="1274" spans="1:14" x14ac:dyDescent="0.25">
      <c r="A1274">
        <v>732.62143300000002</v>
      </c>
      <c r="B1274" s="1">
        <f>DATE(2012,5,2) + TIME(14,54,51)</f>
        <v>41031.621423611112</v>
      </c>
      <c r="C1274">
        <v>80</v>
      </c>
      <c r="D1274">
        <v>78.698905945000007</v>
      </c>
      <c r="E1274">
        <v>50</v>
      </c>
      <c r="F1274">
        <v>49.825107574</v>
      </c>
      <c r="G1274">
        <v>1337.5251464999999</v>
      </c>
      <c r="H1274">
        <v>1335.3989257999999</v>
      </c>
      <c r="I1274">
        <v>1328.3264160000001</v>
      </c>
      <c r="J1274">
        <v>1327.2269286999999</v>
      </c>
      <c r="K1274">
        <v>1650</v>
      </c>
      <c r="L1274">
        <v>0</v>
      </c>
      <c r="M1274">
        <v>0</v>
      </c>
      <c r="N1274">
        <v>1650</v>
      </c>
    </row>
    <row r="1275" spans="1:14" x14ac:dyDescent="0.25">
      <c r="A1275">
        <v>732.70344499999999</v>
      </c>
      <c r="B1275" s="1">
        <f>DATE(2012,5,2) + TIME(16,52,57)</f>
        <v>41031.7034375</v>
      </c>
      <c r="C1275">
        <v>80</v>
      </c>
      <c r="D1275">
        <v>78.877387999999996</v>
      </c>
      <c r="E1275">
        <v>50</v>
      </c>
      <c r="F1275">
        <v>49.818893433</v>
      </c>
      <c r="G1275">
        <v>1337.5672606999999</v>
      </c>
      <c r="H1275">
        <v>1335.4285889</v>
      </c>
      <c r="I1275">
        <v>1328.3259277</v>
      </c>
      <c r="J1275">
        <v>1327.2260742000001</v>
      </c>
      <c r="K1275">
        <v>1650</v>
      </c>
      <c r="L1275">
        <v>0</v>
      </c>
      <c r="M1275">
        <v>0</v>
      </c>
      <c r="N1275">
        <v>1650</v>
      </c>
    </row>
    <row r="1276" spans="1:14" x14ac:dyDescent="0.25">
      <c r="A1276">
        <v>732.79008499999998</v>
      </c>
      <c r="B1276" s="1">
        <f>DATE(2012,5,2) + TIME(18,57,43)</f>
        <v>41031.790081018517</v>
      </c>
      <c r="C1276">
        <v>80</v>
      </c>
      <c r="D1276">
        <v>79.038963318</v>
      </c>
      <c r="E1276">
        <v>50</v>
      </c>
      <c r="F1276">
        <v>49.812400818</v>
      </c>
      <c r="G1276">
        <v>1337.6085204999999</v>
      </c>
      <c r="H1276">
        <v>1335.4576416</v>
      </c>
      <c r="I1276">
        <v>1328.3254394999999</v>
      </c>
      <c r="J1276">
        <v>1327.2252197</v>
      </c>
      <c r="K1276">
        <v>1650</v>
      </c>
      <c r="L1276">
        <v>0</v>
      </c>
      <c r="M1276">
        <v>0</v>
      </c>
      <c r="N1276">
        <v>1650</v>
      </c>
    </row>
    <row r="1277" spans="1:14" x14ac:dyDescent="0.25">
      <c r="A1277">
        <v>732.88189</v>
      </c>
      <c r="B1277" s="1">
        <f>DATE(2012,5,2) + TIME(21,9,55)</f>
        <v>41031.881886574076</v>
      </c>
      <c r="C1277">
        <v>80</v>
      </c>
      <c r="D1277">
        <v>79.184158324999999</v>
      </c>
      <c r="E1277">
        <v>50</v>
      </c>
      <c r="F1277">
        <v>49.805595398000001</v>
      </c>
      <c r="G1277">
        <v>1337.6488036999999</v>
      </c>
      <c r="H1277">
        <v>1335.4858397999999</v>
      </c>
      <c r="I1277">
        <v>1328.3249512</v>
      </c>
      <c r="J1277">
        <v>1327.2242432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732.97931900000003</v>
      </c>
      <c r="B1278" s="1">
        <f>DATE(2012,5,2) + TIME(23,30,13)</f>
        <v>41031.979317129626</v>
      </c>
      <c r="C1278">
        <v>80</v>
      </c>
      <c r="D1278">
        <v>79.313446045000006</v>
      </c>
      <c r="E1278">
        <v>50</v>
      </c>
      <c r="F1278">
        <v>49.798450469999999</v>
      </c>
      <c r="G1278">
        <v>1337.6881103999999</v>
      </c>
      <c r="H1278">
        <v>1335.5135498</v>
      </c>
      <c r="I1278">
        <v>1328.3243408000001</v>
      </c>
      <c r="J1278">
        <v>1327.2232666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733.08018400000003</v>
      </c>
      <c r="B1279" s="1">
        <f>DATE(2012,5,3) + TIME(1,55,27)</f>
        <v>41032.08017361111</v>
      </c>
      <c r="C1279">
        <v>80</v>
      </c>
      <c r="D1279">
        <v>79.424934386999993</v>
      </c>
      <c r="E1279">
        <v>50</v>
      </c>
      <c r="F1279">
        <v>49.791130066000001</v>
      </c>
      <c r="G1279">
        <v>1337.7265625</v>
      </c>
      <c r="H1279">
        <v>1335.5405272999999</v>
      </c>
      <c r="I1279">
        <v>1328.3237305</v>
      </c>
      <c r="J1279">
        <v>1327.222168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733.18111599999997</v>
      </c>
      <c r="B1280" s="1">
        <f>DATE(2012,5,3) + TIME(4,20,48)</f>
        <v>41032.181111111109</v>
      </c>
      <c r="C1280">
        <v>80</v>
      </c>
      <c r="D1280">
        <v>79.517753600999995</v>
      </c>
      <c r="E1280">
        <v>50</v>
      </c>
      <c r="F1280">
        <v>49.783859253000003</v>
      </c>
      <c r="G1280">
        <v>1337.7630615</v>
      </c>
      <c r="H1280">
        <v>1335.5660399999999</v>
      </c>
      <c r="I1280">
        <v>1328.3229980000001</v>
      </c>
      <c r="J1280">
        <v>1327.2210693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733.28256999999996</v>
      </c>
      <c r="B1281" s="1">
        <f>DATE(2012,5,3) + TIME(6,46,54)</f>
        <v>41032.282569444447</v>
      </c>
      <c r="C1281">
        <v>80</v>
      </c>
      <c r="D1281">
        <v>79.595191955999994</v>
      </c>
      <c r="E1281">
        <v>50</v>
      </c>
      <c r="F1281">
        <v>49.776607513000002</v>
      </c>
      <c r="G1281">
        <v>1337.7960204999999</v>
      </c>
      <c r="H1281">
        <v>1335.5892334</v>
      </c>
      <c r="I1281">
        <v>1328.3223877</v>
      </c>
      <c r="J1281">
        <v>1327.2199707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733.38481100000001</v>
      </c>
      <c r="B1282" s="1">
        <f>DATE(2012,5,3) + TIME(9,14,7)</f>
        <v>41032.38480324074</v>
      </c>
      <c r="C1282">
        <v>80</v>
      </c>
      <c r="D1282">
        <v>79.659782410000005</v>
      </c>
      <c r="E1282">
        <v>50</v>
      </c>
      <c r="F1282">
        <v>49.769351958999998</v>
      </c>
      <c r="G1282">
        <v>1337.8233643000001</v>
      </c>
      <c r="H1282">
        <v>1335.6085204999999</v>
      </c>
      <c r="I1282">
        <v>1328.3216553</v>
      </c>
      <c r="J1282">
        <v>1327.2188721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733.48818400000005</v>
      </c>
      <c r="B1283" s="1">
        <f>DATE(2012,5,3) + TIME(11,42,59)</f>
        <v>41032.488182870373</v>
      </c>
      <c r="C1283">
        <v>80</v>
      </c>
      <c r="D1283">
        <v>79.713676453000005</v>
      </c>
      <c r="E1283">
        <v>50</v>
      </c>
      <c r="F1283">
        <v>49.762073516999997</v>
      </c>
      <c r="G1283">
        <v>1337.8476562000001</v>
      </c>
      <c r="H1283">
        <v>1335.6258545000001</v>
      </c>
      <c r="I1283">
        <v>1328.3209228999999</v>
      </c>
      <c r="J1283">
        <v>1327.2176514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733.59298200000001</v>
      </c>
      <c r="B1284" s="1">
        <f>DATE(2012,5,3) + TIME(14,13,53)</f>
        <v>41032.592974537038</v>
      </c>
      <c r="C1284">
        <v>80</v>
      </c>
      <c r="D1284">
        <v>79.758628845000004</v>
      </c>
      <c r="E1284">
        <v>50</v>
      </c>
      <c r="F1284">
        <v>49.754749298</v>
      </c>
      <c r="G1284">
        <v>1337.869751</v>
      </c>
      <c r="H1284">
        <v>1335.6417236</v>
      </c>
      <c r="I1284">
        <v>1328.3201904</v>
      </c>
      <c r="J1284">
        <v>1327.2164307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733.69948899999997</v>
      </c>
      <c r="B1285" s="1">
        <f>DATE(2012,5,3) + TIME(16,47,15)</f>
        <v>41032.699479166666</v>
      </c>
      <c r="C1285">
        <v>80</v>
      </c>
      <c r="D1285">
        <v>79.796089171999995</v>
      </c>
      <c r="E1285">
        <v>50</v>
      </c>
      <c r="F1285">
        <v>49.747360229000002</v>
      </c>
      <c r="G1285">
        <v>1337.8898925999999</v>
      </c>
      <c r="H1285">
        <v>1335.6563721</v>
      </c>
      <c r="I1285">
        <v>1328.3193358999999</v>
      </c>
      <c r="J1285">
        <v>1327.215332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733.80800499999998</v>
      </c>
      <c r="B1286" s="1">
        <f>DATE(2012,5,3) + TIME(19,23,31)</f>
        <v>41032.807997685188</v>
      </c>
      <c r="C1286">
        <v>80</v>
      </c>
      <c r="D1286">
        <v>79.827270507999998</v>
      </c>
      <c r="E1286">
        <v>50</v>
      </c>
      <c r="F1286">
        <v>49.739891051999997</v>
      </c>
      <c r="G1286">
        <v>1337.9082031</v>
      </c>
      <c r="H1286">
        <v>1335.6697998</v>
      </c>
      <c r="I1286">
        <v>1328.3186035000001</v>
      </c>
      <c r="J1286">
        <v>1327.2139893000001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733.91884500000003</v>
      </c>
      <c r="B1287" s="1">
        <f>DATE(2012,5,3) + TIME(22,3,8)</f>
        <v>41032.918842592589</v>
      </c>
      <c r="C1287">
        <v>80</v>
      </c>
      <c r="D1287">
        <v>79.853164672999995</v>
      </c>
      <c r="E1287">
        <v>50</v>
      </c>
      <c r="F1287">
        <v>49.732322693</v>
      </c>
      <c r="G1287">
        <v>1337.9232178</v>
      </c>
      <c r="H1287">
        <v>1335.6809082</v>
      </c>
      <c r="I1287">
        <v>1328.317749</v>
      </c>
      <c r="J1287">
        <v>1327.2127685999999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734.03239299999996</v>
      </c>
      <c r="B1288" s="1">
        <f>DATE(2012,5,4) + TIME(0,46,38)</f>
        <v>41033.032384259262</v>
      </c>
      <c r="C1288">
        <v>80</v>
      </c>
      <c r="D1288">
        <v>79.874633789000001</v>
      </c>
      <c r="E1288">
        <v>50</v>
      </c>
      <c r="F1288">
        <v>49.724624634000001</v>
      </c>
      <c r="G1288">
        <v>1337.9349365</v>
      </c>
      <c r="H1288">
        <v>1335.6899414</v>
      </c>
      <c r="I1288">
        <v>1328.3168945</v>
      </c>
      <c r="J1288">
        <v>1327.2114257999999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734.14927499999999</v>
      </c>
      <c r="B1289" s="1">
        <f>DATE(2012,5,4) + TIME(3,34,57)</f>
        <v>41033.149270833332</v>
      </c>
      <c r="C1289">
        <v>80</v>
      </c>
      <c r="D1289">
        <v>79.892425536999994</v>
      </c>
      <c r="E1289">
        <v>50</v>
      </c>
      <c r="F1289">
        <v>49.716766356999997</v>
      </c>
      <c r="G1289">
        <v>1337.9454346</v>
      </c>
      <c r="H1289">
        <v>1335.6981201000001</v>
      </c>
      <c r="I1289">
        <v>1328.315918</v>
      </c>
      <c r="J1289">
        <v>1327.2102050999999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734.26995499999998</v>
      </c>
      <c r="B1290" s="1">
        <f>DATE(2012,5,4) + TIME(6,28,44)</f>
        <v>41033.269953703704</v>
      </c>
      <c r="C1290">
        <v>80</v>
      </c>
      <c r="D1290">
        <v>79.907119750999996</v>
      </c>
      <c r="E1290">
        <v>50</v>
      </c>
      <c r="F1290">
        <v>49.708717346</v>
      </c>
      <c r="G1290">
        <v>1337.9547118999999</v>
      </c>
      <c r="H1290">
        <v>1335.7055664</v>
      </c>
      <c r="I1290">
        <v>1328.3149414</v>
      </c>
      <c r="J1290">
        <v>1327.2087402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734.39499000000001</v>
      </c>
      <c r="B1291" s="1">
        <f>DATE(2012,5,4) + TIME(9,28,47)</f>
        <v>41033.394988425927</v>
      </c>
      <c r="C1291">
        <v>80</v>
      </c>
      <c r="D1291">
        <v>79.919219971000004</v>
      </c>
      <c r="E1291">
        <v>50</v>
      </c>
      <c r="F1291">
        <v>49.700443268000001</v>
      </c>
      <c r="G1291">
        <v>1337.9628906</v>
      </c>
      <c r="H1291">
        <v>1335.7124022999999</v>
      </c>
      <c r="I1291">
        <v>1328.3139647999999</v>
      </c>
      <c r="J1291">
        <v>1327.2072754000001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734.52483500000005</v>
      </c>
      <c r="B1292" s="1">
        <f>DATE(2012,5,4) + TIME(12,35,45)</f>
        <v>41033.524826388886</v>
      </c>
      <c r="C1292">
        <v>80</v>
      </c>
      <c r="D1292">
        <v>79.929138183999996</v>
      </c>
      <c r="E1292">
        <v>50</v>
      </c>
      <c r="F1292">
        <v>49.691928863999998</v>
      </c>
      <c r="G1292">
        <v>1337.9700928</v>
      </c>
      <c r="H1292">
        <v>1335.7186279</v>
      </c>
      <c r="I1292">
        <v>1328.3129882999999</v>
      </c>
      <c r="J1292">
        <v>1327.2058105000001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734.65656100000001</v>
      </c>
      <c r="B1293" s="1">
        <f>DATE(2012,5,4) + TIME(15,45,26)</f>
        <v>41033.656550925924</v>
      </c>
      <c r="C1293">
        <v>80</v>
      </c>
      <c r="D1293">
        <v>79.937065125000004</v>
      </c>
      <c r="E1293">
        <v>50</v>
      </c>
      <c r="F1293">
        <v>49.683341980000002</v>
      </c>
      <c r="G1293">
        <v>1337.9764404</v>
      </c>
      <c r="H1293">
        <v>1335.7243652</v>
      </c>
      <c r="I1293">
        <v>1328.3118896000001</v>
      </c>
      <c r="J1293">
        <v>1327.2042236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734.79054299999996</v>
      </c>
      <c r="B1294" s="1">
        <f>DATE(2012,5,4) + TIME(18,58,22)</f>
        <v>41033.790532407409</v>
      </c>
      <c r="C1294">
        <v>80</v>
      </c>
      <c r="D1294">
        <v>79.943397521999998</v>
      </c>
      <c r="E1294">
        <v>50</v>
      </c>
      <c r="F1294">
        <v>49.674667358000001</v>
      </c>
      <c r="G1294">
        <v>1337.9818115</v>
      </c>
      <c r="H1294">
        <v>1335.7293701000001</v>
      </c>
      <c r="I1294">
        <v>1328.3106689000001</v>
      </c>
      <c r="J1294">
        <v>1327.2025146000001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734.92704100000003</v>
      </c>
      <c r="B1295" s="1">
        <f>DATE(2012,5,4) + TIME(22,14,56)</f>
        <v>41033.927037037036</v>
      </c>
      <c r="C1295">
        <v>80</v>
      </c>
      <c r="D1295">
        <v>79.948455811000002</v>
      </c>
      <c r="E1295">
        <v>50</v>
      </c>
      <c r="F1295">
        <v>49.665885924999998</v>
      </c>
      <c r="G1295">
        <v>1337.9862060999999</v>
      </c>
      <c r="H1295">
        <v>1335.7338867000001</v>
      </c>
      <c r="I1295">
        <v>1328.3095702999999</v>
      </c>
      <c r="J1295">
        <v>1327.2009277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735.06628899999998</v>
      </c>
      <c r="B1296" s="1">
        <f>DATE(2012,5,5) + TIME(1,35,27)</f>
        <v>41034.066284722219</v>
      </c>
      <c r="C1296">
        <v>80</v>
      </c>
      <c r="D1296">
        <v>79.952484131000006</v>
      </c>
      <c r="E1296">
        <v>50</v>
      </c>
      <c r="F1296">
        <v>49.656986236999998</v>
      </c>
      <c r="G1296">
        <v>1337.9898682</v>
      </c>
      <c r="H1296">
        <v>1335.737793</v>
      </c>
      <c r="I1296">
        <v>1328.3083495999999</v>
      </c>
      <c r="J1296">
        <v>1327.1990966999999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735.20857999999998</v>
      </c>
      <c r="B1297" s="1">
        <f>DATE(2012,5,5) + TIME(5,0,21)</f>
        <v>41034.20857638889</v>
      </c>
      <c r="C1297">
        <v>80</v>
      </c>
      <c r="D1297">
        <v>79.955688476999995</v>
      </c>
      <c r="E1297">
        <v>50</v>
      </c>
      <c r="F1297">
        <v>49.647949218999997</v>
      </c>
      <c r="G1297">
        <v>1337.9902344</v>
      </c>
      <c r="H1297">
        <v>1335.7397461</v>
      </c>
      <c r="I1297">
        <v>1328.3071289</v>
      </c>
      <c r="J1297">
        <v>1327.1973877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735.35438199999999</v>
      </c>
      <c r="B1298" s="1">
        <f>DATE(2012,5,5) + TIME(8,30,18)</f>
        <v>41034.354375000003</v>
      </c>
      <c r="C1298">
        <v>80</v>
      </c>
      <c r="D1298">
        <v>79.958236693999993</v>
      </c>
      <c r="E1298">
        <v>50</v>
      </c>
      <c r="F1298">
        <v>49.638755797999998</v>
      </c>
      <c r="G1298">
        <v>1337.9898682</v>
      </c>
      <c r="H1298">
        <v>1335.7412108999999</v>
      </c>
      <c r="I1298">
        <v>1328.3057861</v>
      </c>
      <c r="J1298">
        <v>1327.1955565999999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735.50404700000001</v>
      </c>
      <c r="B1299" s="1">
        <f>DATE(2012,5,5) + TIME(12,5,49)</f>
        <v>41034.50403935185</v>
      </c>
      <c r="C1299">
        <v>80</v>
      </c>
      <c r="D1299">
        <v>79.960258483999993</v>
      </c>
      <c r="E1299">
        <v>50</v>
      </c>
      <c r="F1299">
        <v>49.629379272000001</v>
      </c>
      <c r="G1299">
        <v>1337.9890137</v>
      </c>
      <c r="H1299">
        <v>1335.7423096</v>
      </c>
      <c r="I1299">
        <v>1328.3045654</v>
      </c>
      <c r="J1299">
        <v>1327.1937256000001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735.65795300000002</v>
      </c>
      <c r="B1300" s="1">
        <f>DATE(2012,5,5) + TIME(15,47,27)</f>
        <v>41034.657951388886</v>
      </c>
      <c r="C1300">
        <v>80</v>
      </c>
      <c r="D1300">
        <v>79.961853027000004</v>
      </c>
      <c r="E1300">
        <v>50</v>
      </c>
      <c r="F1300">
        <v>49.619804381999998</v>
      </c>
      <c r="G1300">
        <v>1337.987793</v>
      </c>
      <c r="H1300">
        <v>1335.7432861</v>
      </c>
      <c r="I1300">
        <v>1328.3031006000001</v>
      </c>
      <c r="J1300">
        <v>1327.1917725000001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735.81651999999997</v>
      </c>
      <c r="B1301" s="1">
        <f>DATE(2012,5,5) + TIME(19,35,47)</f>
        <v>41034.816516203704</v>
      </c>
      <c r="C1301">
        <v>80</v>
      </c>
      <c r="D1301">
        <v>79.963119507000002</v>
      </c>
      <c r="E1301">
        <v>50</v>
      </c>
      <c r="F1301">
        <v>49.610008239999999</v>
      </c>
      <c r="G1301">
        <v>1337.9860839999999</v>
      </c>
      <c r="H1301">
        <v>1335.7440185999999</v>
      </c>
      <c r="I1301">
        <v>1328.3017577999999</v>
      </c>
      <c r="J1301">
        <v>1327.1896973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735.98021700000004</v>
      </c>
      <c r="B1302" s="1">
        <f>DATE(2012,5,5) + TIME(23,31,30)</f>
        <v>41034.980208333334</v>
      </c>
      <c r="C1302">
        <v>80</v>
      </c>
      <c r="D1302">
        <v>79.964118958</v>
      </c>
      <c r="E1302">
        <v>50</v>
      </c>
      <c r="F1302">
        <v>49.599967956999997</v>
      </c>
      <c r="G1302">
        <v>1337.9840088000001</v>
      </c>
      <c r="H1302">
        <v>1335.7445068</v>
      </c>
      <c r="I1302">
        <v>1328.300293</v>
      </c>
      <c r="J1302">
        <v>1327.1876221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736.14956800000004</v>
      </c>
      <c r="B1303" s="1">
        <f>DATE(2012,5,6) + TIME(3,35,22)</f>
        <v>41035.149560185186</v>
      </c>
      <c r="C1303">
        <v>80</v>
      </c>
      <c r="D1303">
        <v>79.964904785000002</v>
      </c>
      <c r="E1303">
        <v>50</v>
      </c>
      <c r="F1303">
        <v>49.589656830000003</v>
      </c>
      <c r="G1303">
        <v>1337.9815673999999</v>
      </c>
      <c r="H1303">
        <v>1335.744751</v>
      </c>
      <c r="I1303">
        <v>1328.2987060999999</v>
      </c>
      <c r="J1303">
        <v>1327.1854248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736.32581000000005</v>
      </c>
      <c r="B1304" s="1">
        <f>DATE(2012,5,6) + TIME(7,49,9)</f>
        <v>41035.325798611113</v>
      </c>
      <c r="C1304">
        <v>80</v>
      </c>
      <c r="D1304">
        <v>79.965515136999997</v>
      </c>
      <c r="E1304">
        <v>50</v>
      </c>
      <c r="F1304">
        <v>49.579006194999998</v>
      </c>
      <c r="G1304">
        <v>1337.9787598</v>
      </c>
      <c r="H1304">
        <v>1335.7448730000001</v>
      </c>
      <c r="I1304">
        <v>1328.2971190999999</v>
      </c>
      <c r="J1304">
        <v>1327.1831055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736.50689</v>
      </c>
      <c r="B1305" s="1">
        <f>DATE(2012,5,6) + TIME(12,9,55)</f>
        <v>41035.506886574076</v>
      </c>
      <c r="C1305">
        <v>80</v>
      </c>
      <c r="D1305">
        <v>79.965995789000004</v>
      </c>
      <c r="E1305">
        <v>50</v>
      </c>
      <c r="F1305">
        <v>49.568138122999997</v>
      </c>
      <c r="G1305">
        <v>1337.9755858999999</v>
      </c>
      <c r="H1305">
        <v>1335.7448730000001</v>
      </c>
      <c r="I1305">
        <v>1328.2954102000001</v>
      </c>
      <c r="J1305">
        <v>1327.1807861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736.69309999999996</v>
      </c>
      <c r="B1306" s="1">
        <f>DATE(2012,5,6) + TIME(16,38,3)</f>
        <v>41035.693090277775</v>
      </c>
      <c r="C1306">
        <v>80</v>
      </c>
      <c r="D1306">
        <v>79.966362000000004</v>
      </c>
      <c r="E1306">
        <v>50</v>
      </c>
      <c r="F1306">
        <v>49.557029724000003</v>
      </c>
      <c r="G1306">
        <v>1337.972168</v>
      </c>
      <c r="H1306">
        <v>1335.744751</v>
      </c>
      <c r="I1306">
        <v>1328.2937012</v>
      </c>
      <c r="J1306">
        <v>1327.1782227000001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736.88494600000001</v>
      </c>
      <c r="B1307" s="1">
        <f>DATE(2012,5,6) + TIME(21,14,19)</f>
        <v>41035.884942129633</v>
      </c>
      <c r="C1307">
        <v>80</v>
      </c>
      <c r="D1307">
        <v>79.966644286999994</v>
      </c>
      <c r="E1307">
        <v>50</v>
      </c>
      <c r="F1307">
        <v>49.545661926000001</v>
      </c>
      <c r="G1307">
        <v>1337.9683838000001</v>
      </c>
      <c r="H1307">
        <v>1335.7443848</v>
      </c>
      <c r="I1307">
        <v>1328.2918701000001</v>
      </c>
      <c r="J1307">
        <v>1327.1756591999999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737.08298300000001</v>
      </c>
      <c r="B1308" s="1">
        <f>DATE(2012,5,7) + TIME(1,59,29)</f>
        <v>41036.082974537036</v>
      </c>
      <c r="C1308">
        <v>80</v>
      </c>
      <c r="D1308">
        <v>79.966857910000002</v>
      </c>
      <c r="E1308">
        <v>50</v>
      </c>
      <c r="F1308">
        <v>49.534004211000003</v>
      </c>
      <c r="G1308">
        <v>1337.9643555</v>
      </c>
      <c r="H1308">
        <v>1335.7438964999999</v>
      </c>
      <c r="I1308">
        <v>1328.2899170000001</v>
      </c>
      <c r="J1308">
        <v>1327.1729736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737.28783199999998</v>
      </c>
      <c r="B1309" s="1">
        <f>DATE(2012,5,7) + TIME(6,54,28)</f>
        <v>41036.287824074076</v>
      </c>
      <c r="C1309">
        <v>80</v>
      </c>
      <c r="D1309">
        <v>79.967018127000003</v>
      </c>
      <c r="E1309">
        <v>50</v>
      </c>
      <c r="F1309">
        <v>49.522029877000001</v>
      </c>
      <c r="G1309">
        <v>1337.9600829999999</v>
      </c>
      <c r="H1309">
        <v>1335.7432861</v>
      </c>
      <c r="I1309">
        <v>1328.2879639</v>
      </c>
      <c r="J1309">
        <v>1327.1701660000001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737.49849900000004</v>
      </c>
      <c r="B1310" s="1">
        <f>DATE(2012,5,7) + TIME(11,57,50)</f>
        <v>41036.498495370368</v>
      </c>
      <c r="C1310">
        <v>80</v>
      </c>
      <c r="D1310">
        <v>79.967132567999997</v>
      </c>
      <c r="E1310">
        <v>50</v>
      </c>
      <c r="F1310">
        <v>49.509796143000003</v>
      </c>
      <c r="G1310">
        <v>1337.9554443</v>
      </c>
      <c r="H1310">
        <v>1335.7426757999999</v>
      </c>
      <c r="I1310">
        <v>1328.2858887</v>
      </c>
      <c r="J1310">
        <v>1327.1672363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737.71238200000005</v>
      </c>
      <c r="B1311" s="1">
        <f>DATE(2012,5,7) + TIME(17,5,49)</f>
        <v>41036.712372685186</v>
      </c>
      <c r="C1311">
        <v>80</v>
      </c>
      <c r="D1311">
        <v>79.967208862000007</v>
      </c>
      <c r="E1311">
        <v>50</v>
      </c>
      <c r="F1311">
        <v>49.497428894000002</v>
      </c>
      <c r="G1311">
        <v>1337.9506836</v>
      </c>
      <c r="H1311">
        <v>1335.7418213000001</v>
      </c>
      <c r="I1311">
        <v>1328.2838135</v>
      </c>
      <c r="J1311">
        <v>1327.1641846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737.930159</v>
      </c>
      <c r="B1312" s="1">
        <f>DATE(2012,5,7) + TIME(22,19,25)</f>
        <v>41036.930150462962</v>
      </c>
      <c r="C1312">
        <v>80</v>
      </c>
      <c r="D1312">
        <v>79.967269896999994</v>
      </c>
      <c r="E1312">
        <v>50</v>
      </c>
      <c r="F1312">
        <v>49.484901428000001</v>
      </c>
      <c r="G1312">
        <v>1337.9456786999999</v>
      </c>
      <c r="H1312">
        <v>1335.7409668</v>
      </c>
      <c r="I1312">
        <v>1328.2816161999999</v>
      </c>
      <c r="J1312">
        <v>1327.1611327999999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738.15249600000004</v>
      </c>
      <c r="B1313" s="1">
        <f>DATE(2012,5,8) + TIME(3,39,35)</f>
        <v>41037.152488425927</v>
      </c>
      <c r="C1313">
        <v>80</v>
      </c>
      <c r="D1313">
        <v>79.967300414999997</v>
      </c>
      <c r="E1313">
        <v>50</v>
      </c>
      <c r="F1313">
        <v>49.472183227999999</v>
      </c>
      <c r="G1313">
        <v>1337.9405518000001</v>
      </c>
      <c r="H1313">
        <v>1335.7399902</v>
      </c>
      <c r="I1313">
        <v>1328.2794189000001</v>
      </c>
      <c r="J1313">
        <v>1327.1579589999999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738.38008300000001</v>
      </c>
      <c r="B1314" s="1">
        <f>DATE(2012,5,8) + TIME(9,7,19)</f>
        <v>41037.38008101852</v>
      </c>
      <c r="C1314">
        <v>80</v>
      </c>
      <c r="D1314">
        <v>79.967315674000005</v>
      </c>
      <c r="E1314">
        <v>50</v>
      </c>
      <c r="F1314">
        <v>49.459239959999998</v>
      </c>
      <c r="G1314">
        <v>1337.9354248</v>
      </c>
      <c r="H1314">
        <v>1335.7390137</v>
      </c>
      <c r="I1314">
        <v>1328.2770995999999</v>
      </c>
      <c r="J1314">
        <v>1327.1546631000001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738.61366499999997</v>
      </c>
      <c r="B1315" s="1">
        <f>DATE(2012,5,8) + TIME(14,43,40)</f>
        <v>41037.613657407404</v>
      </c>
      <c r="C1315">
        <v>80</v>
      </c>
      <c r="D1315">
        <v>79.967315674000005</v>
      </c>
      <c r="E1315">
        <v>50</v>
      </c>
      <c r="F1315">
        <v>49.446041106999999</v>
      </c>
      <c r="G1315">
        <v>1337.9300536999999</v>
      </c>
      <c r="H1315">
        <v>1335.7380370999999</v>
      </c>
      <c r="I1315">
        <v>1328.2747803</v>
      </c>
      <c r="J1315">
        <v>1327.1512451000001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738.85406</v>
      </c>
      <c r="B1316" s="1">
        <f>DATE(2012,5,8) + TIME(20,29,50)</f>
        <v>41037.854050925926</v>
      </c>
      <c r="C1316">
        <v>80</v>
      </c>
      <c r="D1316">
        <v>79.967308044000006</v>
      </c>
      <c r="E1316">
        <v>50</v>
      </c>
      <c r="F1316">
        <v>49.432548523000001</v>
      </c>
      <c r="G1316">
        <v>1337.9245605000001</v>
      </c>
      <c r="H1316">
        <v>1335.7369385</v>
      </c>
      <c r="I1316">
        <v>1328.2722168</v>
      </c>
      <c r="J1316">
        <v>1327.1478271000001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739.10036000000002</v>
      </c>
      <c r="B1317" s="1">
        <f>DATE(2012,5,9) + TIME(2,24,31)</f>
        <v>41038.100358796299</v>
      </c>
      <c r="C1317">
        <v>80</v>
      </c>
      <c r="D1317">
        <v>79.967285156000003</v>
      </c>
      <c r="E1317">
        <v>50</v>
      </c>
      <c r="F1317">
        <v>49.418804168999998</v>
      </c>
      <c r="G1317">
        <v>1337.9190673999999</v>
      </c>
      <c r="H1317">
        <v>1335.7357178</v>
      </c>
      <c r="I1317">
        <v>1328.2697754000001</v>
      </c>
      <c r="J1317">
        <v>1327.1441649999999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739.34915999999998</v>
      </c>
      <c r="B1318" s="1">
        <f>DATE(2012,5,9) + TIME(8,22,47)</f>
        <v>41038.34915509259</v>
      </c>
      <c r="C1318">
        <v>80</v>
      </c>
      <c r="D1318">
        <v>79.967262267999999</v>
      </c>
      <c r="E1318">
        <v>50</v>
      </c>
      <c r="F1318">
        <v>49.404979705999999</v>
      </c>
      <c r="G1318">
        <v>1337.9134521000001</v>
      </c>
      <c r="H1318">
        <v>1335.7346190999999</v>
      </c>
      <c r="I1318">
        <v>1328.2670897999999</v>
      </c>
      <c r="J1318">
        <v>1327.1403809000001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739.60104000000001</v>
      </c>
      <c r="B1319" s="1">
        <f>DATE(2012,5,9) + TIME(14,25,29)</f>
        <v>41038.601030092592</v>
      </c>
      <c r="C1319">
        <v>80</v>
      </c>
      <c r="D1319">
        <v>79.967224121000001</v>
      </c>
      <c r="E1319">
        <v>50</v>
      </c>
      <c r="F1319">
        <v>49.391048431000002</v>
      </c>
      <c r="G1319">
        <v>1337.9077147999999</v>
      </c>
      <c r="H1319">
        <v>1335.7333983999999</v>
      </c>
      <c r="I1319">
        <v>1328.2644043</v>
      </c>
      <c r="J1319">
        <v>1327.1365966999999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739.85657900000001</v>
      </c>
      <c r="B1320" s="1">
        <f>DATE(2012,5,9) + TIME(20,33,28)</f>
        <v>41038.856574074074</v>
      </c>
      <c r="C1320">
        <v>80</v>
      </c>
      <c r="D1320">
        <v>79.967185974000003</v>
      </c>
      <c r="E1320">
        <v>50</v>
      </c>
      <c r="F1320">
        <v>49.376987456999998</v>
      </c>
      <c r="G1320">
        <v>1337.9020995999999</v>
      </c>
      <c r="H1320">
        <v>1335.7322998</v>
      </c>
      <c r="I1320">
        <v>1328.2617187999999</v>
      </c>
      <c r="J1320">
        <v>1327.1326904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740.11641899999995</v>
      </c>
      <c r="B1321" s="1">
        <f>DATE(2012,5,10) + TIME(2,47,38)</f>
        <v>41039.116412037038</v>
      </c>
      <c r="C1321">
        <v>80</v>
      </c>
      <c r="D1321">
        <v>79.967140197999996</v>
      </c>
      <c r="E1321">
        <v>50</v>
      </c>
      <c r="F1321">
        <v>49.362766266000001</v>
      </c>
      <c r="G1321">
        <v>1337.8963623</v>
      </c>
      <c r="H1321">
        <v>1335.7310791</v>
      </c>
      <c r="I1321">
        <v>1328.2589111</v>
      </c>
      <c r="J1321">
        <v>1327.1287841999999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740.38123199999995</v>
      </c>
      <c r="B1322" s="1">
        <f>DATE(2012,5,10) + TIME(9,8,58)</f>
        <v>41039.381226851852</v>
      </c>
      <c r="C1322">
        <v>80</v>
      </c>
      <c r="D1322">
        <v>79.967094420999999</v>
      </c>
      <c r="E1322">
        <v>50</v>
      </c>
      <c r="F1322">
        <v>49.348361969000003</v>
      </c>
      <c r="G1322">
        <v>1337.8907471</v>
      </c>
      <c r="H1322">
        <v>1335.7298584</v>
      </c>
      <c r="I1322">
        <v>1328.2561035000001</v>
      </c>
      <c r="J1322">
        <v>1327.1247559000001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740.65173900000002</v>
      </c>
      <c r="B1323" s="1">
        <f>DATE(2012,5,10) + TIME(15,38,30)</f>
        <v>41039.651736111111</v>
      </c>
      <c r="C1323">
        <v>80</v>
      </c>
      <c r="D1323">
        <v>79.967048645000006</v>
      </c>
      <c r="E1323">
        <v>50</v>
      </c>
      <c r="F1323">
        <v>49.333740233999997</v>
      </c>
      <c r="G1323">
        <v>1337.8850098</v>
      </c>
      <c r="H1323">
        <v>1335.7286377</v>
      </c>
      <c r="I1323">
        <v>1328.2531738</v>
      </c>
      <c r="J1323">
        <v>1327.1204834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740.92871200000002</v>
      </c>
      <c r="B1324" s="1">
        <f>DATE(2012,5,10) + TIME(22,17,20)</f>
        <v>41039.928703703707</v>
      </c>
      <c r="C1324">
        <v>80</v>
      </c>
      <c r="D1324">
        <v>79.966995238999999</v>
      </c>
      <c r="E1324">
        <v>50</v>
      </c>
      <c r="F1324">
        <v>49.318874358999999</v>
      </c>
      <c r="G1324">
        <v>1337.8793945</v>
      </c>
      <c r="H1324">
        <v>1335.7275391000001</v>
      </c>
      <c r="I1324">
        <v>1328.2502440999999</v>
      </c>
      <c r="J1324">
        <v>1327.1162108999999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741.21299999999997</v>
      </c>
      <c r="B1325" s="1">
        <f>DATE(2012,5,11) + TIME(5,6,43)</f>
        <v>41040.212997685187</v>
      </c>
      <c r="C1325">
        <v>80</v>
      </c>
      <c r="D1325">
        <v>79.966934203999998</v>
      </c>
      <c r="E1325">
        <v>50</v>
      </c>
      <c r="F1325">
        <v>49.303722381999997</v>
      </c>
      <c r="G1325">
        <v>1337.8736572</v>
      </c>
      <c r="H1325">
        <v>1335.7263184000001</v>
      </c>
      <c r="I1325">
        <v>1328.2471923999999</v>
      </c>
      <c r="J1325">
        <v>1327.1118164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741.50553400000001</v>
      </c>
      <c r="B1326" s="1">
        <f>DATE(2012,5,11) + TIME(12,7,58)</f>
        <v>41040.505532407406</v>
      </c>
      <c r="C1326">
        <v>80</v>
      </c>
      <c r="D1326">
        <v>79.966880798000005</v>
      </c>
      <c r="E1326">
        <v>50</v>
      </c>
      <c r="F1326">
        <v>49.288246155000003</v>
      </c>
      <c r="G1326">
        <v>1337.8677978999999</v>
      </c>
      <c r="H1326">
        <v>1335.7250977000001</v>
      </c>
      <c r="I1326">
        <v>1328.2440185999999</v>
      </c>
      <c r="J1326">
        <v>1327.1072998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741.80553799999996</v>
      </c>
      <c r="B1327" s="1">
        <f>DATE(2012,5,11) + TIME(19,19,58)</f>
        <v>41040.805532407408</v>
      </c>
      <c r="C1327">
        <v>80</v>
      </c>
      <c r="D1327">
        <v>79.966819763000004</v>
      </c>
      <c r="E1327">
        <v>50</v>
      </c>
      <c r="F1327">
        <v>49.272487640000001</v>
      </c>
      <c r="G1327">
        <v>1337.8619385</v>
      </c>
      <c r="H1327">
        <v>1335.723999</v>
      </c>
      <c r="I1327">
        <v>1328.2407227000001</v>
      </c>
      <c r="J1327">
        <v>1327.1025391000001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742.11048000000005</v>
      </c>
      <c r="B1328" s="1">
        <f>DATE(2012,5,12) + TIME(2,39,5)</f>
        <v>41041.110474537039</v>
      </c>
      <c r="C1328">
        <v>80</v>
      </c>
      <c r="D1328">
        <v>79.966758728000002</v>
      </c>
      <c r="E1328">
        <v>50</v>
      </c>
      <c r="F1328">
        <v>49.256549835000001</v>
      </c>
      <c r="G1328">
        <v>1337.8562012</v>
      </c>
      <c r="H1328">
        <v>1335.7229004000001</v>
      </c>
      <c r="I1328">
        <v>1328.2373047000001</v>
      </c>
      <c r="J1328">
        <v>1327.0976562000001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742.42113600000005</v>
      </c>
      <c r="B1329" s="1">
        <f>DATE(2012,5,12) + TIME(10,6,26)</f>
        <v>41041.421134259261</v>
      </c>
      <c r="C1329">
        <v>80</v>
      </c>
      <c r="D1329">
        <v>79.966697693</v>
      </c>
      <c r="E1329">
        <v>50</v>
      </c>
      <c r="F1329">
        <v>49.240409851000003</v>
      </c>
      <c r="G1329">
        <v>1337.8503418</v>
      </c>
      <c r="H1329">
        <v>1335.7216797000001</v>
      </c>
      <c r="I1329">
        <v>1328.2338867000001</v>
      </c>
      <c r="J1329">
        <v>1327.0927733999999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742.73826899999995</v>
      </c>
      <c r="B1330" s="1">
        <f>DATE(2012,5,12) + TIME(17,43,6)</f>
        <v>41041.738263888888</v>
      </c>
      <c r="C1330">
        <v>80</v>
      </c>
      <c r="D1330">
        <v>79.966629028</v>
      </c>
      <c r="E1330">
        <v>50</v>
      </c>
      <c r="F1330">
        <v>49.224040985000002</v>
      </c>
      <c r="G1330">
        <v>1337.8446045000001</v>
      </c>
      <c r="H1330">
        <v>1335.7205810999999</v>
      </c>
      <c r="I1330">
        <v>1328.2303466999999</v>
      </c>
      <c r="J1330">
        <v>1327.0876464999999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743.06271500000003</v>
      </c>
      <c r="B1331" s="1">
        <f>DATE(2012,5,13) + TIME(1,30,18)</f>
        <v>41042.062708333331</v>
      </c>
      <c r="C1331">
        <v>80</v>
      </c>
      <c r="D1331">
        <v>79.966567992999998</v>
      </c>
      <c r="E1331">
        <v>50</v>
      </c>
      <c r="F1331">
        <v>49.207405090000002</v>
      </c>
      <c r="G1331">
        <v>1337.8388672000001</v>
      </c>
      <c r="H1331">
        <v>1335.7196045000001</v>
      </c>
      <c r="I1331">
        <v>1328.2266846</v>
      </c>
      <c r="J1331">
        <v>1327.0823975000001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743.39539100000002</v>
      </c>
      <c r="B1332" s="1">
        <f>DATE(2012,5,13) + TIME(9,29,21)</f>
        <v>41042.395381944443</v>
      </c>
      <c r="C1332">
        <v>80</v>
      </c>
      <c r="D1332">
        <v>79.966499329000001</v>
      </c>
      <c r="E1332">
        <v>50</v>
      </c>
      <c r="F1332">
        <v>49.190475464000002</v>
      </c>
      <c r="G1332">
        <v>1337.8330077999999</v>
      </c>
      <c r="H1332">
        <v>1335.7185059000001</v>
      </c>
      <c r="I1332">
        <v>1328.2230225000001</v>
      </c>
      <c r="J1332">
        <v>1327.0770264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743.73730999999998</v>
      </c>
      <c r="B1333" s="1">
        <f>DATE(2012,5,13) + TIME(17,41,43)</f>
        <v>41042.737303240741</v>
      </c>
      <c r="C1333">
        <v>80</v>
      </c>
      <c r="D1333">
        <v>79.966430664000001</v>
      </c>
      <c r="E1333">
        <v>50</v>
      </c>
      <c r="F1333">
        <v>49.173206329000003</v>
      </c>
      <c r="G1333">
        <v>1337.8272704999999</v>
      </c>
      <c r="H1333">
        <v>1335.7174072</v>
      </c>
      <c r="I1333">
        <v>1328.2191161999999</v>
      </c>
      <c r="J1333">
        <v>1327.0715332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744.08959300000004</v>
      </c>
      <c r="B1334" s="1">
        <f>DATE(2012,5,14) + TIME(2,9,0)</f>
        <v>41043.089583333334</v>
      </c>
      <c r="C1334">
        <v>80</v>
      </c>
      <c r="D1334">
        <v>79.966362000000004</v>
      </c>
      <c r="E1334">
        <v>50</v>
      </c>
      <c r="F1334">
        <v>49.155563354000002</v>
      </c>
      <c r="G1334">
        <v>1337.8215332</v>
      </c>
      <c r="H1334">
        <v>1335.7164307</v>
      </c>
      <c r="I1334">
        <v>1328.2152100000001</v>
      </c>
      <c r="J1334">
        <v>1327.0657959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744.45350499999995</v>
      </c>
      <c r="B1335" s="1">
        <f>DATE(2012,5,14) + TIME(10,53,2)</f>
        <v>41043.45349537037</v>
      </c>
      <c r="C1335">
        <v>80</v>
      </c>
      <c r="D1335">
        <v>79.966293335000003</v>
      </c>
      <c r="E1335">
        <v>50</v>
      </c>
      <c r="F1335">
        <v>49.137489318999997</v>
      </c>
      <c r="G1335">
        <v>1337.8157959</v>
      </c>
      <c r="H1335">
        <v>1335.7154541</v>
      </c>
      <c r="I1335">
        <v>1328.2110596</v>
      </c>
      <c r="J1335">
        <v>1327.0599365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744.83064400000001</v>
      </c>
      <c r="B1336" s="1">
        <f>DATE(2012,5,14) + TIME(19,56,7)</f>
        <v>41043.830636574072</v>
      </c>
      <c r="C1336">
        <v>80</v>
      </c>
      <c r="D1336">
        <v>79.966224670000003</v>
      </c>
      <c r="E1336">
        <v>50</v>
      </c>
      <c r="F1336">
        <v>49.118927002</v>
      </c>
      <c r="G1336">
        <v>1337.8099365</v>
      </c>
      <c r="H1336">
        <v>1335.7144774999999</v>
      </c>
      <c r="I1336">
        <v>1328.2069091999999</v>
      </c>
      <c r="J1336">
        <v>1327.0537108999999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745.22398999999996</v>
      </c>
      <c r="B1337" s="1">
        <f>DATE(2012,5,15) + TIME(5,22,32)</f>
        <v>41044.223981481482</v>
      </c>
      <c r="C1337">
        <v>80</v>
      </c>
      <c r="D1337">
        <v>79.966156006000006</v>
      </c>
      <c r="E1337">
        <v>50</v>
      </c>
      <c r="F1337">
        <v>49.099765777999998</v>
      </c>
      <c r="G1337">
        <v>1337.8040771000001</v>
      </c>
      <c r="H1337">
        <v>1335.713501</v>
      </c>
      <c r="I1337">
        <v>1328.2023925999999</v>
      </c>
      <c r="J1337">
        <v>1327.0473632999999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745.62315799999999</v>
      </c>
      <c r="B1338" s="1">
        <f>DATE(2012,5,15) + TIME(14,57,20)</f>
        <v>41044.623148148145</v>
      </c>
      <c r="C1338">
        <v>80</v>
      </c>
      <c r="D1338">
        <v>79.966087341000005</v>
      </c>
      <c r="E1338">
        <v>50</v>
      </c>
      <c r="F1338">
        <v>49.080394745</v>
      </c>
      <c r="G1338">
        <v>1337.7980957</v>
      </c>
      <c r="H1338">
        <v>1335.7125243999999</v>
      </c>
      <c r="I1338">
        <v>1328.197876</v>
      </c>
      <c r="J1338">
        <v>1327.0407714999999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746.02620100000001</v>
      </c>
      <c r="B1339" s="1">
        <f>DATE(2012,5,16) + TIME(0,37,43)</f>
        <v>41045.026192129626</v>
      </c>
      <c r="C1339">
        <v>80</v>
      </c>
      <c r="D1339">
        <v>79.966011046999995</v>
      </c>
      <c r="E1339">
        <v>50</v>
      </c>
      <c r="F1339">
        <v>49.060905456999997</v>
      </c>
      <c r="G1339">
        <v>1337.7922363</v>
      </c>
      <c r="H1339">
        <v>1335.7115478999999</v>
      </c>
      <c r="I1339">
        <v>1328.1931152</v>
      </c>
      <c r="J1339">
        <v>1327.0339355000001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746.43433800000003</v>
      </c>
      <c r="B1340" s="1">
        <f>DATE(2012,5,16) + TIME(10,25,26)</f>
        <v>41045.434328703705</v>
      </c>
      <c r="C1340">
        <v>80</v>
      </c>
      <c r="D1340">
        <v>79.965942382999998</v>
      </c>
      <c r="E1340">
        <v>50</v>
      </c>
      <c r="F1340">
        <v>49.041263579999999</v>
      </c>
      <c r="G1340">
        <v>1337.786499</v>
      </c>
      <c r="H1340">
        <v>1335.7106934000001</v>
      </c>
      <c r="I1340">
        <v>1328.1883545000001</v>
      </c>
      <c r="J1340">
        <v>1327.0270995999999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746.84885799999995</v>
      </c>
      <c r="B1341" s="1">
        <f>DATE(2012,5,16) + TIME(20,22,21)</f>
        <v>41045.848854166667</v>
      </c>
      <c r="C1341">
        <v>80</v>
      </c>
      <c r="D1341">
        <v>79.965873717999997</v>
      </c>
      <c r="E1341">
        <v>50</v>
      </c>
      <c r="F1341">
        <v>49.021438599</v>
      </c>
      <c r="G1341">
        <v>1337.7807617000001</v>
      </c>
      <c r="H1341">
        <v>1335.7098389</v>
      </c>
      <c r="I1341">
        <v>1328.1835937999999</v>
      </c>
      <c r="J1341">
        <v>1327.0200195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747.27108199999998</v>
      </c>
      <c r="B1342" s="1">
        <f>DATE(2012,5,17) + TIME(6,30,21)</f>
        <v>41046.27107638889</v>
      </c>
      <c r="C1342">
        <v>80</v>
      </c>
      <c r="D1342">
        <v>79.965805054</v>
      </c>
      <c r="E1342">
        <v>50</v>
      </c>
      <c r="F1342">
        <v>49.001388550000001</v>
      </c>
      <c r="G1342">
        <v>1337.7752685999999</v>
      </c>
      <c r="H1342">
        <v>1335.7089844</v>
      </c>
      <c r="I1342">
        <v>1328.1785889</v>
      </c>
      <c r="J1342">
        <v>1327.0129394999999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747.70241399999998</v>
      </c>
      <c r="B1343" s="1">
        <f>DATE(2012,5,17) + TIME(16,51,28)</f>
        <v>41046.702407407407</v>
      </c>
      <c r="C1343">
        <v>80</v>
      </c>
      <c r="D1343">
        <v>79.965728760000005</v>
      </c>
      <c r="E1343">
        <v>50</v>
      </c>
      <c r="F1343">
        <v>48.981071471999996</v>
      </c>
      <c r="G1343">
        <v>1337.7696533000001</v>
      </c>
      <c r="H1343">
        <v>1335.7082519999999</v>
      </c>
      <c r="I1343">
        <v>1328.1735839999999</v>
      </c>
      <c r="J1343">
        <v>1327.0056152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748.14240500000005</v>
      </c>
      <c r="B1344" s="1">
        <f>DATE(2012,5,18) + TIME(3,25,3)</f>
        <v>41047.142395833333</v>
      </c>
      <c r="C1344">
        <v>80</v>
      </c>
      <c r="D1344">
        <v>79.965660095000004</v>
      </c>
      <c r="E1344">
        <v>50</v>
      </c>
      <c r="F1344">
        <v>48.960502624999997</v>
      </c>
      <c r="G1344">
        <v>1337.7641602000001</v>
      </c>
      <c r="H1344">
        <v>1335.7073975000001</v>
      </c>
      <c r="I1344">
        <v>1328.168457</v>
      </c>
      <c r="J1344">
        <v>1326.9980469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748.59205199999997</v>
      </c>
      <c r="B1345" s="1">
        <f>DATE(2012,5,18) + TIME(14,12,33)</f>
        <v>41047.592048611114</v>
      </c>
      <c r="C1345">
        <v>80</v>
      </c>
      <c r="D1345">
        <v>79.965591431000007</v>
      </c>
      <c r="E1345">
        <v>50</v>
      </c>
      <c r="F1345">
        <v>48.939651488999999</v>
      </c>
      <c r="G1345">
        <v>1337.7586670000001</v>
      </c>
      <c r="H1345">
        <v>1335.7066649999999</v>
      </c>
      <c r="I1345">
        <v>1328.1630858999999</v>
      </c>
      <c r="J1345">
        <v>1326.9903564000001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749.05304699999999</v>
      </c>
      <c r="B1346" s="1">
        <f>DATE(2012,5,19) + TIME(1,16,23)</f>
        <v>41048.053043981483</v>
      </c>
      <c r="C1346">
        <v>80</v>
      </c>
      <c r="D1346">
        <v>79.965522766000007</v>
      </c>
      <c r="E1346">
        <v>50</v>
      </c>
      <c r="F1346">
        <v>48.918460846000002</v>
      </c>
      <c r="G1346">
        <v>1337.7532959</v>
      </c>
      <c r="H1346">
        <v>1335.7059326000001</v>
      </c>
      <c r="I1346">
        <v>1328.1577147999999</v>
      </c>
      <c r="J1346">
        <v>1326.9825439000001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749.52739299999996</v>
      </c>
      <c r="B1347" s="1">
        <f>DATE(2012,5,19) + TIME(12,39,26)</f>
        <v>41048.527384259258</v>
      </c>
      <c r="C1347">
        <v>80</v>
      </c>
      <c r="D1347">
        <v>79.965454101999995</v>
      </c>
      <c r="E1347">
        <v>50</v>
      </c>
      <c r="F1347">
        <v>48.896869658999996</v>
      </c>
      <c r="G1347">
        <v>1337.7479248</v>
      </c>
      <c r="H1347">
        <v>1335.7053223</v>
      </c>
      <c r="I1347">
        <v>1328.1522216999999</v>
      </c>
      <c r="J1347">
        <v>1326.9744873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750.02208599999994</v>
      </c>
      <c r="B1348" s="1">
        <f>DATE(2012,5,20) + TIME(0,31,48)</f>
        <v>41049.022083333337</v>
      </c>
      <c r="C1348">
        <v>80</v>
      </c>
      <c r="D1348">
        <v>79.965385436999995</v>
      </c>
      <c r="E1348">
        <v>50</v>
      </c>
      <c r="F1348">
        <v>48.874641418000003</v>
      </c>
      <c r="G1348">
        <v>1337.7424315999999</v>
      </c>
      <c r="H1348">
        <v>1335.7045897999999</v>
      </c>
      <c r="I1348">
        <v>1328.1464844</v>
      </c>
      <c r="J1348">
        <v>1326.9660644999999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750.53018699999996</v>
      </c>
      <c r="B1349" s="1">
        <f>DATE(2012,5,20) + TIME(12,43,28)</f>
        <v>41049.530185185184</v>
      </c>
      <c r="C1349">
        <v>80</v>
      </c>
      <c r="D1349">
        <v>79.965316771999994</v>
      </c>
      <c r="E1349">
        <v>50</v>
      </c>
      <c r="F1349">
        <v>48.851989746000001</v>
      </c>
      <c r="G1349">
        <v>1337.7369385</v>
      </c>
      <c r="H1349">
        <v>1335.7038574000001</v>
      </c>
      <c r="I1349">
        <v>1328.1405029</v>
      </c>
      <c r="J1349">
        <v>1326.9573975000001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751.04214400000001</v>
      </c>
      <c r="B1350" s="1">
        <f>DATE(2012,5,21) + TIME(1,0,41)</f>
        <v>41050.042141203703</v>
      </c>
      <c r="C1350">
        <v>80</v>
      </c>
      <c r="D1350">
        <v>79.965240479000002</v>
      </c>
      <c r="E1350">
        <v>50</v>
      </c>
      <c r="F1350">
        <v>48.829231262</v>
      </c>
      <c r="G1350">
        <v>1337.7314452999999</v>
      </c>
      <c r="H1350">
        <v>1335.7032471</v>
      </c>
      <c r="I1350">
        <v>1328.1342772999999</v>
      </c>
      <c r="J1350">
        <v>1326.9484863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751.55942100000004</v>
      </c>
      <c r="B1351" s="1">
        <f>DATE(2012,5,21) + TIME(13,25,34)</f>
        <v>41050.559421296297</v>
      </c>
      <c r="C1351">
        <v>80</v>
      </c>
      <c r="D1351">
        <v>79.965171814000001</v>
      </c>
      <c r="E1351">
        <v>50</v>
      </c>
      <c r="F1351">
        <v>48.806354523000003</v>
      </c>
      <c r="G1351">
        <v>1337.7261963000001</v>
      </c>
      <c r="H1351">
        <v>1335.7026367000001</v>
      </c>
      <c r="I1351">
        <v>1328.1281738</v>
      </c>
      <c r="J1351">
        <v>1326.9394531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752.08369000000005</v>
      </c>
      <c r="B1352" s="1">
        <f>DATE(2012,5,22) + TIME(2,0,30)</f>
        <v>41051.083680555559</v>
      </c>
      <c r="C1352">
        <v>80</v>
      </c>
      <c r="D1352">
        <v>79.965103149000001</v>
      </c>
      <c r="E1352">
        <v>50</v>
      </c>
      <c r="F1352">
        <v>48.783321381</v>
      </c>
      <c r="G1352">
        <v>1337.7209473</v>
      </c>
      <c r="H1352">
        <v>1335.7020264</v>
      </c>
      <c r="I1352">
        <v>1328.1218262</v>
      </c>
      <c r="J1352">
        <v>1326.9302978999999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752.61626100000001</v>
      </c>
      <c r="B1353" s="1">
        <f>DATE(2012,5,22) + TIME(14,47,24)</f>
        <v>41051.616249999999</v>
      </c>
      <c r="C1353">
        <v>80</v>
      </c>
      <c r="D1353">
        <v>79.965042113999999</v>
      </c>
      <c r="E1353">
        <v>50</v>
      </c>
      <c r="F1353">
        <v>48.760108948000003</v>
      </c>
      <c r="G1353">
        <v>1337.7156981999999</v>
      </c>
      <c r="H1353">
        <v>1335.7014160000001</v>
      </c>
      <c r="I1353">
        <v>1328.1154785000001</v>
      </c>
      <c r="J1353">
        <v>1326.9210204999999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753.15870700000005</v>
      </c>
      <c r="B1354" s="1">
        <f>DATE(2012,5,23) + TIME(3,48,32)</f>
        <v>41052.158703703702</v>
      </c>
      <c r="C1354">
        <v>80</v>
      </c>
      <c r="D1354">
        <v>79.964973450000002</v>
      </c>
      <c r="E1354">
        <v>50</v>
      </c>
      <c r="F1354">
        <v>48.736675261999999</v>
      </c>
      <c r="G1354">
        <v>1337.7105713000001</v>
      </c>
      <c r="H1354">
        <v>1335.7009277</v>
      </c>
      <c r="I1354">
        <v>1328.1090088000001</v>
      </c>
      <c r="J1354">
        <v>1326.911499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753.71293700000001</v>
      </c>
      <c r="B1355" s="1">
        <f>DATE(2012,5,23) + TIME(17,6,37)</f>
        <v>41052.71292824074</v>
      </c>
      <c r="C1355">
        <v>80</v>
      </c>
      <c r="D1355">
        <v>79.964904785000002</v>
      </c>
      <c r="E1355">
        <v>50</v>
      </c>
      <c r="F1355">
        <v>48.712959290000001</v>
      </c>
      <c r="G1355">
        <v>1337.7055664</v>
      </c>
      <c r="H1355">
        <v>1335.7003173999999</v>
      </c>
      <c r="I1355">
        <v>1328.1024170000001</v>
      </c>
      <c r="J1355">
        <v>1326.9018555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754.28094299999998</v>
      </c>
      <c r="B1356" s="1">
        <f>DATE(2012,5,24) + TIME(6,44,33)</f>
        <v>41053.2809375</v>
      </c>
      <c r="C1356">
        <v>80</v>
      </c>
      <c r="D1356">
        <v>79.96484375</v>
      </c>
      <c r="E1356">
        <v>50</v>
      </c>
      <c r="F1356">
        <v>48.688907622999999</v>
      </c>
      <c r="G1356">
        <v>1337.7004394999999</v>
      </c>
      <c r="H1356">
        <v>1335.6998291</v>
      </c>
      <c r="I1356">
        <v>1328.0955810999999</v>
      </c>
      <c r="J1356">
        <v>1326.8919678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754.86494900000002</v>
      </c>
      <c r="B1357" s="1">
        <f>DATE(2012,5,24) + TIME(20,45,31)</f>
        <v>41053.864942129629</v>
      </c>
      <c r="C1357">
        <v>80</v>
      </c>
      <c r="D1357">
        <v>79.964775084999999</v>
      </c>
      <c r="E1357">
        <v>50</v>
      </c>
      <c r="F1357">
        <v>48.664443970000001</v>
      </c>
      <c r="G1357">
        <v>1337.6954346</v>
      </c>
      <c r="H1357">
        <v>1335.6992187999999</v>
      </c>
      <c r="I1357">
        <v>1328.0886230000001</v>
      </c>
      <c r="J1357">
        <v>1326.8818358999999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755.46510000000001</v>
      </c>
      <c r="B1358" s="1">
        <f>DATE(2012,5,25) + TIME(11,9,44)</f>
        <v>41054.465092592596</v>
      </c>
      <c r="C1358">
        <v>80</v>
      </c>
      <c r="D1358">
        <v>79.964714049999998</v>
      </c>
      <c r="E1358">
        <v>50</v>
      </c>
      <c r="F1358">
        <v>48.639560699</v>
      </c>
      <c r="G1358">
        <v>1337.6904297000001</v>
      </c>
      <c r="H1358">
        <v>1335.6987305</v>
      </c>
      <c r="I1358">
        <v>1328.081543</v>
      </c>
      <c r="J1358">
        <v>1326.8714600000001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756.07406500000002</v>
      </c>
      <c r="B1359" s="1">
        <f>DATE(2012,5,26) + TIME(1,46,39)</f>
        <v>41055.074062500003</v>
      </c>
      <c r="C1359">
        <v>80</v>
      </c>
      <c r="D1359">
        <v>79.964645386000001</v>
      </c>
      <c r="E1359">
        <v>50</v>
      </c>
      <c r="F1359">
        <v>48.614463806000003</v>
      </c>
      <c r="G1359">
        <v>1337.6854248</v>
      </c>
      <c r="H1359">
        <v>1335.6982422000001</v>
      </c>
      <c r="I1359">
        <v>1328.0742187999999</v>
      </c>
      <c r="J1359">
        <v>1326.8607178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756.69456600000001</v>
      </c>
      <c r="B1360" s="1">
        <f>DATE(2012,5,26) + TIME(16,40,10)</f>
        <v>41055.694560185184</v>
      </c>
      <c r="C1360">
        <v>80</v>
      </c>
      <c r="D1360">
        <v>79.964584350999999</v>
      </c>
      <c r="E1360">
        <v>50</v>
      </c>
      <c r="F1360">
        <v>48.589099883999999</v>
      </c>
      <c r="G1360">
        <v>1337.6804199000001</v>
      </c>
      <c r="H1360">
        <v>1335.6977539</v>
      </c>
      <c r="I1360">
        <v>1328.0667725000001</v>
      </c>
      <c r="J1360">
        <v>1326.8498535000001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757.32925999999998</v>
      </c>
      <c r="B1361" s="1">
        <f>DATE(2012,5,27) + TIME(7,54,8)</f>
        <v>41056.329259259262</v>
      </c>
      <c r="C1361">
        <v>80</v>
      </c>
      <c r="D1361">
        <v>79.964515685999999</v>
      </c>
      <c r="E1361">
        <v>50</v>
      </c>
      <c r="F1361">
        <v>48.563407898000001</v>
      </c>
      <c r="G1361">
        <v>1337.6754149999999</v>
      </c>
      <c r="H1361">
        <v>1335.6971435999999</v>
      </c>
      <c r="I1361">
        <v>1328.0592041</v>
      </c>
      <c r="J1361">
        <v>1326.8387451000001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757.981223</v>
      </c>
      <c r="B1362" s="1">
        <f>DATE(2012,5,27) + TIME(23,32,57)</f>
        <v>41056.981215277781</v>
      </c>
      <c r="C1362">
        <v>80</v>
      </c>
      <c r="D1362">
        <v>79.964454650999997</v>
      </c>
      <c r="E1362">
        <v>50</v>
      </c>
      <c r="F1362">
        <v>48.537307738999999</v>
      </c>
      <c r="G1362">
        <v>1337.6705322</v>
      </c>
      <c r="H1362">
        <v>1335.6966553</v>
      </c>
      <c r="I1362">
        <v>1328.0515137</v>
      </c>
      <c r="J1362">
        <v>1326.8273925999999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758.65952000000004</v>
      </c>
      <c r="B1363" s="1">
        <f>DATE(2012,5,28) + TIME(15,49,42)</f>
        <v>41057.659513888888</v>
      </c>
      <c r="C1363">
        <v>80</v>
      </c>
      <c r="D1363">
        <v>79.964393615999995</v>
      </c>
      <c r="E1363">
        <v>50</v>
      </c>
      <c r="F1363">
        <v>48.510551452999998</v>
      </c>
      <c r="G1363">
        <v>1337.6655272999999</v>
      </c>
      <c r="H1363">
        <v>1335.6961670000001</v>
      </c>
      <c r="I1363">
        <v>1328.0435791</v>
      </c>
      <c r="J1363">
        <v>1326.8157959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759.37212</v>
      </c>
      <c r="B1364" s="1">
        <f>DATE(2012,5,29) + TIME(8,55,51)</f>
        <v>41058.372118055559</v>
      </c>
      <c r="C1364">
        <v>80</v>
      </c>
      <c r="D1364">
        <v>79.964332580999994</v>
      </c>
      <c r="E1364">
        <v>50</v>
      </c>
      <c r="F1364">
        <v>48.482910156000003</v>
      </c>
      <c r="G1364">
        <v>1337.6605225000001</v>
      </c>
      <c r="H1364">
        <v>1335.6955565999999</v>
      </c>
      <c r="I1364">
        <v>1328.0354004000001</v>
      </c>
      <c r="J1364">
        <v>1326.8037108999999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760.10798999999997</v>
      </c>
      <c r="B1365" s="1">
        <f>DATE(2012,5,30) + TIME(2,35,30)</f>
        <v>41059.107986111114</v>
      </c>
      <c r="C1365">
        <v>80</v>
      </c>
      <c r="D1365">
        <v>79.964263915999993</v>
      </c>
      <c r="E1365">
        <v>50</v>
      </c>
      <c r="F1365">
        <v>48.454605102999999</v>
      </c>
      <c r="G1365">
        <v>1337.6553954999999</v>
      </c>
      <c r="H1365">
        <v>1335.6950684000001</v>
      </c>
      <c r="I1365">
        <v>1328.0267334</v>
      </c>
      <c r="J1365">
        <v>1326.7910156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760.85382600000003</v>
      </c>
      <c r="B1366" s="1">
        <f>DATE(2012,5,30) + TIME(20,29,30)</f>
        <v>41059.853819444441</v>
      </c>
      <c r="C1366">
        <v>80</v>
      </c>
      <c r="D1366">
        <v>79.964202881000006</v>
      </c>
      <c r="E1366">
        <v>50</v>
      </c>
      <c r="F1366">
        <v>48.425987243999998</v>
      </c>
      <c r="G1366">
        <v>1337.6502685999999</v>
      </c>
      <c r="H1366">
        <v>1335.6944579999999</v>
      </c>
      <c r="I1366">
        <v>1328.0178223</v>
      </c>
      <c r="J1366">
        <v>1326.7780762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761.61348499999997</v>
      </c>
      <c r="B1367" s="1">
        <f>DATE(2012,5,31) + TIME(14,43,25)</f>
        <v>41060.613483796296</v>
      </c>
      <c r="C1367">
        <v>80</v>
      </c>
      <c r="D1367">
        <v>79.964141846000004</v>
      </c>
      <c r="E1367">
        <v>50</v>
      </c>
      <c r="F1367">
        <v>48.397037505999997</v>
      </c>
      <c r="G1367">
        <v>1337.6451416</v>
      </c>
      <c r="H1367">
        <v>1335.6939697</v>
      </c>
      <c r="I1367">
        <v>1328.0089111</v>
      </c>
      <c r="J1367">
        <v>1326.7647704999999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762</v>
      </c>
      <c r="B1368" s="1">
        <f>DATE(2012,6,1) + TIME(0,0,0)</f>
        <v>41061</v>
      </c>
      <c r="C1368">
        <v>80</v>
      </c>
      <c r="D1368">
        <v>79.964088439999998</v>
      </c>
      <c r="E1368">
        <v>50</v>
      </c>
      <c r="F1368">
        <v>48.379112243999998</v>
      </c>
      <c r="G1368">
        <v>1337.6401367000001</v>
      </c>
      <c r="H1368">
        <v>1335.6933594</v>
      </c>
      <c r="I1368">
        <v>1328.0003661999999</v>
      </c>
      <c r="J1368">
        <v>1326.7525635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762.77740500000004</v>
      </c>
      <c r="B1369" s="1">
        <f>DATE(2012,6,1) + TIME(18,39,27)</f>
        <v>41061.777395833335</v>
      </c>
      <c r="C1369">
        <v>80</v>
      </c>
      <c r="D1369">
        <v>79.964042664000004</v>
      </c>
      <c r="E1369">
        <v>50</v>
      </c>
      <c r="F1369">
        <v>48.351024627999998</v>
      </c>
      <c r="G1369">
        <v>1337.6376952999999</v>
      </c>
      <c r="H1369">
        <v>1335.6931152</v>
      </c>
      <c r="I1369">
        <v>1327.9945068</v>
      </c>
      <c r="J1369">
        <v>1326.7435303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763.58411799999999</v>
      </c>
      <c r="B1370" s="1">
        <f>DATE(2012,6,2) + TIME(14,1,7)</f>
        <v>41062.584108796298</v>
      </c>
      <c r="C1370">
        <v>80</v>
      </c>
      <c r="D1370">
        <v>79.963989257999998</v>
      </c>
      <c r="E1370">
        <v>50</v>
      </c>
      <c r="F1370">
        <v>48.321895599000001</v>
      </c>
      <c r="G1370">
        <v>1337.6326904</v>
      </c>
      <c r="H1370">
        <v>1335.6925048999999</v>
      </c>
      <c r="I1370">
        <v>1327.9853516000001</v>
      </c>
      <c r="J1370">
        <v>1326.7301024999999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764.39460399999996</v>
      </c>
      <c r="B1371" s="1">
        <f>DATE(2012,6,3) + TIME(9,28,13)</f>
        <v>41063.394594907404</v>
      </c>
      <c r="C1371">
        <v>80</v>
      </c>
      <c r="D1371">
        <v>79.963928222999996</v>
      </c>
      <c r="E1371">
        <v>50</v>
      </c>
      <c r="F1371">
        <v>48.292392731</v>
      </c>
      <c r="G1371">
        <v>1337.6276855000001</v>
      </c>
      <c r="H1371">
        <v>1335.6920166</v>
      </c>
      <c r="I1371">
        <v>1327.9758300999999</v>
      </c>
      <c r="J1371">
        <v>1326.7160644999999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765.21211500000004</v>
      </c>
      <c r="B1372" s="1">
        <f>DATE(2012,6,4) + TIME(5,5,26)</f>
        <v>41064.212106481478</v>
      </c>
      <c r="C1372">
        <v>80</v>
      </c>
      <c r="D1372">
        <v>79.963874817000004</v>
      </c>
      <c r="E1372">
        <v>50</v>
      </c>
      <c r="F1372">
        <v>48.262638092000003</v>
      </c>
      <c r="G1372">
        <v>1337.6228027</v>
      </c>
      <c r="H1372">
        <v>1335.6914062000001</v>
      </c>
      <c r="I1372">
        <v>1327.9661865</v>
      </c>
      <c r="J1372">
        <v>1326.7017822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766.04060000000004</v>
      </c>
      <c r="B1373" s="1">
        <f>DATE(2012,6,5) + TIME(0,58,27)</f>
        <v>41065.040590277778</v>
      </c>
      <c r="C1373">
        <v>80</v>
      </c>
      <c r="D1373">
        <v>79.963813782000003</v>
      </c>
      <c r="E1373">
        <v>50</v>
      </c>
      <c r="F1373">
        <v>48.232658385999997</v>
      </c>
      <c r="G1373">
        <v>1337.6180420000001</v>
      </c>
      <c r="H1373">
        <v>1335.690918</v>
      </c>
      <c r="I1373">
        <v>1327.9564209</v>
      </c>
      <c r="J1373">
        <v>1326.6875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766.88333599999999</v>
      </c>
      <c r="B1374" s="1">
        <f>DATE(2012,6,5) + TIME(21,12,0)</f>
        <v>41065.883333333331</v>
      </c>
      <c r="C1374">
        <v>80</v>
      </c>
      <c r="D1374">
        <v>79.963760375999996</v>
      </c>
      <c r="E1374">
        <v>50</v>
      </c>
      <c r="F1374">
        <v>48.20242691</v>
      </c>
      <c r="G1374">
        <v>1337.6132812000001</v>
      </c>
      <c r="H1374">
        <v>1335.6903076000001</v>
      </c>
      <c r="I1374">
        <v>1327.9466553</v>
      </c>
      <c r="J1374">
        <v>1326.6728516000001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767.74309000000005</v>
      </c>
      <c r="B1375" s="1">
        <f>DATE(2012,6,6) + TIME(17,50,2)</f>
        <v>41066.743078703701</v>
      </c>
      <c r="C1375">
        <v>80</v>
      </c>
      <c r="D1375">
        <v>79.963706970000004</v>
      </c>
      <c r="E1375">
        <v>50</v>
      </c>
      <c r="F1375">
        <v>48.171905518000003</v>
      </c>
      <c r="G1375">
        <v>1337.6086425999999</v>
      </c>
      <c r="H1375">
        <v>1335.6896973</v>
      </c>
      <c r="I1375">
        <v>1327.9366454999999</v>
      </c>
      <c r="J1375">
        <v>1326.6579589999999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768.62314600000002</v>
      </c>
      <c r="B1376" s="1">
        <f>DATE(2012,6,7) + TIME(14,57,19)</f>
        <v>41067.623136574075</v>
      </c>
      <c r="C1376">
        <v>80</v>
      </c>
      <c r="D1376">
        <v>79.963653563999998</v>
      </c>
      <c r="E1376">
        <v>50</v>
      </c>
      <c r="F1376">
        <v>48.141021729000002</v>
      </c>
      <c r="G1376">
        <v>1337.6040039</v>
      </c>
      <c r="H1376">
        <v>1335.6892089999999</v>
      </c>
      <c r="I1376">
        <v>1327.9263916</v>
      </c>
      <c r="J1376">
        <v>1326.6429443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769.52711199999999</v>
      </c>
      <c r="B1377" s="1">
        <f>DATE(2012,6,8) + TIME(12,39,2)</f>
        <v>41068.527106481481</v>
      </c>
      <c r="C1377">
        <v>80</v>
      </c>
      <c r="D1377">
        <v>79.963600158999995</v>
      </c>
      <c r="E1377">
        <v>50</v>
      </c>
      <c r="F1377">
        <v>48.10969162</v>
      </c>
      <c r="G1377">
        <v>1337.5993652</v>
      </c>
      <c r="H1377">
        <v>1335.6885986</v>
      </c>
      <c r="I1377">
        <v>1327.9160156</v>
      </c>
      <c r="J1377">
        <v>1326.6275635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770.45900600000004</v>
      </c>
      <c r="B1378" s="1">
        <f>DATE(2012,6,9) + TIME(11,0,58)</f>
        <v>41069.459004629629</v>
      </c>
      <c r="C1378">
        <v>80</v>
      </c>
      <c r="D1378">
        <v>79.963554381999998</v>
      </c>
      <c r="E1378">
        <v>50</v>
      </c>
      <c r="F1378">
        <v>48.077812195</v>
      </c>
      <c r="G1378">
        <v>1337.5947266000001</v>
      </c>
      <c r="H1378">
        <v>1335.6879882999999</v>
      </c>
      <c r="I1378">
        <v>1327.9055175999999</v>
      </c>
      <c r="J1378">
        <v>1326.6118164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771.43126700000005</v>
      </c>
      <c r="B1379" s="1">
        <f>DATE(2012,6,10) + TIME(10,21,1)</f>
        <v>41070.431261574071</v>
      </c>
      <c r="C1379">
        <v>80</v>
      </c>
      <c r="D1379">
        <v>79.963500976999995</v>
      </c>
      <c r="E1379">
        <v>50</v>
      </c>
      <c r="F1379">
        <v>48.045108794999997</v>
      </c>
      <c r="G1379">
        <v>1337.5899658000001</v>
      </c>
      <c r="H1379">
        <v>1335.6873779</v>
      </c>
      <c r="I1379">
        <v>1327.8946533000001</v>
      </c>
      <c r="J1379">
        <v>1326.5955810999999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772.44647799999996</v>
      </c>
      <c r="B1380" s="1">
        <f>DATE(2012,6,11) + TIME(10,42,55)</f>
        <v>41071.446469907409</v>
      </c>
      <c r="C1380">
        <v>80</v>
      </c>
      <c r="D1380">
        <v>79.963447571000003</v>
      </c>
      <c r="E1380">
        <v>50</v>
      </c>
      <c r="F1380">
        <v>48.011463165000002</v>
      </c>
      <c r="G1380">
        <v>1337.5853271000001</v>
      </c>
      <c r="H1380">
        <v>1335.6867675999999</v>
      </c>
      <c r="I1380">
        <v>1327.8833007999999</v>
      </c>
      <c r="J1380">
        <v>1326.5788574000001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773.47931900000003</v>
      </c>
      <c r="B1381" s="1">
        <f>DATE(2012,6,12) + TIME(11,30,13)</f>
        <v>41072.479317129626</v>
      </c>
      <c r="C1381">
        <v>80</v>
      </c>
      <c r="D1381">
        <v>79.963401794000006</v>
      </c>
      <c r="E1381">
        <v>50</v>
      </c>
      <c r="F1381">
        <v>47.977272034000002</v>
      </c>
      <c r="G1381">
        <v>1337.5804443</v>
      </c>
      <c r="H1381">
        <v>1335.6861572</v>
      </c>
      <c r="I1381">
        <v>1327.8717041</v>
      </c>
      <c r="J1381">
        <v>1326.5615233999999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774.53612799999996</v>
      </c>
      <c r="B1382" s="1">
        <f>DATE(2012,6,13) + TIME(12,52,1)</f>
        <v>41073.536122685182</v>
      </c>
      <c r="C1382">
        <v>80</v>
      </c>
      <c r="D1382">
        <v>79.963356017999999</v>
      </c>
      <c r="E1382">
        <v>50</v>
      </c>
      <c r="F1382">
        <v>47.942562103</v>
      </c>
      <c r="G1382">
        <v>1337.5756836</v>
      </c>
      <c r="H1382">
        <v>1335.6854248</v>
      </c>
      <c r="I1382">
        <v>1327.8598632999999</v>
      </c>
      <c r="J1382">
        <v>1326.5438231999999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775.62333899999999</v>
      </c>
      <c r="B1383" s="1">
        <f>DATE(2012,6,14) + TIME(14,57,36)</f>
        <v>41074.623333333337</v>
      </c>
      <c r="C1383">
        <v>80</v>
      </c>
      <c r="D1383">
        <v>79.963302612000007</v>
      </c>
      <c r="E1383">
        <v>50</v>
      </c>
      <c r="F1383">
        <v>47.907260895</v>
      </c>
      <c r="G1383">
        <v>1337.5709228999999</v>
      </c>
      <c r="H1383">
        <v>1335.6848144999999</v>
      </c>
      <c r="I1383">
        <v>1327.8479004000001</v>
      </c>
      <c r="J1383">
        <v>1326.5258789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776.748062</v>
      </c>
      <c r="B1384" s="1">
        <f>DATE(2012,6,15) + TIME(17,57,12)</f>
        <v>41075.748055555552</v>
      </c>
      <c r="C1384">
        <v>80</v>
      </c>
      <c r="D1384">
        <v>79.963256835999999</v>
      </c>
      <c r="E1384">
        <v>50</v>
      </c>
      <c r="F1384">
        <v>47.871231078999998</v>
      </c>
      <c r="G1384">
        <v>1337.5661620999999</v>
      </c>
      <c r="H1384">
        <v>1335.684082</v>
      </c>
      <c r="I1384">
        <v>1327.8355713000001</v>
      </c>
      <c r="J1384">
        <v>1326.5074463000001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777.915931</v>
      </c>
      <c r="B1385" s="1">
        <f>DATE(2012,6,16) + TIME(21,58,56)</f>
        <v>41076.915925925925</v>
      </c>
      <c r="C1385">
        <v>80</v>
      </c>
      <c r="D1385">
        <v>79.963211060000006</v>
      </c>
      <c r="E1385">
        <v>50</v>
      </c>
      <c r="F1385">
        <v>47.834339141999997</v>
      </c>
      <c r="G1385">
        <v>1337.5614014</v>
      </c>
      <c r="H1385">
        <v>1335.6833495999999</v>
      </c>
      <c r="I1385">
        <v>1327.822876</v>
      </c>
      <c r="J1385">
        <v>1326.4885254000001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779.124279</v>
      </c>
      <c r="B1386" s="1">
        <f>DATE(2012,6,18) + TIME(2,58,57)</f>
        <v>41078.12427083333</v>
      </c>
      <c r="C1386">
        <v>80</v>
      </c>
      <c r="D1386">
        <v>79.963172912999994</v>
      </c>
      <c r="E1386">
        <v>50</v>
      </c>
      <c r="F1386">
        <v>47.796569824000002</v>
      </c>
      <c r="G1386">
        <v>1337.5566406</v>
      </c>
      <c r="H1386">
        <v>1335.6826172000001</v>
      </c>
      <c r="I1386">
        <v>1327.8099365</v>
      </c>
      <c r="J1386">
        <v>1326.4689940999999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780.35559999999998</v>
      </c>
      <c r="B1387" s="1">
        <f>DATE(2012,6,19) + TIME(8,32,3)</f>
        <v>41079.355590277781</v>
      </c>
      <c r="C1387">
        <v>80</v>
      </c>
      <c r="D1387">
        <v>79.963127135999997</v>
      </c>
      <c r="E1387">
        <v>50</v>
      </c>
      <c r="F1387">
        <v>47.758197783999996</v>
      </c>
      <c r="G1387">
        <v>1337.5517577999999</v>
      </c>
      <c r="H1387">
        <v>1335.6818848</v>
      </c>
      <c r="I1387">
        <v>1327.7966309000001</v>
      </c>
      <c r="J1387">
        <v>1326.4488524999999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781.59990600000003</v>
      </c>
      <c r="B1388" s="1">
        <f>DATE(2012,6,20) + TIME(14,23,51)</f>
        <v>41080.599895833337</v>
      </c>
      <c r="C1388">
        <v>80</v>
      </c>
      <c r="D1388">
        <v>79.963081360000004</v>
      </c>
      <c r="E1388">
        <v>50</v>
      </c>
      <c r="F1388">
        <v>47.719512938999998</v>
      </c>
      <c r="G1388">
        <v>1337.5469971</v>
      </c>
      <c r="H1388">
        <v>1335.6810303</v>
      </c>
      <c r="I1388">
        <v>1327.7830810999999</v>
      </c>
      <c r="J1388">
        <v>1326.4285889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782.86513400000001</v>
      </c>
      <c r="B1389" s="1">
        <f>DATE(2012,6,21) + TIME(20,45,47)</f>
        <v>41081.865127314813</v>
      </c>
      <c r="C1389">
        <v>80</v>
      </c>
      <c r="D1389">
        <v>79.963043213000006</v>
      </c>
      <c r="E1389">
        <v>50</v>
      </c>
      <c r="F1389">
        <v>47.680545807000001</v>
      </c>
      <c r="G1389">
        <v>1337.5422363</v>
      </c>
      <c r="H1389">
        <v>1335.6802978999999</v>
      </c>
      <c r="I1389">
        <v>1327.7695312000001</v>
      </c>
      <c r="J1389">
        <v>1326.4079589999999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784.15980100000002</v>
      </c>
      <c r="B1390" s="1">
        <f>DATE(2012,6,23) + TIME(3,50,6)</f>
        <v>41083.159791666665</v>
      </c>
      <c r="C1390">
        <v>80</v>
      </c>
      <c r="D1390">
        <v>79.963005065999994</v>
      </c>
      <c r="E1390">
        <v>50</v>
      </c>
      <c r="F1390">
        <v>47.641197204999997</v>
      </c>
      <c r="G1390">
        <v>1337.5375977000001</v>
      </c>
      <c r="H1390">
        <v>1335.6794434000001</v>
      </c>
      <c r="I1390">
        <v>1327.7558594</v>
      </c>
      <c r="J1390">
        <v>1326.387207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785.50050099999999</v>
      </c>
      <c r="B1391" s="1">
        <f>DATE(2012,6,24) + TIME(12,0,43)</f>
        <v>41084.500497685185</v>
      </c>
      <c r="C1391">
        <v>80</v>
      </c>
      <c r="D1391">
        <v>79.962966918999996</v>
      </c>
      <c r="E1391">
        <v>50</v>
      </c>
      <c r="F1391">
        <v>47.601173400999997</v>
      </c>
      <c r="G1391">
        <v>1337.5330810999999</v>
      </c>
      <c r="H1391">
        <v>1335.6787108999999</v>
      </c>
      <c r="I1391">
        <v>1327.7419434000001</v>
      </c>
      <c r="J1391">
        <v>1326.3662108999999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786.87331500000005</v>
      </c>
      <c r="B1392" s="1">
        <f>DATE(2012,6,25) + TIME(20,57,34)</f>
        <v>41085.873310185183</v>
      </c>
      <c r="C1392">
        <v>80</v>
      </c>
      <c r="D1392">
        <v>79.962928771999998</v>
      </c>
      <c r="E1392">
        <v>50</v>
      </c>
      <c r="F1392">
        <v>47.560543060000001</v>
      </c>
      <c r="G1392">
        <v>1337.5283202999999</v>
      </c>
      <c r="H1392">
        <v>1335.6778564000001</v>
      </c>
      <c r="I1392">
        <v>1327.7279053</v>
      </c>
      <c r="J1392">
        <v>1326.3446045000001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788.26198499999998</v>
      </c>
      <c r="B1393" s="1">
        <f>DATE(2012,6,27) + TIME(6,17,15)</f>
        <v>41087.261979166666</v>
      </c>
      <c r="C1393">
        <v>80</v>
      </c>
      <c r="D1393">
        <v>79.962898253999995</v>
      </c>
      <c r="E1393">
        <v>50</v>
      </c>
      <c r="F1393">
        <v>47.519588470000002</v>
      </c>
      <c r="G1393">
        <v>1337.5238036999999</v>
      </c>
      <c r="H1393">
        <v>1335.6770019999999</v>
      </c>
      <c r="I1393">
        <v>1327.7136230000001</v>
      </c>
      <c r="J1393">
        <v>1326.3227539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789.66660400000001</v>
      </c>
      <c r="B1394" s="1">
        <f>DATE(2012,6,28) + TIME(15,59,54)</f>
        <v>41088.666597222225</v>
      </c>
      <c r="C1394">
        <v>80</v>
      </c>
      <c r="D1394">
        <v>79.962867736999996</v>
      </c>
      <c r="E1394">
        <v>50</v>
      </c>
      <c r="F1394">
        <v>47.478500365999999</v>
      </c>
      <c r="G1394">
        <v>1337.5191649999999</v>
      </c>
      <c r="H1394">
        <v>1335.6761475000001</v>
      </c>
      <c r="I1394">
        <v>1327.6992187999999</v>
      </c>
      <c r="J1394">
        <v>1326.3007812000001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791.08948499999997</v>
      </c>
      <c r="B1395" s="1">
        <f>DATE(2012,6,30) + TIME(2,8,51)</f>
        <v>41090.089479166665</v>
      </c>
      <c r="C1395">
        <v>80</v>
      </c>
      <c r="D1395">
        <v>79.962837218999994</v>
      </c>
      <c r="E1395">
        <v>50</v>
      </c>
      <c r="F1395">
        <v>47.437358856000003</v>
      </c>
      <c r="G1395">
        <v>1337.5147704999999</v>
      </c>
      <c r="H1395">
        <v>1335.6751709</v>
      </c>
      <c r="I1395">
        <v>1327.6849365</v>
      </c>
      <c r="J1395">
        <v>1326.2786865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792</v>
      </c>
      <c r="B1396" s="1">
        <f>DATE(2012,7,1) + TIME(0,0,0)</f>
        <v>41091</v>
      </c>
      <c r="C1396">
        <v>80</v>
      </c>
      <c r="D1396">
        <v>79.962799071999996</v>
      </c>
      <c r="E1396">
        <v>50</v>
      </c>
      <c r="F1396">
        <v>47.404815673999998</v>
      </c>
      <c r="G1396">
        <v>1337.510376</v>
      </c>
      <c r="H1396">
        <v>1335.6743164</v>
      </c>
      <c r="I1396">
        <v>1327.6711425999999</v>
      </c>
      <c r="J1396">
        <v>1326.2575684000001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793.438627</v>
      </c>
      <c r="B1397" s="1">
        <f>DATE(2012,7,2) + TIME(10,31,37)</f>
        <v>41092.438622685186</v>
      </c>
      <c r="C1397">
        <v>80</v>
      </c>
      <c r="D1397">
        <v>79.962783813000001</v>
      </c>
      <c r="E1397">
        <v>50</v>
      </c>
      <c r="F1397">
        <v>47.367519379000001</v>
      </c>
      <c r="G1397">
        <v>1337.5075684000001</v>
      </c>
      <c r="H1397">
        <v>1335.6738281</v>
      </c>
      <c r="I1397">
        <v>1327.6604004000001</v>
      </c>
      <c r="J1397">
        <v>1326.2404785000001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794.91470200000003</v>
      </c>
      <c r="B1398" s="1">
        <f>DATE(2012,7,3) + TIME(21,57,10)</f>
        <v>41093.914699074077</v>
      </c>
      <c r="C1398">
        <v>80</v>
      </c>
      <c r="D1398">
        <v>79.962760924999998</v>
      </c>
      <c r="E1398">
        <v>50</v>
      </c>
      <c r="F1398">
        <v>47.328330993999998</v>
      </c>
      <c r="G1398">
        <v>1337.5032959</v>
      </c>
      <c r="H1398">
        <v>1335.6728516000001</v>
      </c>
      <c r="I1398">
        <v>1327.6467285000001</v>
      </c>
      <c r="J1398">
        <v>1326.2193603999999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796.40455199999997</v>
      </c>
      <c r="B1399" s="1">
        <f>DATE(2012,7,5) + TIME(9,42,33)</f>
        <v>41095.404548611114</v>
      </c>
      <c r="C1399">
        <v>80</v>
      </c>
      <c r="D1399">
        <v>79.962745666999993</v>
      </c>
      <c r="E1399">
        <v>50</v>
      </c>
      <c r="F1399">
        <v>47.288497925000001</v>
      </c>
      <c r="G1399">
        <v>1337.4990233999999</v>
      </c>
      <c r="H1399">
        <v>1335.6719971</v>
      </c>
      <c r="I1399">
        <v>1327.6328125</v>
      </c>
      <c r="J1399">
        <v>1326.1975098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797.90184899999997</v>
      </c>
      <c r="B1400" s="1">
        <f>DATE(2012,7,6) + TIME(21,38,39)</f>
        <v>41096.90184027778</v>
      </c>
      <c r="C1400">
        <v>80</v>
      </c>
      <c r="D1400">
        <v>79.962722778</v>
      </c>
      <c r="E1400">
        <v>50</v>
      </c>
      <c r="F1400">
        <v>47.248874663999999</v>
      </c>
      <c r="G1400">
        <v>1337.4948730000001</v>
      </c>
      <c r="H1400">
        <v>1335.6710204999999</v>
      </c>
      <c r="I1400">
        <v>1327.6187743999999</v>
      </c>
      <c r="J1400">
        <v>1326.1754149999999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799.417418</v>
      </c>
      <c r="B1401" s="1">
        <f>DATE(2012,7,8) + TIME(10,1,4)</f>
        <v>41098.417407407411</v>
      </c>
      <c r="C1401">
        <v>80</v>
      </c>
      <c r="D1401">
        <v>79.962699889999996</v>
      </c>
      <c r="E1401">
        <v>50</v>
      </c>
      <c r="F1401">
        <v>47.209884643999999</v>
      </c>
      <c r="G1401">
        <v>1337.4907227000001</v>
      </c>
      <c r="H1401">
        <v>1335.6701660000001</v>
      </c>
      <c r="I1401">
        <v>1327.6047363</v>
      </c>
      <c r="J1401">
        <v>1326.1531981999999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800.955106</v>
      </c>
      <c r="B1402" s="1">
        <f>DATE(2012,7,9) + TIME(22,55,21)</f>
        <v>41099.955104166664</v>
      </c>
      <c r="C1402">
        <v>80</v>
      </c>
      <c r="D1402">
        <v>79.962684631000002</v>
      </c>
      <c r="E1402">
        <v>50</v>
      </c>
      <c r="F1402">
        <v>47.171836853000002</v>
      </c>
      <c r="G1402">
        <v>1337.4866943</v>
      </c>
      <c r="H1402">
        <v>1335.6691894999999</v>
      </c>
      <c r="I1402">
        <v>1327.5909423999999</v>
      </c>
      <c r="J1402">
        <v>1326.1311035000001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802.51337000000001</v>
      </c>
      <c r="B1403" s="1">
        <f>DATE(2012,7,11) + TIME(12,19,15)</f>
        <v>41101.513368055559</v>
      </c>
      <c r="C1403">
        <v>80</v>
      </c>
      <c r="D1403">
        <v>79.962669372999997</v>
      </c>
      <c r="E1403">
        <v>50</v>
      </c>
      <c r="F1403">
        <v>47.135158539000003</v>
      </c>
      <c r="G1403">
        <v>1337.4827881000001</v>
      </c>
      <c r="H1403">
        <v>1335.6682129000001</v>
      </c>
      <c r="I1403">
        <v>1327.5771483999999</v>
      </c>
      <c r="J1403">
        <v>1326.1088867000001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804.08447200000001</v>
      </c>
      <c r="B1404" s="1">
        <f>DATE(2012,7,13) + TIME(2,1,38)</f>
        <v>41103.084467592591</v>
      </c>
      <c r="C1404">
        <v>80</v>
      </c>
      <c r="D1404">
        <v>79.962654114000003</v>
      </c>
      <c r="E1404">
        <v>50</v>
      </c>
      <c r="F1404">
        <v>47.100475310999997</v>
      </c>
      <c r="G1404">
        <v>1337.4787598</v>
      </c>
      <c r="H1404">
        <v>1335.6673584</v>
      </c>
      <c r="I1404">
        <v>1327.5634766000001</v>
      </c>
      <c r="J1404">
        <v>1326.0867920000001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805.66335200000003</v>
      </c>
      <c r="B1405" s="1">
        <f>DATE(2012,7,14) + TIME(15,55,13)</f>
        <v>41104.663344907407</v>
      </c>
      <c r="C1405">
        <v>80</v>
      </c>
      <c r="D1405">
        <v>79.962638854999994</v>
      </c>
      <c r="E1405">
        <v>50</v>
      </c>
      <c r="F1405">
        <v>47.068542479999998</v>
      </c>
      <c r="G1405">
        <v>1337.4749756000001</v>
      </c>
      <c r="H1405">
        <v>1335.6663818</v>
      </c>
      <c r="I1405">
        <v>1327.5499268000001</v>
      </c>
      <c r="J1405">
        <v>1326.0648193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807.26160000000004</v>
      </c>
      <c r="B1406" s="1">
        <f>DATE(2012,7,16) + TIME(6,16,42)</f>
        <v>41106.261597222219</v>
      </c>
      <c r="C1406">
        <v>80</v>
      </c>
      <c r="D1406">
        <v>79.962623596</v>
      </c>
      <c r="E1406">
        <v>50</v>
      </c>
      <c r="F1406">
        <v>47.040103911999999</v>
      </c>
      <c r="G1406">
        <v>1337.4710693</v>
      </c>
      <c r="H1406">
        <v>1335.6654053</v>
      </c>
      <c r="I1406">
        <v>1327.5367432</v>
      </c>
      <c r="J1406">
        <v>1326.0429687999999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808.884094</v>
      </c>
      <c r="B1407" s="1">
        <f>DATE(2012,7,17) + TIME(21,13,5)</f>
        <v>41107.884085648147</v>
      </c>
      <c r="C1407">
        <v>80</v>
      </c>
      <c r="D1407">
        <v>79.962615967000005</v>
      </c>
      <c r="E1407">
        <v>50</v>
      </c>
      <c r="F1407">
        <v>47.016105652</v>
      </c>
      <c r="G1407">
        <v>1337.4672852000001</v>
      </c>
      <c r="H1407">
        <v>1335.6644286999999</v>
      </c>
      <c r="I1407">
        <v>1327.5238036999999</v>
      </c>
      <c r="J1407">
        <v>1326.0213623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810.52791400000001</v>
      </c>
      <c r="B1408" s="1">
        <f>DATE(2012,7,19) + TIME(12,40,11)</f>
        <v>41109.527905092589</v>
      </c>
      <c r="C1408">
        <v>80</v>
      </c>
      <c r="D1408">
        <v>79.962608337000006</v>
      </c>
      <c r="E1408">
        <v>50</v>
      </c>
      <c r="F1408">
        <v>46.997852324999997</v>
      </c>
      <c r="G1408">
        <v>1337.463501</v>
      </c>
      <c r="H1408">
        <v>1335.6633300999999</v>
      </c>
      <c r="I1408">
        <v>1327.5111084</v>
      </c>
      <c r="J1408">
        <v>1325.9998779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812.17251399999998</v>
      </c>
      <c r="B1409" s="1">
        <f>DATE(2012,7,21) + TIME(4,8,25)</f>
        <v>41111.172511574077</v>
      </c>
      <c r="C1409">
        <v>80</v>
      </c>
      <c r="D1409">
        <v>79.962600707999997</v>
      </c>
      <c r="E1409">
        <v>50</v>
      </c>
      <c r="F1409">
        <v>46.986972809000001</v>
      </c>
      <c r="G1409">
        <v>1337.4594727000001</v>
      </c>
      <c r="H1409">
        <v>1335.6622314000001</v>
      </c>
      <c r="I1409">
        <v>1327.4986572</v>
      </c>
      <c r="J1409">
        <v>1325.9786377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813.83199100000002</v>
      </c>
      <c r="B1410" s="1">
        <f>DATE(2012,7,22) + TIME(19,58,4)</f>
        <v>41112.831990740742</v>
      </c>
      <c r="C1410">
        <v>80</v>
      </c>
      <c r="D1410">
        <v>79.962593079000001</v>
      </c>
      <c r="E1410">
        <v>50</v>
      </c>
      <c r="F1410">
        <v>46.985183716000002</v>
      </c>
      <c r="G1410">
        <v>1337.4555664</v>
      </c>
      <c r="H1410">
        <v>1335.6610106999999</v>
      </c>
      <c r="I1410">
        <v>1327.4865723</v>
      </c>
      <c r="J1410">
        <v>1325.9577637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815.51172399999996</v>
      </c>
      <c r="B1411" s="1">
        <f>DATE(2012,7,24) + TIME(12,16,52)</f>
        <v>41114.511712962965</v>
      </c>
      <c r="C1411">
        <v>80</v>
      </c>
      <c r="D1411">
        <v>79.962585449000002</v>
      </c>
      <c r="E1411">
        <v>50</v>
      </c>
      <c r="F1411">
        <v>46.994537354000002</v>
      </c>
      <c r="G1411">
        <v>1337.4517822</v>
      </c>
      <c r="H1411">
        <v>1335.6597899999999</v>
      </c>
      <c r="I1411">
        <v>1327.4749756000001</v>
      </c>
      <c r="J1411">
        <v>1325.9373779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816.36778100000004</v>
      </c>
      <c r="B1412" s="1">
        <f>DATE(2012,7,25) + TIME(8,49,36)</f>
        <v>41115.367777777778</v>
      </c>
      <c r="C1412">
        <v>80</v>
      </c>
      <c r="D1412">
        <v>79.962570189999994</v>
      </c>
      <c r="E1412">
        <v>50</v>
      </c>
      <c r="F1412">
        <v>47.011211394999997</v>
      </c>
      <c r="G1412">
        <v>1337.4479980000001</v>
      </c>
      <c r="H1412">
        <v>1335.6586914</v>
      </c>
      <c r="I1412">
        <v>1327.4647216999999</v>
      </c>
      <c r="J1412">
        <v>1325.9188231999999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817.223837</v>
      </c>
      <c r="B1413" s="1">
        <f>DATE(2012,7,26) + TIME(5,22,19)</f>
        <v>41116.22383101852</v>
      </c>
      <c r="C1413">
        <v>80</v>
      </c>
      <c r="D1413">
        <v>79.962562560999999</v>
      </c>
      <c r="E1413">
        <v>50</v>
      </c>
      <c r="F1413">
        <v>47.031654357999997</v>
      </c>
      <c r="G1413">
        <v>1337.4461670000001</v>
      </c>
      <c r="H1413">
        <v>1335.6580810999999</v>
      </c>
      <c r="I1413">
        <v>1327.4577637</v>
      </c>
      <c r="J1413">
        <v>1325.9063721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818.07989299999997</v>
      </c>
      <c r="B1414" s="1">
        <f>DATE(2012,7,27) + TIME(1,55,2)</f>
        <v>41117.079884259256</v>
      </c>
      <c r="C1414">
        <v>80</v>
      </c>
      <c r="D1414">
        <v>79.962554932000003</v>
      </c>
      <c r="E1414">
        <v>50</v>
      </c>
      <c r="F1414">
        <v>47.056545258</v>
      </c>
      <c r="G1414">
        <v>1337.4443358999999</v>
      </c>
      <c r="H1414">
        <v>1335.6574707</v>
      </c>
      <c r="I1414">
        <v>1327.4516602000001</v>
      </c>
      <c r="J1414">
        <v>1325.8952637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818.93595000000005</v>
      </c>
      <c r="B1415" s="1">
        <f>DATE(2012,7,27) + TIME(22,27,46)</f>
        <v>41117.935949074075</v>
      </c>
      <c r="C1415">
        <v>80</v>
      </c>
      <c r="D1415">
        <v>79.962554932000003</v>
      </c>
      <c r="E1415">
        <v>50</v>
      </c>
      <c r="F1415">
        <v>47.086421967</v>
      </c>
      <c r="G1415">
        <v>1337.4425048999999</v>
      </c>
      <c r="H1415">
        <v>1335.6568603999999</v>
      </c>
      <c r="I1415">
        <v>1327.4460449000001</v>
      </c>
      <c r="J1415">
        <v>1325.8850098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819.79200600000001</v>
      </c>
      <c r="B1416" s="1">
        <f>DATE(2012,7,28) + TIME(19,0,29)</f>
        <v>41118.792002314818</v>
      </c>
      <c r="C1416">
        <v>80</v>
      </c>
      <c r="D1416">
        <v>79.962554932000003</v>
      </c>
      <c r="E1416">
        <v>50</v>
      </c>
      <c r="F1416">
        <v>47.121761321999998</v>
      </c>
      <c r="G1416">
        <v>1337.4406738</v>
      </c>
      <c r="H1416">
        <v>1335.6563721</v>
      </c>
      <c r="I1416">
        <v>1327.4407959</v>
      </c>
      <c r="J1416">
        <v>1325.8752440999999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820.64806299999998</v>
      </c>
      <c r="B1417" s="1">
        <f>DATE(2012,7,29) + TIME(15,33,12)</f>
        <v>41119.648055555554</v>
      </c>
      <c r="C1417">
        <v>80</v>
      </c>
      <c r="D1417">
        <v>79.962554932000003</v>
      </c>
      <c r="E1417">
        <v>50</v>
      </c>
      <c r="F1417">
        <v>47.163040160999998</v>
      </c>
      <c r="G1417">
        <v>1337.4389647999999</v>
      </c>
      <c r="H1417">
        <v>1335.6557617000001</v>
      </c>
      <c r="I1417">
        <v>1327.4357910000001</v>
      </c>
      <c r="J1417">
        <v>1325.8659668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821.50411899999995</v>
      </c>
      <c r="B1418" s="1">
        <f>DATE(2012,7,30) + TIME(12,5,55)</f>
        <v>41120.504108796296</v>
      </c>
      <c r="C1418">
        <v>80</v>
      </c>
      <c r="D1418">
        <v>79.962554932000003</v>
      </c>
      <c r="E1418">
        <v>50</v>
      </c>
      <c r="F1418">
        <v>47.210693358999997</v>
      </c>
      <c r="G1418">
        <v>1337.4372559000001</v>
      </c>
      <c r="H1418">
        <v>1335.6551514</v>
      </c>
      <c r="I1418">
        <v>1327.4310303</v>
      </c>
      <c r="J1418">
        <v>1325.8569336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823</v>
      </c>
      <c r="B1419" s="1">
        <f>DATE(2012,8,1) + TIME(0,0,0)</f>
        <v>41122</v>
      </c>
      <c r="C1419">
        <v>80</v>
      </c>
      <c r="D1419">
        <v>79.962570189999994</v>
      </c>
      <c r="E1419">
        <v>50</v>
      </c>
      <c r="F1419">
        <v>47.282039642000001</v>
      </c>
      <c r="G1419">
        <v>1337.4354248</v>
      </c>
      <c r="H1419">
        <v>1335.6546631000001</v>
      </c>
      <c r="I1419">
        <v>1327.4257812000001</v>
      </c>
      <c r="J1419">
        <v>1325.8475341999999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824.71211300000004</v>
      </c>
      <c r="B1420" s="1">
        <f>DATE(2012,8,2) + TIME(17,5,26)</f>
        <v>41123.712106481478</v>
      </c>
      <c r="C1420">
        <v>80</v>
      </c>
      <c r="D1420">
        <v>79.962577820000007</v>
      </c>
      <c r="E1420">
        <v>50</v>
      </c>
      <c r="F1420">
        <v>47.389282227000002</v>
      </c>
      <c r="G1420">
        <v>1337.4324951000001</v>
      </c>
      <c r="H1420">
        <v>1335.6535644999999</v>
      </c>
      <c r="I1420">
        <v>1327.4194336</v>
      </c>
      <c r="J1420">
        <v>1325.8347168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826.52940599999999</v>
      </c>
      <c r="B1421" s="1">
        <f>DATE(2012,8,4) + TIME(12,42,20)</f>
        <v>41125.529398148145</v>
      </c>
      <c r="C1421">
        <v>80</v>
      </c>
      <c r="D1421">
        <v>79.962585449000002</v>
      </c>
      <c r="E1421">
        <v>50</v>
      </c>
      <c r="F1421">
        <v>47.537757874</v>
      </c>
      <c r="G1421">
        <v>1337.4290771000001</v>
      </c>
      <c r="H1421">
        <v>1335.6524658000001</v>
      </c>
      <c r="I1421">
        <v>1327.4123535000001</v>
      </c>
      <c r="J1421">
        <v>1325.8204346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828.37596099999996</v>
      </c>
      <c r="B1422" s="1">
        <f>DATE(2012,8,6) + TIME(9,1,23)</f>
        <v>41127.375960648147</v>
      </c>
      <c r="C1422">
        <v>80</v>
      </c>
      <c r="D1422">
        <v>79.962593079000001</v>
      </c>
      <c r="E1422">
        <v>50</v>
      </c>
      <c r="F1422">
        <v>47.728981017999999</v>
      </c>
      <c r="G1422">
        <v>1337.4255370999999</v>
      </c>
      <c r="H1422">
        <v>1335.6512451000001</v>
      </c>
      <c r="I1422">
        <v>1327.4050293</v>
      </c>
      <c r="J1422">
        <v>1325.8057861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830.22602199999994</v>
      </c>
      <c r="B1423" s="1">
        <f>DATE(2012,8,8) + TIME(5,25,28)</f>
        <v>41129.226018518515</v>
      </c>
      <c r="C1423">
        <v>80</v>
      </c>
      <c r="D1423">
        <v>79.962600707999997</v>
      </c>
      <c r="E1423">
        <v>50</v>
      </c>
      <c r="F1423">
        <v>47.961147308000001</v>
      </c>
      <c r="G1423">
        <v>1337.4221190999999</v>
      </c>
      <c r="H1423">
        <v>1335.6500243999999</v>
      </c>
      <c r="I1423">
        <v>1327.3980713000001</v>
      </c>
      <c r="J1423">
        <v>1325.7915039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831.16591400000004</v>
      </c>
      <c r="B1424" s="1">
        <f>DATE(2012,8,9) + TIME(3,58,54)</f>
        <v>41130.165902777779</v>
      </c>
      <c r="C1424">
        <v>80</v>
      </c>
      <c r="D1424">
        <v>79.962585449000002</v>
      </c>
      <c r="E1424">
        <v>50</v>
      </c>
      <c r="F1424">
        <v>48.163002014</v>
      </c>
      <c r="G1424">
        <v>1337.4185791</v>
      </c>
      <c r="H1424">
        <v>1335.6488036999999</v>
      </c>
      <c r="I1424">
        <v>1327.3933105000001</v>
      </c>
      <c r="J1424">
        <v>1325.7792969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832.90230199999996</v>
      </c>
      <c r="B1425" s="1">
        <f>DATE(2012,8,10) + TIME(21,39,18)</f>
        <v>41131.902291666665</v>
      </c>
      <c r="C1425">
        <v>80</v>
      </c>
      <c r="D1425">
        <v>79.962600707999997</v>
      </c>
      <c r="E1425">
        <v>50</v>
      </c>
      <c r="F1425">
        <v>48.406890869000001</v>
      </c>
      <c r="G1425">
        <v>1337.4169922000001</v>
      </c>
      <c r="H1425">
        <v>1335.6481934000001</v>
      </c>
      <c r="I1425">
        <v>1327.3876952999999</v>
      </c>
      <c r="J1425">
        <v>1325.7707519999999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834.73021200000005</v>
      </c>
      <c r="B1426" s="1">
        <f>DATE(2012,8,12) + TIME(17,31,30)</f>
        <v>41133.730208333334</v>
      </c>
      <c r="C1426">
        <v>80</v>
      </c>
      <c r="D1426">
        <v>79.962615967000005</v>
      </c>
      <c r="E1426">
        <v>50</v>
      </c>
      <c r="F1426">
        <v>48.718482971</v>
      </c>
      <c r="G1426">
        <v>1337.4138184000001</v>
      </c>
      <c r="H1426">
        <v>1335.6470947</v>
      </c>
      <c r="I1426">
        <v>1327.3829346</v>
      </c>
      <c r="J1426">
        <v>1325.7606201000001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836.60924999999997</v>
      </c>
      <c r="B1427" s="1">
        <f>DATE(2012,8,14) + TIME(14,37,19)</f>
        <v>41135.609247685185</v>
      </c>
      <c r="C1427">
        <v>80</v>
      </c>
      <c r="D1427">
        <v>79.962623596</v>
      </c>
      <c r="E1427">
        <v>50</v>
      </c>
      <c r="F1427">
        <v>49.072334290000001</v>
      </c>
      <c r="G1427">
        <v>1337.4106445</v>
      </c>
      <c r="H1427">
        <v>1335.6459961</v>
      </c>
      <c r="I1427">
        <v>1327.3785399999999</v>
      </c>
      <c r="J1427">
        <v>1325.7509766000001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837.58907899999997</v>
      </c>
      <c r="B1428" s="1">
        <f>DATE(2012,8,15) + TIME(14,8,16)</f>
        <v>41136.589074074072</v>
      </c>
      <c r="C1428">
        <v>80</v>
      </c>
      <c r="D1428">
        <v>79.962615967000005</v>
      </c>
      <c r="E1428">
        <v>50</v>
      </c>
      <c r="F1428">
        <v>49.373218536000003</v>
      </c>
      <c r="G1428">
        <v>1337.4074707</v>
      </c>
      <c r="H1428">
        <v>1335.6447754000001</v>
      </c>
      <c r="I1428">
        <v>1327.3765868999999</v>
      </c>
      <c r="J1428">
        <v>1325.7429199000001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839.36955799999998</v>
      </c>
      <c r="B1429" s="1">
        <f>DATE(2012,8,17) + TIME(8,52,9)</f>
        <v>41138.36954861111</v>
      </c>
      <c r="C1429">
        <v>80</v>
      </c>
      <c r="D1429">
        <v>79.962638854999994</v>
      </c>
      <c r="E1429">
        <v>50</v>
      </c>
      <c r="F1429">
        <v>49.747146606000001</v>
      </c>
      <c r="G1429">
        <v>1337.4057617000001</v>
      </c>
      <c r="H1429">
        <v>1335.6441649999999</v>
      </c>
      <c r="I1429">
        <v>1327.3717041</v>
      </c>
      <c r="J1429">
        <v>1325.7375488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841.246801</v>
      </c>
      <c r="B1430" s="1">
        <f>DATE(2012,8,19) + TIME(5,55,23)</f>
        <v>41140.246793981481</v>
      </c>
      <c r="C1430">
        <v>80</v>
      </c>
      <c r="D1430">
        <v>79.962654114000003</v>
      </c>
      <c r="E1430">
        <v>50</v>
      </c>
      <c r="F1430">
        <v>50.136089325</v>
      </c>
      <c r="G1430">
        <v>1337.402832</v>
      </c>
      <c r="H1430">
        <v>1335.6430664</v>
      </c>
      <c r="I1430">
        <v>1327.3688964999999</v>
      </c>
      <c r="J1430">
        <v>1325.7310791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843.251621</v>
      </c>
      <c r="B1431" s="1">
        <f>DATE(2012,8,21) + TIME(6,2,20)</f>
        <v>41142.251620370371</v>
      </c>
      <c r="C1431">
        <v>80</v>
      </c>
      <c r="D1431">
        <v>79.962669372999997</v>
      </c>
      <c r="E1431">
        <v>50</v>
      </c>
      <c r="F1431">
        <v>50.596603393999999</v>
      </c>
      <c r="G1431">
        <v>1337.3997803</v>
      </c>
      <c r="H1431">
        <v>1335.6418457</v>
      </c>
      <c r="I1431">
        <v>1327.3663329999999</v>
      </c>
      <c r="J1431">
        <v>1325.7248535000001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845.38755700000002</v>
      </c>
      <c r="B1432" s="1">
        <f>DATE(2012,8,23) + TIME(9,18,4)</f>
        <v>41144.387546296297</v>
      </c>
      <c r="C1432">
        <v>80</v>
      </c>
      <c r="D1432">
        <v>79.962692261000001</v>
      </c>
      <c r="E1432">
        <v>50</v>
      </c>
      <c r="F1432">
        <v>51.121131896999998</v>
      </c>
      <c r="G1432">
        <v>1337.3966064000001</v>
      </c>
      <c r="H1432">
        <v>1335.640625</v>
      </c>
      <c r="I1432">
        <v>1327.3640137</v>
      </c>
      <c r="J1432">
        <v>1325.7196045000001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847.57709399999999</v>
      </c>
      <c r="B1433" s="1">
        <f>DATE(2012,8,25) + TIME(13,51,0)</f>
        <v>41146.57708333333</v>
      </c>
      <c r="C1433">
        <v>80</v>
      </c>
      <c r="D1433">
        <v>79.962707519999995</v>
      </c>
      <c r="E1433">
        <v>50</v>
      </c>
      <c r="F1433">
        <v>51.688793181999998</v>
      </c>
      <c r="G1433">
        <v>1337.3931885</v>
      </c>
      <c r="H1433">
        <v>1335.6394043</v>
      </c>
      <c r="I1433">
        <v>1327.3621826000001</v>
      </c>
      <c r="J1433">
        <v>1325.7152100000001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849.81778699999995</v>
      </c>
      <c r="B1434" s="1">
        <f>DATE(2012,8,27) + TIME(19,37,36)</f>
        <v>41148.817777777775</v>
      </c>
      <c r="C1434">
        <v>80</v>
      </c>
      <c r="D1434">
        <v>79.962730407999999</v>
      </c>
      <c r="E1434">
        <v>50</v>
      </c>
      <c r="F1434">
        <v>52.277801513999997</v>
      </c>
      <c r="G1434">
        <v>1337.3898925999999</v>
      </c>
      <c r="H1434">
        <v>1335.6380615</v>
      </c>
      <c r="I1434">
        <v>1327.3608397999999</v>
      </c>
      <c r="J1434">
        <v>1325.7119141000001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852.10916399999996</v>
      </c>
      <c r="B1435" s="1">
        <f>DATE(2012,8,30) + TIME(2,37,11)</f>
        <v>41151.109155092592</v>
      </c>
      <c r="C1435">
        <v>80</v>
      </c>
      <c r="D1435">
        <v>79.962753296000002</v>
      </c>
      <c r="E1435">
        <v>50</v>
      </c>
      <c r="F1435">
        <v>52.876953125</v>
      </c>
      <c r="G1435">
        <v>1337.3865966999999</v>
      </c>
      <c r="H1435">
        <v>1335.6368408000001</v>
      </c>
      <c r="I1435">
        <v>1327.3599853999999</v>
      </c>
      <c r="J1435">
        <v>1325.7093506000001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854</v>
      </c>
      <c r="B1436" s="1">
        <f>DATE(2012,9,1) + TIME(0,0,0)</f>
        <v>41153</v>
      </c>
      <c r="C1436">
        <v>80</v>
      </c>
      <c r="D1436">
        <v>79.962760924999998</v>
      </c>
      <c r="E1436">
        <v>50</v>
      </c>
      <c r="F1436">
        <v>53.441188812</v>
      </c>
      <c r="G1436">
        <v>1337.3833007999999</v>
      </c>
      <c r="H1436">
        <v>1335.6354980000001</v>
      </c>
      <c r="I1436">
        <v>1327.3601074000001</v>
      </c>
      <c r="J1436">
        <v>1325.7078856999999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856.35596199999998</v>
      </c>
      <c r="B1437" s="1">
        <f>DATE(2012,9,3) + TIME(8,32,35)</f>
        <v>41155.35596064815</v>
      </c>
      <c r="C1437">
        <v>80</v>
      </c>
      <c r="D1437">
        <v>79.962791443</v>
      </c>
      <c r="E1437">
        <v>50</v>
      </c>
      <c r="F1437">
        <v>53.981784820999998</v>
      </c>
      <c r="G1437">
        <v>1337.3807373</v>
      </c>
      <c r="H1437">
        <v>1335.6345214999999</v>
      </c>
      <c r="I1437">
        <v>1327.359375</v>
      </c>
      <c r="J1437">
        <v>1325.7073975000001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858.78373499999998</v>
      </c>
      <c r="B1438" s="1">
        <f>DATE(2012,9,5) + TIME(18,48,34)</f>
        <v>41157.783726851849</v>
      </c>
      <c r="C1438">
        <v>80</v>
      </c>
      <c r="D1438">
        <v>79.962814331000004</v>
      </c>
      <c r="E1438">
        <v>50</v>
      </c>
      <c r="F1438">
        <v>54.552452086999999</v>
      </c>
      <c r="G1438">
        <v>1337.3774414</v>
      </c>
      <c r="H1438">
        <v>1335.6333007999999</v>
      </c>
      <c r="I1438">
        <v>1327.3598632999999</v>
      </c>
      <c r="J1438">
        <v>1325.7066649999999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861.29491499999995</v>
      </c>
      <c r="B1439" s="1">
        <f>DATE(2012,9,8) + TIME(7,4,40)</f>
        <v>41160.294907407406</v>
      </c>
      <c r="C1439">
        <v>80</v>
      </c>
      <c r="D1439">
        <v>79.962844849000007</v>
      </c>
      <c r="E1439">
        <v>50</v>
      </c>
      <c r="F1439">
        <v>55.126056671000001</v>
      </c>
      <c r="G1439">
        <v>1337.3742675999999</v>
      </c>
      <c r="H1439">
        <v>1335.6319579999999</v>
      </c>
      <c r="I1439">
        <v>1327.3607178</v>
      </c>
      <c r="J1439">
        <v>1325.7069091999999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863.83690100000001</v>
      </c>
      <c r="B1440" s="1">
        <f>DATE(2012,9,10) + TIME(20,5,8)</f>
        <v>41162.836898148147</v>
      </c>
      <c r="C1440">
        <v>80</v>
      </c>
      <c r="D1440">
        <v>79.962875366000006</v>
      </c>
      <c r="E1440">
        <v>50</v>
      </c>
      <c r="F1440">
        <v>55.692276001000003</v>
      </c>
      <c r="G1440">
        <v>1337.3710937999999</v>
      </c>
      <c r="H1440">
        <v>1335.6307373</v>
      </c>
      <c r="I1440">
        <v>1327.3620605000001</v>
      </c>
      <c r="J1440">
        <v>1325.7077637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866.42040599999996</v>
      </c>
      <c r="B1441" s="1">
        <f>DATE(2012,9,13) + TIME(10,5,23)</f>
        <v>41165.420405092591</v>
      </c>
      <c r="C1441">
        <v>80</v>
      </c>
      <c r="D1441">
        <v>79.962898253999995</v>
      </c>
      <c r="E1441">
        <v>50</v>
      </c>
      <c r="F1441">
        <v>56.243068694999998</v>
      </c>
      <c r="G1441">
        <v>1337.3679199000001</v>
      </c>
      <c r="H1441">
        <v>1335.6295166</v>
      </c>
      <c r="I1441">
        <v>1327.3636475000001</v>
      </c>
      <c r="J1441">
        <v>1325.7091064000001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869.08792500000004</v>
      </c>
      <c r="B1442" s="1">
        <f>DATE(2012,9,16) + TIME(2,6,36)</f>
        <v>41168.087916666664</v>
      </c>
      <c r="C1442">
        <v>80</v>
      </c>
      <c r="D1442">
        <v>79.962928771999998</v>
      </c>
      <c r="E1442">
        <v>50</v>
      </c>
      <c r="F1442">
        <v>56.779354095000002</v>
      </c>
      <c r="G1442">
        <v>1337.3647461</v>
      </c>
      <c r="H1442">
        <v>1335.6282959</v>
      </c>
      <c r="I1442">
        <v>1327.3656006000001</v>
      </c>
      <c r="J1442">
        <v>1325.7108154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871.80972799999995</v>
      </c>
      <c r="B1443" s="1">
        <f>DATE(2012,9,18) + TIME(19,26,0)</f>
        <v>41170.80972222222</v>
      </c>
      <c r="C1443">
        <v>80</v>
      </c>
      <c r="D1443">
        <v>79.962966918999996</v>
      </c>
      <c r="E1443">
        <v>50</v>
      </c>
      <c r="F1443">
        <v>57.303066254000001</v>
      </c>
      <c r="G1443">
        <v>1337.3615723</v>
      </c>
      <c r="H1443">
        <v>1335.6270752</v>
      </c>
      <c r="I1443">
        <v>1327.3677978999999</v>
      </c>
      <c r="J1443">
        <v>1325.7128906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874.56796099999997</v>
      </c>
      <c r="B1444" s="1">
        <f>DATE(2012,9,21) + TIME(13,37,51)</f>
        <v>41173.56795138889</v>
      </c>
      <c r="C1444">
        <v>80</v>
      </c>
      <c r="D1444">
        <v>79.962997436999999</v>
      </c>
      <c r="E1444">
        <v>50</v>
      </c>
      <c r="F1444">
        <v>57.809448242000002</v>
      </c>
      <c r="G1444">
        <v>1337.3585204999999</v>
      </c>
      <c r="H1444">
        <v>1335.6258545000001</v>
      </c>
      <c r="I1444">
        <v>1327.3701172000001</v>
      </c>
      <c r="J1444">
        <v>1325.715332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877.409357</v>
      </c>
      <c r="B1445" s="1">
        <f>DATE(2012,9,24) + TIME(9,49,28)</f>
        <v>41176.409351851849</v>
      </c>
      <c r="C1445">
        <v>80</v>
      </c>
      <c r="D1445">
        <v>79.963035583000007</v>
      </c>
      <c r="E1445">
        <v>50</v>
      </c>
      <c r="F1445">
        <v>58.295783997000001</v>
      </c>
      <c r="G1445">
        <v>1337.3554687999999</v>
      </c>
      <c r="H1445">
        <v>1335.6247559000001</v>
      </c>
      <c r="I1445">
        <v>1327.3726807</v>
      </c>
      <c r="J1445">
        <v>1325.7178954999999</v>
      </c>
      <c r="K1445">
        <v>1650</v>
      </c>
      <c r="L1445">
        <v>0</v>
      </c>
      <c r="M1445">
        <v>0</v>
      </c>
      <c r="N1445">
        <v>1650</v>
      </c>
    </row>
    <row r="1446" spans="1:14" x14ac:dyDescent="0.25">
      <c r="A1446">
        <v>880.33126300000004</v>
      </c>
      <c r="B1446" s="1">
        <f>DATE(2012,9,27) + TIME(7,57,1)</f>
        <v>41179.331261574072</v>
      </c>
      <c r="C1446">
        <v>80</v>
      </c>
      <c r="D1446">
        <v>79.963073730000005</v>
      </c>
      <c r="E1446">
        <v>50</v>
      </c>
      <c r="F1446">
        <v>58.767360687</v>
      </c>
      <c r="G1446">
        <v>1337.3524170000001</v>
      </c>
      <c r="H1446">
        <v>1335.6235352000001</v>
      </c>
      <c r="I1446">
        <v>1327.3753661999999</v>
      </c>
      <c r="J1446">
        <v>1325.7204589999999</v>
      </c>
      <c r="K1446">
        <v>1650</v>
      </c>
      <c r="L1446">
        <v>0</v>
      </c>
      <c r="M1446">
        <v>0</v>
      </c>
      <c r="N1446">
        <v>1650</v>
      </c>
    </row>
    <row r="1447" spans="1:14" x14ac:dyDescent="0.25">
      <c r="A1447">
        <v>883.30551700000001</v>
      </c>
      <c r="B1447" s="1">
        <f>DATE(2012,9,30) + TIME(7,19,56)</f>
        <v>41182.305509259262</v>
      </c>
      <c r="C1447">
        <v>80</v>
      </c>
      <c r="D1447">
        <v>79.963111877000003</v>
      </c>
      <c r="E1447">
        <v>50</v>
      </c>
      <c r="F1447">
        <v>59.221759796000001</v>
      </c>
      <c r="G1447">
        <v>1337.3494873</v>
      </c>
      <c r="H1447">
        <v>1335.6224365</v>
      </c>
      <c r="I1447">
        <v>1327.3781738</v>
      </c>
      <c r="J1447">
        <v>1325.7232666</v>
      </c>
      <c r="K1447">
        <v>1650</v>
      </c>
      <c r="L1447">
        <v>0</v>
      </c>
      <c r="M1447">
        <v>0</v>
      </c>
      <c r="N1447">
        <v>1650</v>
      </c>
    </row>
    <row r="1448" spans="1:14" x14ac:dyDescent="0.25">
      <c r="A1448">
        <v>884</v>
      </c>
      <c r="B1448" s="1">
        <f>DATE(2012,10,1) + TIME(0,0,0)</f>
        <v>41183</v>
      </c>
      <c r="C1448">
        <v>80</v>
      </c>
      <c r="D1448">
        <v>79.963104247999993</v>
      </c>
      <c r="E1448">
        <v>50</v>
      </c>
      <c r="F1448">
        <v>59.476207733000003</v>
      </c>
      <c r="G1448">
        <v>1337.3465576000001</v>
      </c>
      <c r="H1448">
        <v>1335.6213379000001</v>
      </c>
      <c r="I1448">
        <v>1327.3837891000001</v>
      </c>
      <c r="J1448">
        <v>1325.7269286999999</v>
      </c>
      <c r="K1448">
        <v>1650</v>
      </c>
      <c r="L1448">
        <v>0</v>
      </c>
      <c r="M1448">
        <v>0</v>
      </c>
      <c r="N1448">
        <v>1650</v>
      </c>
    </row>
    <row r="1449" spans="1:14" x14ac:dyDescent="0.25">
      <c r="A1449">
        <v>887.02411300000006</v>
      </c>
      <c r="B1449" s="1">
        <f>DATE(2012,10,4) + TIME(0,34,43)</f>
        <v>41186.024108796293</v>
      </c>
      <c r="C1449">
        <v>80</v>
      </c>
      <c r="D1449">
        <v>79.963157654</v>
      </c>
      <c r="E1449">
        <v>50</v>
      </c>
      <c r="F1449">
        <v>59.786876677999999</v>
      </c>
      <c r="G1449">
        <v>1337.3458252</v>
      </c>
      <c r="H1449">
        <v>1335.6210937999999</v>
      </c>
      <c r="I1449">
        <v>1327.3822021000001</v>
      </c>
      <c r="J1449">
        <v>1325.7287598</v>
      </c>
      <c r="K1449">
        <v>1650</v>
      </c>
      <c r="L1449">
        <v>0</v>
      </c>
      <c r="M1449">
        <v>0</v>
      </c>
      <c r="N1449">
        <v>1650</v>
      </c>
    </row>
    <row r="1450" spans="1:14" x14ac:dyDescent="0.25">
      <c r="A1450">
        <v>890.15635299999997</v>
      </c>
      <c r="B1450" s="1">
        <f>DATE(2012,10,7) + TIME(3,45,8)</f>
        <v>41189.156342592592</v>
      </c>
      <c r="C1450">
        <v>80</v>
      </c>
      <c r="D1450">
        <v>79.963203429999993</v>
      </c>
      <c r="E1450">
        <v>50</v>
      </c>
      <c r="F1450">
        <v>60.173202515</v>
      </c>
      <c r="G1450">
        <v>1337.3428954999999</v>
      </c>
      <c r="H1450">
        <v>1335.6199951000001</v>
      </c>
      <c r="I1450">
        <v>1327.3847656</v>
      </c>
      <c r="J1450">
        <v>1325.7298584</v>
      </c>
      <c r="K1450">
        <v>1650</v>
      </c>
      <c r="L1450">
        <v>0</v>
      </c>
      <c r="M1450">
        <v>0</v>
      </c>
      <c r="N1450">
        <v>1650</v>
      </c>
    </row>
    <row r="1451" spans="1:14" x14ac:dyDescent="0.25">
      <c r="A1451">
        <v>893.37913400000002</v>
      </c>
      <c r="B1451" s="1">
        <f>DATE(2012,10,10) + TIME(9,5,57)</f>
        <v>41192.379131944443</v>
      </c>
      <c r="C1451">
        <v>80</v>
      </c>
      <c r="D1451">
        <v>79.963249207000004</v>
      </c>
      <c r="E1451">
        <v>50</v>
      </c>
      <c r="F1451">
        <v>60.565322876000003</v>
      </c>
      <c r="G1451">
        <v>1337.3400879000001</v>
      </c>
      <c r="H1451">
        <v>1335.6188964999999</v>
      </c>
      <c r="I1451">
        <v>1327.3876952999999</v>
      </c>
      <c r="J1451">
        <v>1325.7322998</v>
      </c>
      <c r="K1451">
        <v>1650</v>
      </c>
      <c r="L1451">
        <v>0</v>
      </c>
      <c r="M1451">
        <v>0</v>
      </c>
      <c r="N1451">
        <v>1650</v>
      </c>
    </row>
    <row r="1452" spans="1:14" x14ac:dyDescent="0.25">
      <c r="A1452">
        <v>896.63339699999995</v>
      </c>
      <c r="B1452" s="1">
        <f>DATE(2012,10,13) + TIME(15,12,5)</f>
        <v>41195.633391203701</v>
      </c>
      <c r="C1452">
        <v>80</v>
      </c>
      <c r="D1452">
        <v>79.963294982999997</v>
      </c>
      <c r="E1452">
        <v>50</v>
      </c>
      <c r="F1452">
        <v>60.946933745999999</v>
      </c>
      <c r="G1452">
        <v>1337.3371582</v>
      </c>
      <c r="H1452">
        <v>1335.6179199000001</v>
      </c>
      <c r="I1452">
        <v>1327.3907471</v>
      </c>
      <c r="J1452">
        <v>1325.7351074000001</v>
      </c>
      <c r="K1452">
        <v>1650</v>
      </c>
      <c r="L1452">
        <v>0</v>
      </c>
      <c r="M1452">
        <v>0</v>
      </c>
      <c r="N1452">
        <v>1650</v>
      </c>
    </row>
    <row r="1453" spans="1:14" x14ac:dyDescent="0.25">
      <c r="A1453">
        <v>899.978161</v>
      </c>
      <c r="B1453" s="1">
        <f>DATE(2012,10,16) + TIME(23,28,33)</f>
        <v>41198.978159722225</v>
      </c>
      <c r="C1453">
        <v>80</v>
      </c>
      <c r="D1453">
        <v>79.963340759000005</v>
      </c>
      <c r="E1453">
        <v>50</v>
      </c>
      <c r="F1453">
        <v>61.309707641999999</v>
      </c>
      <c r="G1453">
        <v>1337.3343506000001</v>
      </c>
      <c r="H1453">
        <v>1335.6168213000001</v>
      </c>
      <c r="I1453">
        <v>1327.3939209</v>
      </c>
      <c r="J1453">
        <v>1325.7379149999999</v>
      </c>
      <c r="K1453">
        <v>1650</v>
      </c>
      <c r="L1453">
        <v>0</v>
      </c>
      <c r="M1453">
        <v>0</v>
      </c>
      <c r="N1453">
        <v>1650</v>
      </c>
    </row>
    <row r="1454" spans="1:14" x14ac:dyDescent="0.25">
      <c r="A1454">
        <v>903.46052499999996</v>
      </c>
      <c r="B1454" s="1">
        <f>DATE(2012,10,20) + TIME(11,3,9)</f>
        <v>41202.460520833331</v>
      </c>
      <c r="C1454">
        <v>80</v>
      </c>
      <c r="D1454">
        <v>79.963394164999997</v>
      </c>
      <c r="E1454">
        <v>50</v>
      </c>
      <c r="F1454">
        <v>61.659423828000001</v>
      </c>
      <c r="G1454">
        <v>1337.331543</v>
      </c>
      <c r="H1454">
        <v>1335.6158447</v>
      </c>
      <c r="I1454">
        <v>1327.3970947</v>
      </c>
      <c r="J1454">
        <v>1325.7407227000001</v>
      </c>
      <c r="K1454">
        <v>1650</v>
      </c>
      <c r="L1454">
        <v>0</v>
      </c>
      <c r="M1454">
        <v>0</v>
      </c>
      <c r="N1454">
        <v>1650</v>
      </c>
    </row>
    <row r="1455" spans="1:14" x14ac:dyDescent="0.25">
      <c r="A1455">
        <v>906.97228099999995</v>
      </c>
      <c r="B1455" s="1">
        <f>DATE(2012,10,23) + TIME(23,20,5)</f>
        <v>41205.972280092596</v>
      </c>
      <c r="C1455">
        <v>80</v>
      </c>
      <c r="D1455">
        <v>79.963439941000004</v>
      </c>
      <c r="E1455">
        <v>50</v>
      </c>
      <c r="F1455">
        <v>61.997009276999997</v>
      </c>
      <c r="G1455">
        <v>1337.3287353999999</v>
      </c>
      <c r="H1455">
        <v>1335.6147461</v>
      </c>
      <c r="I1455">
        <v>1327.4002685999999</v>
      </c>
      <c r="J1455">
        <v>1325.7434082</v>
      </c>
      <c r="K1455">
        <v>1650</v>
      </c>
      <c r="L1455">
        <v>0</v>
      </c>
      <c r="M1455">
        <v>0</v>
      </c>
      <c r="N1455">
        <v>1650</v>
      </c>
    </row>
    <row r="1456" spans="1:14" x14ac:dyDescent="0.25">
      <c r="A1456">
        <v>910.57938200000001</v>
      </c>
      <c r="B1456" s="1">
        <f>DATE(2012,10,27) + TIME(13,54,18)</f>
        <v>41209.579375000001</v>
      </c>
      <c r="C1456">
        <v>80</v>
      </c>
      <c r="D1456">
        <v>79.963493346999996</v>
      </c>
      <c r="E1456">
        <v>50</v>
      </c>
      <c r="F1456">
        <v>62.318992614999999</v>
      </c>
      <c r="G1456">
        <v>1337.3260498</v>
      </c>
      <c r="H1456">
        <v>1335.6137695</v>
      </c>
      <c r="I1456">
        <v>1327.4035644999999</v>
      </c>
      <c r="J1456">
        <v>1325.7462158000001</v>
      </c>
      <c r="K1456">
        <v>1650</v>
      </c>
      <c r="L1456">
        <v>0</v>
      </c>
      <c r="M1456">
        <v>0</v>
      </c>
      <c r="N1456">
        <v>1650</v>
      </c>
    </row>
    <row r="1457" spans="1:14" x14ac:dyDescent="0.25">
      <c r="A1457">
        <v>914.27544799999998</v>
      </c>
      <c r="B1457" s="1">
        <f>DATE(2012,10,31) + TIME(6,36,38)</f>
        <v>41213.275439814817</v>
      </c>
      <c r="C1457">
        <v>80</v>
      </c>
      <c r="D1457">
        <v>79.963546753000003</v>
      </c>
      <c r="E1457">
        <v>50</v>
      </c>
      <c r="F1457">
        <v>62.628475189</v>
      </c>
      <c r="G1457">
        <v>1337.3232422000001</v>
      </c>
      <c r="H1457">
        <v>1335.612793</v>
      </c>
      <c r="I1457">
        <v>1327.4068603999999</v>
      </c>
      <c r="J1457">
        <v>1325.7489014</v>
      </c>
      <c r="K1457">
        <v>1650</v>
      </c>
      <c r="L1457">
        <v>0</v>
      </c>
      <c r="M1457">
        <v>0</v>
      </c>
      <c r="N1457">
        <v>1650</v>
      </c>
    </row>
    <row r="1458" spans="1:14" x14ac:dyDescent="0.25">
      <c r="A1458">
        <v>915</v>
      </c>
      <c r="B1458" s="1">
        <f>DATE(2012,11,1) + TIME(0,0,0)</f>
        <v>41214</v>
      </c>
      <c r="C1458">
        <v>80</v>
      </c>
      <c r="D1458">
        <v>79.963546753000003</v>
      </c>
      <c r="E1458">
        <v>50</v>
      </c>
      <c r="F1458">
        <v>62.802146911999998</v>
      </c>
      <c r="G1458">
        <v>1337.3206786999999</v>
      </c>
      <c r="H1458">
        <v>1335.6119385</v>
      </c>
      <c r="I1458">
        <v>1327.4121094</v>
      </c>
      <c r="J1458">
        <v>1325.7523193</v>
      </c>
      <c r="K1458">
        <v>1650</v>
      </c>
      <c r="L1458">
        <v>0</v>
      </c>
      <c r="M1458">
        <v>0</v>
      </c>
      <c r="N1458">
        <v>1650</v>
      </c>
    </row>
    <row r="1459" spans="1:14" x14ac:dyDescent="0.25">
      <c r="A1459">
        <v>915.000001</v>
      </c>
      <c r="B1459" s="1">
        <f>DATE(2012,11,1) + TIME(0,0,0)</f>
        <v>41214</v>
      </c>
      <c r="C1459">
        <v>80</v>
      </c>
      <c r="D1459">
        <v>79.963478088000002</v>
      </c>
      <c r="E1459">
        <v>50</v>
      </c>
      <c r="F1459">
        <v>62.802219391000001</v>
      </c>
      <c r="G1459">
        <v>1335.1295166</v>
      </c>
      <c r="H1459">
        <v>1334.7575684000001</v>
      </c>
      <c r="I1459">
        <v>1329.7082519999999</v>
      </c>
      <c r="J1459">
        <v>1328.0684814000001</v>
      </c>
      <c r="K1459">
        <v>0</v>
      </c>
      <c r="L1459">
        <v>1650</v>
      </c>
      <c r="M1459">
        <v>1650</v>
      </c>
      <c r="N1459">
        <v>0</v>
      </c>
    </row>
    <row r="1460" spans="1:14" x14ac:dyDescent="0.25">
      <c r="A1460">
        <v>915.00000399999999</v>
      </c>
      <c r="B1460" s="1">
        <f>DATE(2012,11,1) + TIME(0,0,0)</f>
        <v>41214</v>
      </c>
      <c r="C1460">
        <v>80</v>
      </c>
      <c r="D1460">
        <v>79.963386536000002</v>
      </c>
      <c r="E1460">
        <v>50</v>
      </c>
      <c r="F1460">
        <v>62.802295684999997</v>
      </c>
      <c r="G1460">
        <v>1334.4901123</v>
      </c>
      <c r="H1460">
        <v>1334.1220702999999</v>
      </c>
      <c r="I1460">
        <v>1330.5390625</v>
      </c>
      <c r="J1460">
        <v>1328.9804687999999</v>
      </c>
      <c r="K1460">
        <v>0</v>
      </c>
      <c r="L1460">
        <v>1650</v>
      </c>
      <c r="M1460">
        <v>1650</v>
      </c>
      <c r="N1460">
        <v>0</v>
      </c>
    </row>
    <row r="1461" spans="1:14" x14ac:dyDescent="0.25">
      <c r="A1461">
        <v>915.00001299999997</v>
      </c>
      <c r="B1461" s="1">
        <f>DATE(2012,11,1) + TIME(0,0,1)</f>
        <v>41214.000011574077</v>
      </c>
      <c r="C1461">
        <v>80</v>
      </c>
      <c r="D1461">
        <v>79.963287354000002</v>
      </c>
      <c r="E1461">
        <v>50</v>
      </c>
      <c r="F1461">
        <v>62.802288054999998</v>
      </c>
      <c r="G1461">
        <v>1333.8239745999999</v>
      </c>
      <c r="H1461">
        <v>1333.4296875</v>
      </c>
      <c r="I1461">
        <v>1331.5488281</v>
      </c>
      <c r="J1461">
        <v>1329.9760742000001</v>
      </c>
      <c r="K1461">
        <v>0</v>
      </c>
      <c r="L1461">
        <v>1650</v>
      </c>
      <c r="M1461">
        <v>1650</v>
      </c>
      <c r="N1461">
        <v>0</v>
      </c>
    </row>
    <row r="1462" spans="1:14" x14ac:dyDescent="0.25">
      <c r="A1462">
        <v>915.00004000000001</v>
      </c>
      <c r="B1462" s="1">
        <f>DATE(2012,11,1) + TIME(0,0,3)</f>
        <v>41214.000034722223</v>
      </c>
      <c r="C1462">
        <v>80</v>
      </c>
      <c r="D1462">
        <v>79.963195800999998</v>
      </c>
      <c r="E1462">
        <v>50</v>
      </c>
      <c r="F1462">
        <v>62.801994323999999</v>
      </c>
      <c r="G1462">
        <v>1333.1600341999999</v>
      </c>
      <c r="H1462">
        <v>1332.7283935999999</v>
      </c>
      <c r="I1462">
        <v>1332.5765381000001</v>
      </c>
      <c r="J1462">
        <v>1330.96875</v>
      </c>
      <c r="K1462">
        <v>0</v>
      </c>
      <c r="L1462">
        <v>1650</v>
      </c>
      <c r="M1462">
        <v>1650</v>
      </c>
      <c r="N1462">
        <v>0</v>
      </c>
    </row>
    <row r="1463" spans="1:14" x14ac:dyDescent="0.25">
      <c r="A1463">
        <v>915.00012100000004</v>
      </c>
      <c r="B1463" s="1">
        <f>DATE(2012,11,1) + TIME(0,0,10)</f>
        <v>41214.000115740739</v>
      </c>
      <c r="C1463">
        <v>80</v>
      </c>
      <c r="D1463">
        <v>79.963088988999999</v>
      </c>
      <c r="E1463">
        <v>50</v>
      </c>
      <c r="F1463">
        <v>62.800811768000003</v>
      </c>
      <c r="G1463">
        <v>1332.4747314000001</v>
      </c>
      <c r="H1463">
        <v>1332.0009766000001</v>
      </c>
      <c r="I1463">
        <v>1333.5875243999999</v>
      </c>
      <c r="J1463">
        <v>1331.9447021000001</v>
      </c>
      <c r="K1463">
        <v>0</v>
      </c>
      <c r="L1463">
        <v>1650</v>
      </c>
      <c r="M1463">
        <v>1650</v>
      </c>
      <c r="N1463">
        <v>0</v>
      </c>
    </row>
    <row r="1464" spans="1:14" x14ac:dyDescent="0.25">
      <c r="A1464">
        <v>915.00036399999999</v>
      </c>
      <c r="B1464" s="1">
        <f>DATE(2012,11,1) + TIME(0,0,31)</f>
        <v>41214.000358796293</v>
      </c>
      <c r="C1464">
        <v>80</v>
      </c>
      <c r="D1464">
        <v>79.962959290000001</v>
      </c>
      <c r="E1464">
        <v>50</v>
      </c>
      <c r="F1464">
        <v>62.796894072999997</v>
      </c>
      <c r="G1464">
        <v>1331.7818603999999</v>
      </c>
      <c r="H1464">
        <v>1331.2636719</v>
      </c>
      <c r="I1464">
        <v>1334.5576172000001</v>
      </c>
      <c r="J1464">
        <v>1332.8704834</v>
      </c>
      <c r="K1464">
        <v>0</v>
      </c>
      <c r="L1464">
        <v>1650</v>
      </c>
      <c r="M1464">
        <v>1650</v>
      </c>
      <c r="N1464">
        <v>0</v>
      </c>
    </row>
    <row r="1465" spans="1:14" x14ac:dyDescent="0.25">
      <c r="A1465">
        <v>915.00109299999997</v>
      </c>
      <c r="B1465" s="1">
        <f>DATE(2012,11,1) + TIME(0,1,34)</f>
        <v>41214.001087962963</v>
      </c>
      <c r="C1465">
        <v>80</v>
      </c>
      <c r="D1465">
        <v>79.962791443</v>
      </c>
      <c r="E1465">
        <v>50</v>
      </c>
      <c r="F1465">
        <v>62.784553528000004</v>
      </c>
      <c r="G1465">
        <v>1331.1853027</v>
      </c>
      <c r="H1465">
        <v>1330.6289062000001</v>
      </c>
      <c r="I1465">
        <v>1335.3729248</v>
      </c>
      <c r="J1465">
        <v>1333.6387939000001</v>
      </c>
      <c r="K1465">
        <v>0</v>
      </c>
      <c r="L1465">
        <v>1650</v>
      </c>
      <c r="M1465">
        <v>1650</v>
      </c>
      <c r="N1465">
        <v>0</v>
      </c>
    </row>
    <row r="1466" spans="1:14" x14ac:dyDescent="0.25">
      <c r="A1466">
        <v>915.00328000000002</v>
      </c>
      <c r="B1466" s="1">
        <f>DATE(2012,11,1) + TIME(0,4,43)</f>
        <v>41214.003275462965</v>
      </c>
      <c r="C1466">
        <v>80</v>
      </c>
      <c r="D1466">
        <v>79.962471007999994</v>
      </c>
      <c r="E1466">
        <v>50</v>
      </c>
      <c r="F1466">
        <v>62.746772765999999</v>
      </c>
      <c r="G1466">
        <v>1330.7862548999999</v>
      </c>
      <c r="H1466">
        <v>1330.2095947</v>
      </c>
      <c r="I1466">
        <v>1335.9084473</v>
      </c>
      <c r="J1466">
        <v>1334.1442870999999</v>
      </c>
      <c r="K1466">
        <v>0</v>
      </c>
      <c r="L1466">
        <v>1650</v>
      </c>
      <c r="M1466">
        <v>1650</v>
      </c>
      <c r="N1466">
        <v>0</v>
      </c>
    </row>
    <row r="1467" spans="1:14" x14ac:dyDescent="0.25">
      <c r="A1467">
        <v>915.00984100000005</v>
      </c>
      <c r="B1467" s="1">
        <f>DATE(2012,11,1) + TIME(0,14,10)</f>
        <v>41214.009837962964</v>
      </c>
      <c r="C1467">
        <v>80</v>
      </c>
      <c r="D1467">
        <v>79.961662292</v>
      </c>
      <c r="E1467">
        <v>50</v>
      </c>
      <c r="F1467">
        <v>62.633731842000003</v>
      </c>
      <c r="G1467">
        <v>1330.5883789</v>
      </c>
      <c r="H1467">
        <v>1330.0054932</v>
      </c>
      <c r="I1467">
        <v>1336.1496582</v>
      </c>
      <c r="J1467">
        <v>1334.3740233999999</v>
      </c>
      <c r="K1467">
        <v>0</v>
      </c>
      <c r="L1467">
        <v>1650</v>
      </c>
      <c r="M1467">
        <v>1650</v>
      </c>
      <c r="N1467">
        <v>0</v>
      </c>
    </row>
    <row r="1468" spans="1:14" x14ac:dyDescent="0.25">
      <c r="A1468">
        <v>915.02952400000004</v>
      </c>
      <c r="B1468" s="1">
        <f>DATE(2012,11,1) + TIME(0,42,30)</f>
        <v>41214.029513888891</v>
      </c>
      <c r="C1468">
        <v>80</v>
      </c>
      <c r="D1468">
        <v>79.959327697999996</v>
      </c>
      <c r="E1468">
        <v>50</v>
      </c>
      <c r="F1468">
        <v>62.304504395000002</v>
      </c>
      <c r="G1468">
        <v>1330.5269774999999</v>
      </c>
      <c r="H1468">
        <v>1329.9422606999999</v>
      </c>
      <c r="I1468">
        <v>1336.1987305</v>
      </c>
      <c r="J1468">
        <v>1334.4205322</v>
      </c>
      <c r="K1468">
        <v>0</v>
      </c>
      <c r="L1468">
        <v>1650</v>
      </c>
      <c r="M1468">
        <v>1650</v>
      </c>
      <c r="N1468">
        <v>0</v>
      </c>
    </row>
    <row r="1469" spans="1:14" x14ac:dyDescent="0.25">
      <c r="A1469">
        <v>915.088573</v>
      </c>
      <c r="B1469" s="1">
        <f>DATE(2012,11,1) + TIME(2,7,32)</f>
        <v>41214.088564814818</v>
      </c>
      <c r="C1469">
        <v>80</v>
      </c>
      <c r="D1469">
        <v>79.952491760000001</v>
      </c>
      <c r="E1469">
        <v>50</v>
      </c>
      <c r="F1469">
        <v>61.401607513000002</v>
      </c>
      <c r="G1469">
        <v>1330.5137939000001</v>
      </c>
      <c r="H1469">
        <v>1329.9268798999999</v>
      </c>
      <c r="I1469">
        <v>1336.1837158000001</v>
      </c>
      <c r="J1469">
        <v>1334.4053954999999</v>
      </c>
      <c r="K1469">
        <v>0</v>
      </c>
      <c r="L1469">
        <v>1650</v>
      </c>
      <c r="M1469">
        <v>1650</v>
      </c>
      <c r="N1469">
        <v>0</v>
      </c>
    </row>
    <row r="1470" spans="1:14" x14ac:dyDescent="0.25">
      <c r="A1470">
        <v>915.15104899999994</v>
      </c>
      <c r="B1470" s="1">
        <f>DATE(2012,11,1) + TIME(3,37,30)</f>
        <v>41214.151041666664</v>
      </c>
      <c r="C1470">
        <v>80</v>
      </c>
      <c r="D1470">
        <v>79.9453125</v>
      </c>
      <c r="E1470">
        <v>50</v>
      </c>
      <c r="F1470">
        <v>60.531284331999998</v>
      </c>
      <c r="G1470">
        <v>1330.5051269999999</v>
      </c>
      <c r="H1470">
        <v>1329.9139404</v>
      </c>
      <c r="I1470">
        <v>1336.1668701000001</v>
      </c>
      <c r="J1470">
        <v>1334.3892822</v>
      </c>
      <c r="K1470">
        <v>0</v>
      </c>
      <c r="L1470">
        <v>1650</v>
      </c>
      <c r="M1470">
        <v>1650</v>
      </c>
      <c r="N1470">
        <v>0</v>
      </c>
    </row>
    <row r="1471" spans="1:14" x14ac:dyDescent="0.25">
      <c r="A1471">
        <v>915.21533099999999</v>
      </c>
      <c r="B1471" s="1">
        <f>DATE(2012,11,1) + TIME(5,10,4)</f>
        <v>41214.215324074074</v>
      </c>
      <c r="C1471">
        <v>80</v>
      </c>
      <c r="D1471">
        <v>79.937973021999994</v>
      </c>
      <c r="E1471">
        <v>50</v>
      </c>
      <c r="F1471">
        <v>59.715518951</v>
      </c>
      <c r="G1471">
        <v>1330.4968262</v>
      </c>
      <c r="H1471">
        <v>1329.9013672000001</v>
      </c>
      <c r="I1471">
        <v>1336.1519774999999</v>
      </c>
      <c r="J1471">
        <v>1334.3747559000001</v>
      </c>
      <c r="K1471">
        <v>0</v>
      </c>
      <c r="L1471">
        <v>1650</v>
      </c>
      <c r="M1471">
        <v>1650</v>
      </c>
      <c r="N1471">
        <v>0</v>
      </c>
    </row>
    <row r="1472" spans="1:14" x14ac:dyDescent="0.25">
      <c r="A1472">
        <v>915.28159100000005</v>
      </c>
      <c r="B1472" s="1">
        <f>DATE(2012,11,1) + TIME(6,45,29)</f>
        <v>41214.281585648147</v>
      </c>
      <c r="C1472">
        <v>80</v>
      </c>
      <c r="D1472">
        <v>79.930450438999998</v>
      </c>
      <c r="E1472">
        <v>50</v>
      </c>
      <c r="F1472">
        <v>58.949790954999997</v>
      </c>
      <c r="G1472">
        <v>1330.4886475000001</v>
      </c>
      <c r="H1472">
        <v>1329.8887939000001</v>
      </c>
      <c r="I1472">
        <v>1336.1386719</v>
      </c>
      <c r="J1472">
        <v>1334.3618164</v>
      </c>
      <c r="K1472">
        <v>0</v>
      </c>
      <c r="L1472">
        <v>1650</v>
      </c>
      <c r="M1472">
        <v>1650</v>
      </c>
      <c r="N1472">
        <v>0</v>
      </c>
    </row>
    <row r="1473" spans="1:14" x14ac:dyDescent="0.25">
      <c r="A1473">
        <v>915.34997099999998</v>
      </c>
      <c r="B1473" s="1">
        <f>DATE(2012,11,1) + TIME(8,23,57)</f>
        <v>41214.349965277775</v>
      </c>
      <c r="C1473">
        <v>80</v>
      </c>
      <c r="D1473">
        <v>79.922744750999996</v>
      </c>
      <c r="E1473">
        <v>50</v>
      </c>
      <c r="F1473">
        <v>58.231063843000001</v>
      </c>
      <c r="G1473">
        <v>1330.4804687999999</v>
      </c>
      <c r="H1473">
        <v>1329.8763428</v>
      </c>
      <c r="I1473">
        <v>1336.1271973</v>
      </c>
      <c r="J1473">
        <v>1334.3500977000001</v>
      </c>
      <c r="K1473">
        <v>0</v>
      </c>
      <c r="L1473">
        <v>1650</v>
      </c>
      <c r="M1473">
        <v>1650</v>
      </c>
      <c r="N1473">
        <v>0</v>
      </c>
    </row>
    <row r="1474" spans="1:14" x14ac:dyDescent="0.25">
      <c r="A1474">
        <v>915.42071899999996</v>
      </c>
      <c r="B1474" s="1">
        <f>DATE(2012,11,1) + TIME(10,5,50)</f>
        <v>41214.420717592591</v>
      </c>
      <c r="C1474">
        <v>80</v>
      </c>
      <c r="D1474">
        <v>79.914825438999998</v>
      </c>
      <c r="E1474">
        <v>50</v>
      </c>
      <c r="F1474">
        <v>57.555515288999999</v>
      </c>
      <c r="G1474">
        <v>1330.472168</v>
      </c>
      <c r="H1474">
        <v>1329.8638916</v>
      </c>
      <c r="I1474">
        <v>1336.1170654</v>
      </c>
      <c r="J1474">
        <v>1334.3397216999999</v>
      </c>
      <c r="K1474">
        <v>0</v>
      </c>
      <c r="L1474">
        <v>1650</v>
      </c>
      <c r="M1474">
        <v>1650</v>
      </c>
      <c r="N1474">
        <v>0</v>
      </c>
    </row>
    <row r="1475" spans="1:14" x14ac:dyDescent="0.25">
      <c r="A1475">
        <v>915.494056</v>
      </c>
      <c r="B1475" s="1">
        <f>DATE(2012,11,1) + TIME(11,51,26)</f>
        <v>41214.494050925925</v>
      </c>
      <c r="C1475">
        <v>80</v>
      </c>
      <c r="D1475">
        <v>79.906669617000006</v>
      </c>
      <c r="E1475">
        <v>50</v>
      </c>
      <c r="F1475">
        <v>56.920269011999999</v>
      </c>
      <c r="G1475">
        <v>1330.4639893000001</v>
      </c>
      <c r="H1475">
        <v>1329.8513184000001</v>
      </c>
      <c r="I1475">
        <v>1336.1085204999999</v>
      </c>
      <c r="J1475">
        <v>1334.3304443</v>
      </c>
      <c r="K1475">
        <v>0</v>
      </c>
      <c r="L1475">
        <v>1650</v>
      </c>
      <c r="M1475">
        <v>1650</v>
      </c>
      <c r="N1475">
        <v>0</v>
      </c>
    </row>
    <row r="1476" spans="1:14" x14ac:dyDescent="0.25">
      <c r="A1476">
        <v>915.57022600000005</v>
      </c>
      <c r="B1476" s="1">
        <f>DATE(2012,11,1) + TIME(13,41,7)</f>
        <v>41214.570219907408</v>
      </c>
      <c r="C1476">
        <v>80</v>
      </c>
      <c r="D1476">
        <v>79.898269653</v>
      </c>
      <c r="E1476">
        <v>50</v>
      </c>
      <c r="F1476">
        <v>56.322795868</v>
      </c>
      <c r="G1476">
        <v>1330.4555664</v>
      </c>
      <c r="H1476">
        <v>1329.8386230000001</v>
      </c>
      <c r="I1476">
        <v>1336.1014404</v>
      </c>
      <c r="J1476">
        <v>1334.3222656</v>
      </c>
      <c r="K1476">
        <v>0</v>
      </c>
      <c r="L1476">
        <v>1650</v>
      </c>
      <c r="M1476">
        <v>1650</v>
      </c>
      <c r="N1476">
        <v>0</v>
      </c>
    </row>
    <row r="1477" spans="1:14" x14ac:dyDescent="0.25">
      <c r="A1477">
        <v>915.649497</v>
      </c>
      <c r="B1477" s="1">
        <f>DATE(2012,11,1) + TIME(15,35,16)</f>
        <v>41214.64949074074</v>
      </c>
      <c r="C1477">
        <v>80</v>
      </c>
      <c r="D1477">
        <v>79.889587402000004</v>
      </c>
      <c r="E1477">
        <v>50</v>
      </c>
      <c r="F1477">
        <v>55.760902405000003</v>
      </c>
      <c r="G1477">
        <v>1330.4472656</v>
      </c>
      <c r="H1477">
        <v>1329.8259277</v>
      </c>
      <c r="I1477">
        <v>1336.0955810999999</v>
      </c>
      <c r="J1477">
        <v>1334.3151855000001</v>
      </c>
      <c r="K1477">
        <v>0</v>
      </c>
      <c r="L1477">
        <v>1650</v>
      </c>
      <c r="M1477">
        <v>1650</v>
      </c>
      <c r="N1477">
        <v>0</v>
      </c>
    </row>
    <row r="1478" spans="1:14" x14ac:dyDescent="0.25">
      <c r="A1478">
        <v>915.73212100000001</v>
      </c>
      <c r="B1478" s="1">
        <f>DATE(2012,11,1) + TIME(17,34,15)</f>
        <v>41214.732118055559</v>
      </c>
      <c r="C1478">
        <v>80</v>
      </c>
      <c r="D1478">
        <v>79.880622864000003</v>
      </c>
      <c r="E1478">
        <v>50</v>
      </c>
      <c r="F1478">
        <v>55.232933043999999</v>
      </c>
      <c r="G1478">
        <v>1330.4387207</v>
      </c>
      <c r="H1478">
        <v>1329.8131103999999</v>
      </c>
      <c r="I1478">
        <v>1336.0910644999999</v>
      </c>
      <c r="J1478">
        <v>1334.3092041</v>
      </c>
      <c r="K1478">
        <v>0</v>
      </c>
      <c r="L1478">
        <v>1650</v>
      </c>
      <c r="M1478">
        <v>1650</v>
      </c>
      <c r="N1478">
        <v>0</v>
      </c>
    </row>
    <row r="1479" spans="1:14" x14ac:dyDescent="0.25">
      <c r="A1479">
        <v>915.81842900000004</v>
      </c>
      <c r="B1479" s="1">
        <f>DATE(2012,11,1) + TIME(19,38,32)</f>
        <v>41214.818425925929</v>
      </c>
      <c r="C1479">
        <v>80</v>
      </c>
      <c r="D1479">
        <v>79.871330260999997</v>
      </c>
      <c r="E1479">
        <v>50</v>
      </c>
      <c r="F1479">
        <v>54.737113952999998</v>
      </c>
      <c r="G1479">
        <v>1330.4301757999999</v>
      </c>
      <c r="H1479">
        <v>1329.8001709</v>
      </c>
      <c r="I1479">
        <v>1336.0877685999999</v>
      </c>
      <c r="J1479">
        <v>1334.3040771000001</v>
      </c>
      <c r="K1479">
        <v>0</v>
      </c>
      <c r="L1479">
        <v>1650</v>
      </c>
      <c r="M1479">
        <v>1650</v>
      </c>
      <c r="N1479">
        <v>0</v>
      </c>
    </row>
    <row r="1480" spans="1:14" x14ac:dyDescent="0.25">
      <c r="A1480">
        <v>915.90879800000005</v>
      </c>
      <c r="B1480" s="1">
        <f>DATE(2012,11,1) + TIME(21,48,40)</f>
        <v>41214.908796296295</v>
      </c>
      <c r="C1480">
        <v>80</v>
      </c>
      <c r="D1480">
        <v>79.861686707000004</v>
      </c>
      <c r="E1480">
        <v>50</v>
      </c>
      <c r="F1480">
        <v>54.271888732999997</v>
      </c>
      <c r="G1480">
        <v>1330.4215088000001</v>
      </c>
      <c r="H1480">
        <v>1329.7869873</v>
      </c>
      <c r="I1480">
        <v>1336.0855713000001</v>
      </c>
      <c r="J1480">
        <v>1334.2999268000001</v>
      </c>
      <c r="K1480">
        <v>0</v>
      </c>
      <c r="L1480">
        <v>1650</v>
      </c>
      <c r="M1480">
        <v>1650</v>
      </c>
      <c r="N1480">
        <v>0</v>
      </c>
    </row>
    <row r="1481" spans="1:14" x14ac:dyDescent="0.25">
      <c r="A1481">
        <v>916.00364000000002</v>
      </c>
      <c r="B1481" s="1">
        <f>DATE(2012,11,2) + TIME(0,5,14)</f>
        <v>41215.003634259258</v>
      </c>
      <c r="C1481">
        <v>80</v>
      </c>
      <c r="D1481">
        <v>79.851661682</v>
      </c>
      <c r="E1481">
        <v>50</v>
      </c>
      <c r="F1481">
        <v>53.835948944000002</v>
      </c>
      <c r="G1481">
        <v>1330.4125977000001</v>
      </c>
      <c r="H1481">
        <v>1329.7735596</v>
      </c>
      <c r="I1481">
        <v>1336.0844727000001</v>
      </c>
      <c r="J1481">
        <v>1334.2966309000001</v>
      </c>
      <c r="K1481">
        <v>0</v>
      </c>
      <c r="L1481">
        <v>1650</v>
      </c>
      <c r="M1481">
        <v>1650</v>
      </c>
      <c r="N1481">
        <v>0</v>
      </c>
    </row>
    <row r="1482" spans="1:14" x14ac:dyDescent="0.25">
      <c r="A1482">
        <v>916.10344899999996</v>
      </c>
      <c r="B1482" s="1">
        <f>DATE(2012,11,2) + TIME(2,28,58)</f>
        <v>41215.103449074071</v>
      </c>
      <c r="C1482">
        <v>80</v>
      </c>
      <c r="D1482">
        <v>79.841217040999993</v>
      </c>
      <c r="E1482">
        <v>50</v>
      </c>
      <c r="F1482">
        <v>53.428031920999999</v>
      </c>
      <c r="G1482">
        <v>1330.4035644999999</v>
      </c>
      <c r="H1482">
        <v>1329.7600098</v>
      </c>
      <c r="I1482">
        <v>1336.0843506000001</v>
      </c>
      <c r="J1482">
        <v>1334.2940673999999</v>
      </c>
      <c r="K1482">
        <v>0</v>
      </c>
      <c r="L1482">
        <v>1650</v>
      </c>
      <c r="M1482">
        <v>1650</v>
      </c>
      <c r="N1482">
        <v>0</v>
      </c>
    </row>
    <row r="1483" spans="1:14" x14ac:dyDescent="0.25">
      <c r="A1483">
        <v>916.20879600000001</v>
      </c>
      <c r="B1483" s="1">
        <f>DATE(2012,11,2) + TIME(5,0,39)</f>
        <v>41215.208784722221</v>
      </c>
      <c r="C1483">
        <v>80</v>
      </c>
      <c r="D1483">
        <v>79.830299377000003</v>
      </c>
      <c r="E1483">
        <v>50</v>
      </c>
      <c r="F1483">
        <v>53.047046661000003</v>
      </c>
      <c r="G1483">
        <v>1330.3944091999999</v>
      </c>
      <c r="H1483">
        <v>1329.7460937999999</v>
      </c>
      <c r="I1483">
        <v>1336.0852050999999</v>
      </c>
      <c r="J1483">
        <v>1334.2923584</v>
      </c>
      <c r="K1483">
        <v>0</v>
      </c>
      <c r="L1483">
        <v>1650</v>
      </c>
      <c r="M1483">
        <v>1650</v>
      </c>
      <c r="N1483">
        <v>0</v>
      </c>
    </row>
    <row r="1484" spans="1:14" x14ac:dyDescent="0.25">
      <c r="A1484">
        <v>916.320335</v>
      </c>
      <c r="B1484" s="1">
        <f>DATE(2012,11,2) + TIME(7,41,16)</f>
        <v>41215.320324074077</v>
      </c>
      <c r="C1484">
        <v>80</v>
      </c>
      <c r="D1484">
        <v>79.818862914999997</v>
      </c>
      <c r="E1484">
        <v>50</v>
      </c>
      <c r="F1484">
        <v>52.692039489999999</v>
      </c>
      <c r="G1484">
        <v>1330.3848877</v>
      </c>
      <c r="H1484">
        <v>1329.7318115</v>
      </c>
      <c r="I1484">
        <v>1336.0869141000001</v>
      </c>
      <c r="J1484">
        <v>1334.2913818</v>
      </c>
      <c r="K1484">
        <v>0</v>
      </c>
      <c r="L1484">
        <v>1650</v>
      </c>
      <c r="M1484">
        <v>1650</v>
      </c>
      <c r="N1484">
        <v>0</v>
      </c>
    </row>
    <row r="1485" spans="1:14" x14ac:dyDescent="0.25">
      <c r="A1485">
        <v>916.43883200000005</v>
      </c>
      <c r="B1485" s="1">
        <f>DATE(2012,11,2) + TIME(10,31,55)</f>
        <v>41215.438831018517</v>
      </c>
      <c r="C1485">
        <v>80</v>
      </c>
      <c r="D1485">
        <v>79.806846618999998</v>
      </c>
      <c r="E1485">
        <v>50</v>
      </c>
      <c r="F1485">
        <v>52.362178802000003</v>
      </c>
      <c r="G1485">
        <v>1330.3752440999999</v>
      </c>
      <c r="H1485">
        <v>1329.7172852000001</v>
      </c>
      <c r="I1485">
        <v>1336.0894774999999</v>
      </c>
      <c r="J1485">
        <v>1334.2910156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916.56519200000002</v>
      </c>
      <c r="B1486" s="1">
        <f>DATE(2012,11,2) + TIME(13,33,52)</f>
        <v>41215.565185185187</v>
      </c>
      <c r="C1486">
        <v>80</v>
      </c>
      <c r="D1486">
        <v>79.794189453000001</v>
      </c>
      <c r="E1486">
        <v>50</v>
      </c>
      <c r="F1486">
        <v>52.056720734000002</v>
      </c>
      <c r="G1486">
        <v>1330.3651123</v>
      </c>
      <c r="H1486">
        <v>1329.7021483999999</v>
      </c>
      <c r="I1486">
        <v>1336.0927733999999</v>
      </c>
      <c r="J1486">
        <v>1334.2912598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916.70049400000005</v>
      </c>
      <c r="B1487" s="1">
        <f>DATE(2012,11,2) + TIME(16,48,42)</f>
        <v>41215.700486111113</v>
      </c>
      <c r="C1487">
        <v>80</v>
      </c>
      <c r="D1487">
        <v>79.780799865999995</v>
      </c>
      <c r="E1487">
        <v>50</v>
      </c>
      <c r="F1487">
        <v>51.775005341000004</v>
      </c>
      <c r="G1487">
        <v>1330.3547363</v>
      </c>
      <c r="H1487">
        <v>1329.6866454999999</v>
      </c>
      <c r="I1487">
        <v>1336.0966797000001</v>
      </c>
      <c r="J1487">
        <v>1334.2919922000001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916.84467600000005</v>
      </c>
      <c r="B1488" s="1">
        <f>DATE(2012,11,2) + TIME(20,16,19)</f>
        <v>41215.844664351855</v>
      </c>
      <c r="C1488">
        <v>80</v>
      </c>
      <c r="D1488">
        <v>79.766708374000004</v>
      </c>
      <c r="E1488">
        <v>50</v>
      </c>
      <c r="F1488">
        <v>51.518486023000001</v>
      </c>
      <c r="G1488">
        <v>1330.3439940999999</v>
      </c>
      <c r="H1488">
        <v>1329.6705322</v>
      </c>
      <c r="I1488">
        <v>1336.1011963000001</v>
      </c>
      <c r="J1488">
        <v>1334.293457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916.99535900000001</v>
      </c>
      <c r="B1489" s="1">
        <f>DATE(2012,11,2) + TIME(23,53,18)</f>
        <v>41215.995347222219</v>
      </c>
      <c r="C1489">
        <v>80</v>
      </c>
      <c r="D1489">
        <v>79.752136230000005</v>
      </c>
      <c r="E1489">
        <v>50</v>
      </c>
      <c r="F1489">
        <v>51.290691375999998</v>
      </c>
      <c r="G1489">
        <v>1330.3327637</v>
      </c>
      <c r="H1489">
        <v>1329.6539307</v>
      </c>
      <c r="I1489">
        <v>1336.1065673999999</v>
      </c>
      <c r="J1489">
        <v>1334.2955322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917.15262499999994</v>
      </c>
      <c r="B1490" s="1">
        <f>DATE(2012,11,3) + TIME(3,39,46)</f>
        <v>41216.152615740742</v>
      </c>
      <c r="C1490">
        <v>80</v>
      </c>
      <c r="D1490">
        <v>79.737091063999998</v>
      </c>
      <c r="E1490">
        <v>50</v>
      </c>
      <c r="F1490">
        <v>51.089824677000003</v>
      </c>
      <c r="G1490">
        <v>1330.3214111</v>
      </c>
      <c r="H1490">
        <v>1329.6370850000001</v>
      </c>
      <c r="I1490">
        <v>1336.1120605000001</v>
      </c>
      <c r="J1490">
        <v>1334.2979736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917.31688999999994</v>
      </c>
      <c r="B1491" s="1">
        <f>DATE(2012,11,3) + TIME(7,36,19)</f>
        <v>41216.316886574074</v>
      </c>
      <c r="C1491">
        <v>80</v>
      </c>
      <c r="D1491">
        <v>79.721549988000007</v>
      </c>
      <c r="E1491">
        <v>50</v>
      </c>
      <c r="F1491">
        <v>50.913658142000003</v>
      </c>
      <c r="G1491">
        <v>1330.3099365</v>
      </c>
      <c r="H1491">
        <v>1329.6198730000001</v>
      </c>
      <c r="I1491">
        <v>1336.1176757999999</v>
      </c>
      <c r="J1491">
        <v>1334.3005370999999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917.48862499999996</v>
      </c>
      <c r="B1492" s="1">
        <f>DATE(2012,11,3) + TIME(11,43,37)</f>
        <v>41216.488622685189</v>
      </c>
      <c r="C1492">
        <v>80</v>
      </c>
      <c r="D1492">
        <v>79.705467224000003</v>
      </c>
      <c r="E1492">
        <v>50</v>
      </c>
      <c r="F1492">
        <v>50.760036468999999</v>
      </c>
      <c r="G1492">
        <v>1330.2982178</v>
      </c>
      <c r="H1492">
        <v>1329.6025391000001</v>
      </c>
      <c r="I1492">
        <v>1336.1232910000001</v>
      </c>
      <c r="J1492">
        <v>1334.3033447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917.66834800000004</v>
      </c>
      <c r="B1493" s="1">
        <f>DATE(2012,11,3) + TIME(16,2,25)</f>
        <v>41216.668344907404</v>
      </c>
      <c r="C1493">
        <v>80</v>
      </c>
      <c r="D1493">
        <v>79.688812256000006</v>
      </c>
      <c r="E1493">
        <v>50</v>
      </c>
      <c r="F1493">
        <v>50.626888274999999</v>
      </c>
      <c r="G1493">
        <v>1330.2862548999999</v>
      </c>
      <c r="H1493">
        <v>1329.5848389</v>
      </c>
      <c r="I1493">
        <v>1336.1287841999999</v>
      </c>
      <c r="J1493">
        <v>1334.3061522999999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917.85662200000002</v>
      </c>
      <c r="B1494" s="1">
        <f>DATE(2012,11,3) + TIME(20,33,32)</f>
        <v>41216.856620370374</v>
      </c>
      <c r="C1494">
        <v>80</v>
      </c>
      <c r="D1494">
        <v>79.671562195000007</v>
      </c>
      <c r="E1494">
        <v>50</v>
      </c>
      <c r="F1494">
        <v>50.512252808</v>
      </c>
      <c r="G1494">
        <v>1330.2739257999999</v>
      </c>
      <c r="H1494">
        <v>1329.5667725000001</v>
      </c>
      <c r="I1494">
        <v>1336.1340332</v>
      </c>
      <c r="J1494">
        <v>1334.3088379000001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918.05405900000005</v>
      </c>
      <c r="B1495" s="1">
        <f>DATE(2012,11,4) + TIME(1,17,50)</f>
        <v>41217.054050925923</v>
      </c>
      <c r="C1495">
        <v>80</v>
      </c>
      <c r="D1495">
        <v>79.653663635000001</v>
      </c>
      <c r="E1495">
        <v>50</v>
      </c>
      <c r="F1495">
        <v>50.414253234999997</v>
      </c>
      <c r="G1495">
        <v>1330.2614745999999</v>
      </c>
      <c r="H1495">
        <v>1329.5483397999999</v>
      </c>
      <c r="I1495">
        <v>1336.1390381000001</v>
      </c>
      <c r="J1495">
        <v>1334.3116454999999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918.26133300000004</v>
      </c>
      <c r="B1496" s="1">
        <f>DATE(2012,11,4) + TIME(6,16,19)</f>
        <v>41217.261331018519</v>
      </c>
      <c r="C1496">
        <v>80</v>
      </c>
      <c r="D1496">
        <v>79.635070800999998</v>
      </c>
      <c r="E1496">
        <v>50</v>
      </c>
      <c r="F1496">
        <v>50.331111907999997</v>
      </c>
      <c r="G1496">
        <v>1330.2485352000001</v>
      </c>
      <c r="H1496">
        <v>1329.5295410000001</v>
      </c>
      <c r="I1496">
        <v>1336.1435547000001</v>
      </c>
      <c r="J1496">
        <v>1334.3142089999999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918.47918200000004</v>
      </c>
      <c r="B1497" s="1">
        <f>DATE(2012,11,4) + TIME(11,30,1)</f>
        <v>41217.479178240741</v>
      </c>
      <c r="C1497">
        <v>80</v>
      </c>
      <c r="D1497">
        <v>79.615737914999997</v>
      </c>
      <c r="E1497">
        <v>50</v>
      </c>
      <c r="F1497">
        <v>50.261146545000003</v>
      </c>
      <c r="G1497">
        <v>1330.2354736</v>
      </c>
      <c r="H1497">
        <v>1329.5102539</v>
      </c>
      <c r="I1497">
        <v>1336.1478271000001</v>
      </c>
      <c r="J1497">
        <v>1334.3166504000001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918.70841900000005</v>
      </c>
      <c r="B1498" s="1">
        <f>DATE(2012,11,4) + TIME(17,0,7)</f>
        <v>41217.708414351851</v>
      </c>
      <c r="C1498">
        <v>80</v>
      </c>
      <c r="D1498">
        <v>79.595611571999996</v>
      </c>
      <c r="E1498">
        <v>50</v>
      </c>
      <c r="F1498">
        <v>50.202781676999997</v>
      </c>
      <c r="G1498">
        <v>1330.2219238</v>
      </c>
      <c r="H1498">
        <v>1329.4904785000001</v>
      </c>
      <c r="I1498">
        <v>1336.1514893000001</v>
      </c>
      <c r="J1498">
        <v>1334.3189697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918.94990700000005</v>
      </c>
      <c r="B1499" s="1">
        <f>DATE(2012,11,4) + TIME(22,47,51)</f>
        <v>41217.949895833335</v>
      </c>
      <c r="C1499">
        <v>80</v>
      </c>
      <c r="D1499">
        <v>79.574638367000006</v>
      </c>
      <c r="E1499">
        <v>50</v>
      </c>
      <c r="F1499">
        <v>50.154544829999999</v>
      </c>
      <c r="G1499">
        <v>1330.2078856999999</v>
      </c>
      <c r="H1499">
        <v>1329.4700928</v>
      </c>
      <c r="I1499">
        <v>1336.1547852000001</v>
      </c>
      <c r="J1499">
        <v>1334.3209228999999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919.20455900000002</v>
      </c>
      <c r="B1500" s="1">
        <f>DATE(2012,11,5) + TIME(4,54,33)</f>
        <v>41218.204548611109</v>
      </c>
      <c r="C1500">
        <v>80</v>
      </c>
      <c r="D1500">
        <v>79.552757263000004</v>
      </c>
      <c r="E1500">
        <v>50</v>
      </c>
      <c r="F1500">
        <v>50.115077972000002</v>
      </c>
      <c r="G1500">
        <v>1330.1936035000001</v>
      </c>
      <c r="H1500">
        <v>1329.4492187999999</v>
      </c>
      <c r="I1500">
        <v>1336.1574707</v>
      </c>
      <c r="J1500">
        <v>1334.3227539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919.47354600000006</v>
      </c>
      <c r="B1501" s="1">
        <f>DATE(2012,11,5) + TIME(11,21,54)</f>
        <v>41218.473541666666</v>
      </c>
      <c r="C1501">
        <v>80</v>
      </c>
      <c r="D1501">
        <v>79.529891968000001</v>
      </c>
      <c r="E1501">
        <v>50</v>
      </c>
      <c r="F1501">
        <v>50.083110808999997</v>
      </c>
      <c r="G1501">
        <v>1330.1787108999999</v>
      </c>
      <c r="H1501">
        <v>1329.4276123</v>
      </c>
      <c r="I1501">
        <v>1336.1597899999999</v>
      </c>
      <c r="J1501">
        <v>1334.3242187999999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919.75811199999998</v>
      </c>
      <c r="B1502" s="1">
        <f>DATE(2012,11,5) + TIME(18,11,40)</f>
        <v>41218.758101851854</v>
      </c>
      <c r="C1502">
        <v>80</v>
      </c>
      <c r="D1502">
        <v>79.505958557</v>
      </c>
      <c r="E1502">
        <v>50</v>
      </c>
      <c r="F1502">
        <v>50.057491302000003</v>
      </c>
      <c r="G1502">
        <v>1330.1633300999999</v>
      </c>
      <c r="H1502">
        <v>1329.4053954999999</v>
      </c>
      <c r="I1502">
        <v>1336.1613769999999</v>
      </c>
      <c r="J1502">
        <v>1334.3254394999999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920.05964200000005</v>
      </c>
      <c r="B1503" s="1">
        <f>DATE(2012,11,6) + TIME(1,25,53)</f>
        <v>41219.059641203705</v>
      </c>
      <c r="C1503">
        <v>80</v>
      </c>
      <c r="D1503">
        <v>79.480880737000007</v>
      </c>
      <c r="E1503">
        <v>50</v>
      </c>
      <c r="F1503">
        <v>50.037200927999997</v>
      </c>
      <c r="G1503">
        <v>1330.1474608999999</v>
      </c>
      <c r="H1503">
        <v>1329.3824463000001</v>
      </c>
      <c r="I1503">
        <v>1336.1625977000001</v>
      </c>
      <c r="J1503">
        <v>1334.3264160000001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920.37968799999999</v>
      </c>
      <c r="B1504" s="1">
        <f>DATE(2012,11,6) + TIME(9,6,45)</f>
        <v>41219.379687499997</v>
      </c>
      <c r="C1504">
        <v>80</v>
      </c>
      <c r="D1504">
        <v>79.454551696999999</v>
      </c>
      <c r="E1504">
        <v>50</v>
      </c>
      <c r="F1504">
        <v>50.021320342999999</v>
      </c>
      <c r="G1504">
        <v>1330.1309814000001</v>
      </c>
      <c r="H1504">
        <v>1329.3586425999999</v>
      </c>
      <c r="I1504">
        <v>1336.1632079999999</v>
      </c>
      <c r="J1504">
        <v>1334.3270264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920.71929499999999</v>
      </c>
      <c r="B1505" s="1">
        <f>DATE(2012,11,6) + TIME(17,15,47)</f>
        <v>41219.719293981485</v>
      </c>
      <c r="C1505">
        <v>80</v>
      </c>
      <c r="D1505">
        <v>79.426918029999996</v>
      </c>
      <c r="E1505">
        <v>50</v>
      </c>
      <c r="F1505">
        <v>50.009063720999997</v>
      </c>
      <c r="G1505">
        <v>1330.1138916</v>
      </c>
      <c r="H1505">
        <v>1329.3339844</v>
      </c>
      <c r="I1505">
        <v>1336.1633300999999</v>
      </c>
      <c r="J1505">
        <v>1334.3272704999999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921.07330300000001</v>
      </c>
      <c r="B1506" s="1">
        <f>DATE(2012,11,7) + TIME(1,45,33)</f>
        <v>41220.073298611111</v>
      </c>
      <c r="C1506">
        <v>80</v>
      </c>
      <c r="D1506">
        <v>79.398300171000002</v>
      </c>
      <c r="E1506">
        <v>50</v>
      </c>
      <c r="F1506">
        <v>49.999851227000001</v>
      </c>
      <c r="G1506">
        <v>1330.0960693</v>
      </c>
      <c r="H1506">
        <v>1329.3084716999999</v>
      </c>
      <c r="I1506">
        <v>1336.1629639</v>
      </c>
      <c r="J1506">
        <v>1334.3273925999999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921.44451300000003</v>
      </c>
      <c r="B1507" s="1">
        <f>DATE(2012,11,7) + TIME(10,40,5)</f>
        <v>41220.444502314815</v>
      </c>
      <c r="C1507">
        <v>80</v>
      </c>
      <c r="D1507">
        <v>79.368545531999999</v>
      </c>
      <c r="E1507">
        <v>50</v>
      </c>
      <c r="F1507">
        <v>49.992950438999998</v>
      </c>
      <c r="G1507">
        <v>1330.0778809000001</v>
      </c>
      <c r="H1507">
        <v>1329.2823486</v>
      </c>
      <c r="I1507">
        <v>1336.1621094</v>
      </c>
      <c r="J1507">
        <v>1334.3270264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921.83560799999998</v>
      </c>
      <c r="B1508" s="1">
        <f>DATE(2012,11,7) + TIME(20,3,16)</f>
        <v>41220.835601851853</v>
      </c>
      <c r="C1508">
        <v>80</v>
      </c>
      <c r="D1508">
        <v>79.337493895999998</v>
      </c>
      <c r="E1508">
        <v>50</v>
      </c>
      <c r="F1508">
        <v>49.987812042000002</v>
      </c>
      <c r="G1508">
        <v>1330.059082</v>
      </c>
      <c r="H1508">
        <v>1329.2554932</v>
      </c>
      <c r="I1508">
        <v>1336.1608887</v>
      </c>
      <c r="J1508">
        <v>1334.3265381000001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922.24983399999996</v>
      </c>
      <c r="B1509" s="1">
        <f>DATE(2012,11,8) + TIME(5,59,45)</f>
        <v>41221.249826388892</v>
      </c>
      <c r="C1509">
        <v>80</v>
      </c>
      <c r="D1509">
        <v>79.304962157999995</v>
      </c>
      <c r="E1509">
        <v>50</v>
      </c>
      <c r="F1509">
        <v>49.984012604</v>
      </c>
      <c r="G1509">
        <v>1330.0396728999999</v>
      </c>
      <c r="H1509">
        <v>1329.2277832</v>
      </c>
      <c r="I1509">
        <v>1336.1591797000001</v>
      </c>
      <c r="J1509">
        <v>1334.3258057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922.67711799999995</v>
      </c>
      <c r="B1510" s="1">
        <f>DATE(2012,11,8) + TIME(16,15,2)</f>
        <v>41221.677106481482</v>
      </c>
      <c r="C1510">
        <v>80</v>
      </c>
      <c r="D1510">
        <v>79.271530150999993</v>
      </c>
      <c r="E1510">
        <v>50</v>
      </c>
      <c r="F1510">
        <v>49.981281281000001</v>
      </c>
      <c r="G1510">
        <v>1330.0195312000001</v>
      </c>
      <c r="H1510">
        <v>1329.1992187999999</v>
      </c>
      <c r="I1510">
        <v>1336.1571045000001</v>
      </c>
      <c r="J1510">
        <v>1334.3248291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923.11629400000004</v>
      </c>
      <c r="B1511" s="1">
        <f>DATE(2012,11,9) + TIME(2,47,27)</f>
        <v>41222.116284722222</v>
      </c>
      <c r="C1511">
        <v>80</v>
      </c>
      <c r="D1511">
        <v>79.237297057999996</v>
      </c>
      <c r="E1511">
        <v>50</v>
      </c>
      <c r="F1511">
        <v>49.979320526000002</v>
      </c>
      <c r="G1511">
        <v>1329.9991454999999</v>
      </c>
      <c r="H1511">
        <v>1329.1701660000001</v>
      </c>
      <c r="I1511">
        <v>1336.1547852000001</v>
      </c>
      <c r="J1511">
        <v>1334.3236084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923.56853000000001</v>
      </c>
      <c r="B1512" s="1">
        <f>DATE(2012,11,9) + TIME(13,38,41)</f>
        <v>41222.568530092591</v>
      </c>
      <c r="C1512">
        <v>80</v>
      </c>
      <c r="D1512">
        <v>79.202239989999995</v>
      </c>
      <c r="E1512">
        <v>50</v>
      </c>
      <c r="F1512">
        <v>49.977909087999997</v>
      </c>
      <c r="G1512">
        <v>1329.9785156</v>
      </c>
      <c r="H1512">
        <v>1329.1408690999999</v>
      </c>
      <c r="I1512">
        <v>1336.1523437999999</v>
      </c>
      <c r="J1512">
        <v>1334.3222656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924.03502900000001</v>
      </c>
      <c r="B1513" s="1">
        <f>DATE(2012,11,10) + TIME(0,50,26)</f>
        <v>41223.03502314815</v>
      </c>
      <c r="C1513">
        <v>80</v>
      </c>
      <c r="D1513">
        <v>79.166305542000003</v>
      </c>
      <c r="E1513">
        <v>50</v>
      </c>
      <c r="F1513">
        <v>49.976890564000001</v>
      </c>
      <c r="G1513">
        <v>1329.9576416</v>
      </c>
      <c r="H1513">
        <v>1329.1113281</v>
      </c>
      <c r="I1513">
        <v>1336.1496582</v>
      </c>
      <c r="J1513">
        <v>1334.3208007999999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924.517065</v>
      </c>
      <c r="B1514" s="1">
        <f>DATE(2012,11,10) + TIME(12,24,34)</f>
        <v>41223.517060185186</v>
      </c>
      <c r="C1514">
        <v>80</v>
      </c>
      <c r="D1514">
        <v>79.129447936999995</v>
      </c>
      <c r="E1514">
        <v>50</v>
      </c>
      <c r="F1514">
        <v>49.976146698000001</v>
      </c>
      <c r="G1514">
        <v>1329.9364014</v>
      </c>
      <c r="H1514">
        <v>1329.0812988</v>
      </c>
      <c r="I1514">
        <v>1336.1467285000001</v>
      </c>
      <c r="J1514">
        <v>1334.3192139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925.01602000000003</v>
      </c>
      <c r="B1515" s="1">
        <f>DATE(2012,11,11) + TIME(0,23,4)</f>
        <v>41224.016018518516</v>
      </c>
      <c r="C1515">
        <v>80</v>
      </c>
      <c r="D1515">
        <v>79.091598511000001</v>
      </c>
      <c r="E1515">
        <v>50</v>
      </c>
      <c r="F1515">
        <v>49.975601196</v>
      </c>
      <c r="G1515">
        <v>1329.9149170000001</v>
      </c>
      <c r="H1515">
        <v>1329.0509033000001</v>
      </c>
      <c r="I1515">
        <v>1336.1437988</v>
      </c>
      <c r="J1515">
        <v>1334.3176269999999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925.53340500000002</v>
      </c>
      <c r="B1516" s="1">
        <f>DATE(2012,11,11) + TIME(12,48,6)</f>
        <v>41224.533402777779</v>
      </c>
      <c r="C1516">
        <v>80</v>
      </c>
      <c r="D1516">
        <v>79.052673339999998</v>
      </c>
      <c r="E1516">
        <v>50</v>
      </c>
      <c r="F1516">
        <v>49.975196838000002</v>
      </c>
      <c r="G1516">
        <v>1329.8930664</v>
      </c>
      <c r="H1516">
        <v>1329.0200195</v>
      </c>
      <c r="I1516">
        <v>1336.140625</v>
      </c>
      <c r="J1516">
        <v>1334.315918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926.07085500000005</v>
      </c>
      <c r="B1517" s="1">
        <f>DATE(2012,11,12) + TIME(1,42,1)</f>
        <v>41225.070844907408</v>
      </c>
      <c r="C1517">
        <v>80</v>
      </c>
      <c r="D1517">
        <v>79.012588500999996</v>
      </c>
      <c r="E1517">
        <v>50</v>
      </c>
      <c r="F1517">
        <v>49.974891663000001</v>
      </c>
      <c r="G1517">
        <v>1329.8707274999999</v>
      </c>
      <c r="H1517">
        <v>1328.9886475000001</v>
      </c>
      <c r="I1517">
        <v>1336.1374512</v>
      </c>
      <c r="J1517">
        <v>1334.3142089999999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926.63012200000003</v>
      </c>
      <c r="B1518" s="1">
        <f>DATE(2012,11,12) + TIME(15,7,22)</f>
        <v>41225.630115740743</v>
      </c>
      <c r="C1518">
        <v>80</v>
      </c>
      <c r="D1518">
        <v>78.971229553000001</v>
      </c>
      <c r="E1518">
        <v>50</v>
      </c>
      <c r="F1518">
        <v>49.974658966</v>
      </c>
      <c r="G1518">
        <v>1329.8480225000001</v>
      </c>
      <c r="H1518">
        <v>1328.9567870999999</v>
      </c>
      <c r="I1518">
        <v>1336.1342772999999</v>
      </c>
      <c r="J1518">
        <v>1334.3123779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927.21300699999995</v>
      </c>
      <c r="B1519" s="1">
        <f>DATE(2012,11,13) + TIME(5,6,43)</f>
        <v>41226.212997685187</v>
      </c>
      <c r="C1519">
        <v>80</v>
      </c>
      <c r="D1519">
        <v>78.928489685000002</v>
      </c>
      <c r="E1519">
        <v>50</v>
      </c>
      <c r="F1519">
        <v>49.974479674999998</v>
      </c>
      <c r="G1519">
        <v>1329.8248291</v>
      </c>
      <c r="H1519">
        <v>1328.9241943</v>
      </c>
      <c r="I1519">
        <v>1336.1308594</v>
      </c>
      <c r="J1519">
        <v>1334.3105469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927.82187799999997</v>
      </c>
      <c r="B1520" s="1">
        <f>DATE(2012,11,13) + TIME(19,43,30)</f>
        <v>41226.821875000001</v>
      </c>
      <c r="C1520">
        <v>80</v>
      </c>
      <c r="D1520">
        <v>78.884223938000005</v>
      </c>
      <c r="E1520">
        <v>50</v>
      </c>
      <c r="F1520">
        <v>49.974338531000001</v>
      </c>
      <c r="G1520">
        <v>1329.8011475000001</v>
      </c>
      <c r="H1520">
        <v>1328.8911132999999</v>
      </c>
      <c r="I1520">
        <v>1336.1275635</v>
      </c>
      <c r="J1520">
        <v>1334.3085937999999</v>
      </c>
      <c r="K1520">
        <v>0</v>
      </c>
      <c r="L1520">
        <v>1650</v>
      </c>
      <c r="M1520">
        <v>1650</v>
      </c>
      <c r="N1520">
        <v>0</v>
      </c>
    </row>
    <row r="1521" spans="1:14" x14ac:dyDescent="0.25">
      <c r="A1521">
        <v>928.45917599999996</v>
      </c>
      <c r="B1521" s="1">
        <f>DATE(2012,11,14) + TIME(11,1,12)</f>
        <v>41227.459166666667</v>
      </c>
      <c r="C1521">
        <v>80</v>
      </c>
      <c r="D1521">
        <v>78.838279724000003</v>
      </c>
      <c r="E1521">
        <v>50</v>
      </c>
      <c r="F1521">
        <v>49.974227904999999</v>
      </c>
      <c r="G1521">
        <v>1329.7768555</v>
      </c>
      <c r="H1521">
        <v>1328.8571777</v>
      </c>
      <c r="I1521">
        <v>1336.1240233999999</v>
      </c>
      <c r="J1521">
        <v>1334.3067627</v>
      </c>
      <c r="K1521">
        <v>0</v>
      </c>
      <c r="L1521">
        <v>1650</v>
      </c>
      <c r="M1521">
        <v>1650</v>
      </c>
      <c r="N1521">
        <v>0</v>
      </c>
    </row>
    <row r="1522" spans="1:14" x14ac:dyDescent="0.25">
      <c r="A1522">
        <v>929.12764400000003</v>
      </c>
      <c r="B1522" s="1">
        <f>DATE(2012,11,15) + TIME(3,3,48)</f>
        <v>41228.127638888887</v>
      </c>
      <c r="C1522">
        <v>80</v>
      </c>
      <c r="D1522">
        <v>78.790466308999996</v>
      </c>
      <c r="E1522">
        <v>50</v>
      </c>
      <c r="F1522">
        <v>49.974136352999999</v>
      </c>
      <c r="G1522">
        <v>1329.7519531</v>
      </c>
      <c r="H1522">
        <v>1328.8223877</v>
      </c>
      <c r="I1522">
        <v>1336.1206055</v>
      </c>
      <c r="J1522">
        <v>1334.3048096</v>
      </c>
      <c r="K1522">
        <v>0</v>
      </c>
      <c r="L1522">
        <v>1650</v>
      </c>
      <c r="M1522">
        <v>1650</v>
      </c>
      <c r="N1522">
        <v>0</v>
      </c>
    </row>
    <row r="1523" spans="1:14" x14ac:dyDescent="0.25">
      <c r="A1523">
        <v>929.83036700000002</v>
      </c>
      <c r="B1523" s="1">
        <f>DATE(2012,11,15) + TIME(19,55,43)</f>
        <v>41228.830358796295</v>
      </c>
      <c r="C1523">
        <v>80</v>
      </c>
      <c r="D1523">
        <v>78.740592957000004</v>
      </c>
      <c r="E1523">
        <v>50</v>
      </c>
      <c r="F1523">
        <v>49.974063872999999</v>
      </c>
      <c r="G1523">
        <v>1329.7263184000001</v>
      </c>
      <c r="H1523">
        <v>1328.7867432</v>
      </c>
      <c r="I1523">
        <v>1336.1169434000001</v>
      </c>
      <c r="J1523">
        <v>1334.3028564000001</v>
      </c>
      <c r="K1523">
        <v>0</v>
      </c>
      <c r="L1523">
        <v>1650</v>
      </c>
      <c r="M1523">
        <v>1650</v>
      </c>
      <c r="N1523">
        <v>0</v>
      </c>
    </row>
    <row r="1524" spans="1:14" x14ac:dyDescent="0.25">
      <c r="A1524">
        <v>930.56253000000004</v>
      </c>
      <c r="B1524" s="1">
        <f>DATE(2012,11,16) + TIME(13,30,2)</f>
        <v>41229.562523148146</v>
      </c>
      <c r="C1524">
        <v>80</v>
      </c>
      <c r="D1524">
        <v>78.688766478999995</v>
      </c>
      <c r="E1524">
        <v>50</v>
      </c>
      <c r="F1524">
        <v>49.974002837999997</v>
      </c>
      <c r="G1524">
        <v>1329.6999512</v>
      </c>
      <c r="H1524">
        <v>1328.7501221</v>
      </c>
      <c r="I1524">
        <v>1336.1134033000001</v>
      </c>
      <c r="J1524">
        <v>1334.3009033000001</v>
      </c>
      <c r="K1524">
        <v>0</v>
      </c>
      <c r="L1524">
        <v>1650</v>
      </c>
      <c r="M1524">
        <v>1650</v>
      </c>
      <c r="N1524">
        <v>0</v>
      </c>
    </row>
    <row r="1525" spans="1:14" x14ac:dyDescent="0.25">
      <c r="A1525">
        <v>931.31804899999997</v>
      </c>
      <c r="B1525" s="1">
        <f>DATE(2012,11,17) + TIME(7,37,59)</f>
        <v>41230.318043981482</v>
      </c>
      <c r="C1525">
        <v>80</v>
      </c>
      <c r="D1525">
        <v>78.635223389000004</v>
      </c>
      <c r="E1525">
        <v>50</v>
      </c>
      <c r="F1525">
        <v>49.973953246999997</v>
      </c>
      <c r="G1525">
        <v>1329.6729736</v>
      </c>
      <c r="H1525">
        <v>1328.7127685999999</v>
      </c>
      <c r="I1525">
        <v>1336.1097411999999</v>
      </c>
      <c r="J1525">
        <v>1334.2989502</v>
      </c>
      <c r="K1525">
        <v>0</v>
      </c>
      <c r="L1525">
        <v>1650</v>
      </c>
      <c r="M1525">
        <v>1650</v>
      </c>
      <c r="N1525">
        <v>0</v>
      </c>
    </row>
    <row r="1526" spans="1:14" x14ac:dyDescent="0.25">
      <c r="A1526">
        <v>932.10227799999996</v>
      </c>
      <c r="B1526" s="1">
        <f>DATE(2012,11,18) + TIME(2,27,16)</f>
        <v>41231.102268518516</v>
      </c>
      <c r="C1526">
        <v>80</v>
      </c>
      <c r="D1526">
        <v>78.579795837000006</v>
      </c>
      <c r="E1526">
        <v>50</v>
      </c>
      <c r="F1526">
        <v>49.973911285</v>
      </c>
      <c r="G1526">
        <v>1329.6455077999999</v>
      </c>
      <c r="H1526">
        <v>1328.6748047000001</v>
      </c>
      <c r="I1526">
        <v>1336.1060791</v>
      </c>
      <c r="J1526">
        <v>1334.2969971</v>
      </c>
      <c r="K1526">
        <v>0</v>
      </c>
      <c r="L1526">
        <v>1650</v>
      </c>
      <c r="M1526">
        <v>1650</v>
      </c>
      <c r="N1526">
        <v>0</v>
      </c>
    </row>
    <row r="1527" spans="1:14" x14ac:dyDescent="0.25">
      <c r="A1527">
        <v>932.92105200000003</v>
      </c>
      <c r="B1527" s="1">
        <f>DATE(2012,11,18) + TIME(22,6,18)</f>
        <v>41231.921041666668</v>
      </c>
      <c r="C1527">
        <v>80</v>
      </c>
      <c r="D1527">
        <v>78.522178650000001</v>
      </c>
      <c r="E1527">
        <v>50</v>
      </c>
      <c r="F1527">
        <v>49.973873138000002</v>
      </c>
      <c r="G1527">
        <v>1329.6175536999999</v>
      </c>
      <c r="H1527">
        <v>1328.6362305</v>
      </c>
      <c r="I1527">
        <v>1336.1025391000001</v>
      </c>
      <c r="J1527">
        <v>1334.2951660000001</v>
      </c>
      <c r="K1527">
        <v>0</v>
      </c>
      <c r="L1527">
        <v>1650</v>
      </c>
      <c r="M1527">
        <v>1650</v>
      </c>
      <c r="N1527">
        <v>0</v>
      </c>
    </row>
    <row r="1528" spans="1:14" x14ac:dyDescent="0.25">
      <c r="A1528">
        <v>933.78120100000001</v>
      </c>
      <c r="B1528" s="1">
        <f>DATE(2012,11,19) + TIME(18,44,55)</f>
        <v>41232.781192129631</v>
      </c>
      <c r="C1528">
        <v>80</v>
      </c>
      <c r="D1528">
        <v>78.461982727000006</v>
      </c>
      <c r="E1528">
        <v>50</v>
      </c>
      <c r="F1528">
        <v>49.973842621000003</v>
      </c>
      <c r="G1528">
        <v>1329.5889893000001</v>
      </c>
      <c r="H1528">
        <v>1328.5968018000001</v>
      </c>
      <c r="I1528">
        <v>1336.0988769999999</v>
      </c>
      <c r="J1528">
        <v>1334.2932129000001</v>
      </c>
      <c r="K1528">
        <v>0</v>
      </c>
      <c r="L1528">
        <v>1650</v>
      </c>
      <c r="M1528">
        <v>1650</v>
      </c>
      <c r="N1528">
        <v>0</v>
      </c>
    </row>
    <row r="1529" spans="1:14" x14ac:dyDescent="0.25">
      <c r="A1529">
        <v>934.65718700000002</v>
      </c>
      <c r="B1529" s="1">
        <f>DATE(2012,11,20) + TIME(15,46,20)</f>
        <v>41233.657175925924</v>
      </c>
      <c r="C1529">
        <v>80</v>
      </c>
      <c r="D1529">
        <v>78.399986267000003</v>
      </c>
      <c r="E1529">
        <v>50</v>
      </c>
      <c r="F1529">
        <v>49.973819732999999</v>
      </c>
      <c r="G1529">
        <v>1329.5596923999999</v>
      </c>
      <c r="H1529">
        <v>1328.5565185999999</v>
      </c>
      <c r="I1529">
        <v>1336.0952147999999</v>
      </c>
      <c r="J1529">
        <v>1334.2913818</v>
      </c>
      <c r="K1529">
        <v>0</v>
      </c>
      <c r="L1529">
        <v>1650</v>
      </c>
      <c r="M1529">
        <v>1650</v>
      </c>
      <c r="N1529">
        <v>0</v>
      </c>
    </row>
    <row r="1530" spans="1:14" x14ac:dyDescent="0.25">
      <c r="A1530">
        <v>935.550522</v>
      </c>
      <c r="B1530" s="1">
        <f>DATE(2012,11,21) + TIME(13,12,45)</f>
        <v>41234.550520833334</v>
      </c>
      <c r="C1530">
        <v>80</v>
      </c>
      <c r="D1530">
        <v>78.336364746000001</v>
      </c>
      <c r="E1530">
        <v>50</v>
      </c>
      <c r="F1530">
        <v>49.973793030000003</v>
      </c>
      <c r="G1530">
        <v>1329.5302733999999</v>
      </c>
      <c r="H1530">
        <v>1328.5161132999999</v>
      </c>
      <c r="I1530">
        <v>1336.0916748</v>
      </c>
      <c r="J1530">
        <v>1334.2895507999999</v>
      </c>
      <c r="K1530">
        <v>0</v>
      </c>
      <c r="L1530">
        <v>1650</v>
      </c>
      <c r="M1530">
        <v>1650</v>
      </c>
      <c r="N1530">
        <v>0</v>
      </c>
    </row>
    <row r="1531" spans="1:14" x14ac:dyDescent="0.25">
      <c r="A1531">
        <v>936.468074</v>
      </c>
      <c r="B1531" s="1">
        <f>DATE(2012,11,22) + TIME(11,14,1)</f>
        <v>41235.46806712963</v>
      </c>
      <c r="C1531">
        <v>80</v>
      </c>
      <c r="D1531">
        <v>78.270927428999997</v>
      </c>
      <c r="E1531">
        <v>50</v>
      </c>
      <c r="F1531">
        <v>49.973773956000002</v>
      </c>
      <c r="G1531">
        <v>1329.5007324000001</v>
      </c>
      <c r="H1531">
        <v>1328.4754639</v>
      </c>
      <c r="I1531">
        <v>1336.0882568</v>
      </c>
      <c r="J1531">
        <v>1334.2878418</v>
      </c>
      <c r="K1531">
        <v>0</v>
      </c>
      <c r="L1531">
        <v>1650</v>
      </c>
      <c r="M1531">
        <v>1650</v>
      </c>
      <c r="N1531">
        <v>0</v>
      </c>
    </row>
    <row r="1532" spans="1:14" x14ac:dyDescent="0.25">
      <c r="A1532">
        <v>937.41706599999998</v>
      </c>
      <c r="B1532" s="1">
        <f>DATE(2012,11,23) + TIME(10,0,34)</f>
        <v>41236.417060185187</v>
      </c>
      <c r="C1532">
        <v>80</v>
      </c>
      <c r="D1532">
        <v>78.203323363999999</v>
      </c>
      <c r="E1532">
        <v>50</v>
      </c>
      <c r="F1532">
        <v>49.973754882999998</v>
      </c>
      <c r="G1532">
        <v>1329.4709473</v>
      </c>
      <c r="H1532">
        <v>1328.4346923999999</v>
      </c>
      <c r="I1532">
        <v>1336.0847168</v>
      </c>
      <c r="J1532">
        <v>1334.2861327999999</v>
      </c>
      <c r="K1532">
        <v>0</v>
      </c>
      <c r="L1532">
        <v>1650</v>
      </c>
      <c r="M1532">
        <v>1650</v>
      </c>
      <c r="N1532">
        <v>0</v>
      </c>
    </row>
    <row r="1533" spans="1:14" x14ac:dyDescent="0.25">
      <c r="A1533">
        <v>938.40418599999998</v>
      </c>
      <c r="B1533" s="1">
        <f>DATE(2012,11,24) + TIME(9,42,1)</f>
        <v>41237.404178240744</v>
      </c>
      <c r="C1533">
        <v>80</v>
      </c>
      <c r="D1533">
        <v>78.133094787999994</v>
      </c>
      <c r="E1533">
        <v>50</v>
      </c>
      <c r="F1533">
        <v>49.973735808999997</v>
      </c>
      <c r="G1533">
        <v>1329.4407959</v>
      </c>
      <c r="H1533">
        <v>1328.3935547000001</v>
      </c>
      <c r="I1533">
        <v>1336.0812988</v>
      </c>
      <c r="J1533">
        <v>1334.2844238</v>
      </c>
      <c r="K1533">
        <v>0</v>
      </c>
      <c r="L1533">
        <v>1650</v>
      </c>
      <c r="M1533">
        <v>1650</v>
      </c>
      <c r="N1533">
        <v>0</v>
      </c>
    </row>
    <row r="1534" spans="1:14" x14ac:dyDescent="0.25">
      <c r="A1534">
        <v>939.42849999999999</v>
      </c>
      <c r="B1534" s="1">
        <f>DATE(2012,11,25) + TIME(10,17,2)</f>
        <v>41238.428495370368</v>
      </c>
      <c r="C1534">
        <v>80</v>
      </c>
      <c r="D1534">
        <v>78.060005188000005</v>
      </c>
      <c r="E1534">
        <v>50</v>
      </c>
      <c r="F1534">
        <v>49.973716736</v>
      </c>
      <c r="G1534">
        <v>1329.4101562000001</v>
      </c>
      <c r="H1534">
        <v>1328.3518065999999</v>
      </c>
      <c r="I1534">
        <v>1336.0778809000001</v>
      </c>
      <c r="J1534">
        <v>1334.2828368999999</v>
      </c>
      <c r="K1534">
        <v>0</v>
      </c>
      <c r="L1534">
        <v>1650</v>
      </c>
      <c r="M1534">
        <v>1650</v>
      </c>
      <c r="N1534">
        <v>0</v>
      </c>
    </row>
    <row r="1535" spans="1:14" x14ac:dyDescent="0.25">
      <c r="A1535">
        <v>940.48470499999996</v>
      </c>
      <c r="B1535" s="1">
        <f>DATE(2012,11,26) + TIME(11,37,58)</f>
        <v>41239.484699074077</v>
      </c>
      <c r="C1535">
        <v>80</v>
      </c>
      <c r="D1535">
        <v>77.984054564999994</v>
      </c>
      <c r="E1535">
        <v>50</v>
      </c>
      <c r="F1535">
        <v>49.973701476999999</v>
      </c>
      <c r="G1535">
        <v>1329.3790283000001</v>
      </c>
      <c r="H1535">
        <v>1328.3094481999999</v>
      </c>
      <c r="I1535">
        <v>1336.0744629000001</v>
      </c>
      <c r="J1535">
        <v>1334.28125</v>
      </c>
      <c r="K1535">
        <v>0</v>
      </c>
      <c r="L1535">
        <v>1650</v>
      </c>
      <c r="M1535">
        <v>1650</v>
      </c>
      <c r="N1535">
        <v>0</v>
      </c>
    </row>
    <row r="1536" spans="1:14" x14ac:dyDescent="0.25">
      <c r="A1536">
        <v>941.56540600000005</v>
      </c>
      <c r="B1536" s="1">
        <f>DATE(2012,11,27) + TIME(13,34,11)</f>
        <v>41240.565405092595</v>
      </c>
      <c r="C1536">
        <v>80</v>
      </c>
      <c r="D1536">
        <v>77.905464171999995</v>
      </c>
      <c r="E1536">
        <v>50</v>
      </c>
      <c r="F1536">
        <v>49.973682404000002</v>
      </c>
      <c r="G1536">
        <v>1329.3476562000001</v>
      </c>
      <c r="H1536">
        <v>1328.2667236</v>
      </c>
      <c r="I1536">
        <v>1336.0711670000001</v>
      </c>
      <c r="J1536">
        <v>1334.2796631000001</v>
      </c>
      <c r="K1536">
        <v>0</v>
      </c>
      <c r="L1536">
        <v>1650</v>
      </c>
      <c r="M1536">
        <v>1650</v>
      </c>
      <c r="N1536">
        <v>0</v>
      </c>
    </row>
    <row r="1537" spans="1:14" x14ac:dyDescent="0.25">
      <c r="A1537">
        <v>942.67841199999998</v>
      </c>
      <c r="B1537" s="1">
        <f>DATE(2012,11,28) + TIME(16,16,54)</f>
        <v>41241.678402777776</v>
      </c>
      <c r="C1537">
        <v>80</v>
      </c>
      <c r="D1537">
        <v>77.824050903</v>
      </c>
      <c r="E1537">
        <v>50</v>
      </c>
      <c r="F1537">
        <v>49.973667145</v>
      </c>
      <c r="G1537">
        <v>1329.3160399999999</v>
      </c>
      <c r="H1537">
        <v>1328.2238769999999</v>
      </c>
      <c r="I1537">
        <v>1336.0678711</v>
      </c>
      <c r="J1537">
        <v>1334.2781981999999</v>
      </c>
      <c r="K1537">
        <v>0</v>
      </c>
      <c r="L1537">
        <v>1650</v>
      </c>
      <c r="M1537">
        <v>1650</v>
      </c>
      <c r="N1537">
        <v>0</v>
      </c>
    </row>
    <row r="1538" spans="1:14" x14ac:dyDescent="0.25">
      <c r="A1538">
        <v>943.83212900000001</v>
      </c>
      <c r="B1538" s="1">
        <f>DATE(2012,11,29) + TIME(19,58,15)</f>
        <v>41242.832118055558</v>
      </c>
      <c r="C1538">
        <v>80</v>
      </c>
      <c r="D1538">
        <v>77.739364624000004</v>
      </c>
      <c r="E1538">
        <v>50</v>
      </c>
      <c r="F1538">
        <v>49.973651885999999</v>
      </c>
      <c r="G1538">
        <v>1329.2841797000001</v>
      </c>
      <c r="H1538">
        <v>1328.1807861</v>
      </c>
      <c r="I1538">
        <v>1336.0645752</v>
      </c>
      <c r="J1538">
        <v>1334.2768555</v>
      </c>
      <c r="K1538">
        <v>0</v>
      </c>
      <c r="L1538">
        <v>1650</v>
      </c>
      <c r="M1538">
        <v>1650</v>
      </c>
      <c r="N1538">
        <v>0</v>
      </c>
    </row>
    <row r="1539" spans="1:14" x14ac:dyDescent="0.25">
      <c r="A1539">
        <v>945</v>
      </c>
      <c r="B1539" s="1">
        <f>DATE(2012,12,1) + TIME(0,0,0)</f>
        <v>41244</v>
      </c>
      <c r="C1539">
        <v>80</v>
      </c>
      <c r="D1539">
        <v>77.651969910000005</v>
      </c>
      <c r="E1539">
        <v>50</v>
      </c>
      <c r="F1539">
        <v>49.973632811999998</v>
      </c>
      <c r="G1539">
        <v>1329.2519531</v>
      </c>
      <c r="H1539">
        <v>1328.137207</v>
      </c>
      <c r="I1539">
        <v>1336.0612793</v>
      </c>
      <c r="J1539">
        <v>1334.2755127</v>
      </c>
      <c r="K1539">
        <v>0</v>
      </c>
      <c r="L1539">
        <v>1650</v>
      </c>
      <c r="M1539">
        <v>1650</v>
      </c>
      <c r="N1539">
        <v>0</v>
      </c>
    </row>
    <row r="1540" spans="1:14" x14ac:dyDescent="0.25">
      <c r="A1540">
        <v>946.20395499999995</v>
      </c>
      <c r="B1540" s="1">
        <f>DATE(2012,12,2) + TIME(4,53,41)</f>
        <v>41245.203946759262</v>
      </c>
      <c r="C1540">
        <v>80</v>
      </c>
      <c r="D1540">
        <v>77.561561584000003</v>
      </c>
      <c r="E1540">
        <v>50</v>
      </c>
      <c r="F1540">
        <v>49.973617554</v>
      </c>
      <c r="G1540">
        <v>1329.2198486</v>
      </c>
      <c r="H1540">
        <v>1328.0938721</v>
      </c>
      <c r="I1540">
        <v>1336.0579834</v>
      </c>
      <c r="J1540">
        <v>1334.2741699000001</v>
      </c>
      <c r="K1540">
        <v>0</v>
      </c>
      <c r="L1540">
        <v>1650</v>
      </c>
      <c r="M1540">
        <v>1650</v>
      </c>
      <c r="N1540">
        <v>0</v>
      </c>
    </row>
    <row r="1541" spans="1:14" x14ac:dyDescent="0.25">
      <c r="A1541">
        <v>947.45516499999997</v>
      </c>
      <c r="B1541" s="1">
        <f>DATE(2012,12,3) + TIME(10,55,26)</f>
        <v>41246.45516203704</v>
      </c>
      <c r="C1541">
        <v>80</v>
      </c>
      <c r="D1541">
        <v>77.467391968000001</v>
      </c>
      <c r="E1541">
        <v>50</v>
      </c>
      <c r="F1541">
        <v>49.973602294999999</v>
      </c>
      <c r="G1541">
        <v>1329.1875</v>
      </c>
      <c r="H1541">
        <v>1328.0501709</v>
      </c>
      <c r="I1541">
        <v>1336.0548096</v>
      </c>
      <c r="J1541">
        <v>1334.2729492000001</v>
      </c>
      <c r="K1541">
        <v>0</v>
      </c>
      <c r="L1541">
        <v>1650</v>
      </c>
      <c r="M1541">
        <v>1650</v>
      </c>
      <c r="N1541">
        <v>0</v>
      </c>
    </row>
    <row r="1542" spans="1:14" x14ac:dyDescent="0.25">
      <c r="A1542">
        <v>948.740272</v>
      </c>
      <c r="B1542" s="1">
        <f>DATE(2012,12,4) + TIME(17,45,59)</f>
        <v>41247.740266203706</v>
      </c>
      <c r="C1542">
        <v>80</v>
      </c>
      <c r="D1542">
        <v>77.369384765999996</v>
      </c>
      <c r="E1542">
        <v>50</v>
      </c>
      <c r="F1542">
        <v>49.973583220999998</v>
      </c>
      <c r="G1542">
        <v>1329.1547852000001</v>
      </c>
      <c r="H1542">
        <v>1328.0062256000001</v>
      </c>
      <c r="I1542">
        <v>1336.0516356999999</v>
      </c>
      <c r="J1542">
        <v>1334.2717285000001</v>
      </c>
      <c r="K1542">
        <v>0</v>
      </c>
      <c r="L1542">
        <v>1650</v>
      </c>
      <c r="M1542">
        <v>1650</v>
      </c>
      <c r="N1542">
        <v>0</v>
      </c>
    </row>
    <row r="1543" spans="1:14" x14ac:dyDescent="0.25">
      <c r="A1543">
        <v>950.07036000000005</v>
      </c>
      <c r="B1543" s="1">
        <f>DATE(2012,12,6) + TIME(1,41,19)</f>
        <v>41249.0703587963</v>
      </c>
      <c r="C1543">
        <v>80</v>
      </c>
      <c r="D1543">
        <v>77.267250060999999</v>
      </c>
      <c r="E1543">
        <v>50</v>
      </c>
      <c r="F1543">
        <v>49.973567963000001</v>
      </c>
      <c r="G1543">
        <v>1329.1218262</v>
      </c>
      <c r="H1543">
        <v>1327.9620361</v>
      </c>
      <c r="I1543">
        <v>1336.0485839999999</v>
      </c>
      <c r="J1543">
        <v>1334.2705077999999</v>
      </c>
      <c r="K1543">
        <v>0</v>
      </c>
      <c r="L1543">
        <v>1650</v>
      </c>
      <c r="M1543">
        <v>1650</v>
      </c>
      <c r="N1543">
        <v>0</v>
      </c>
    </row>
    <row r="1544" spans="1:14" x14ac:dyDescent="0.25">
      <c r="A1544">
        <v>951.45728499999996</v>
      </c>
      <c r="B1544" s="1">
        <f>DATE(2012,12,7) + TIME(10,58,29)</f>
        <v>41250.457280092596</v>
      </c>
      <c r="C1544">
        <v>80</v>
      </c>
      <c r="D1544">
        <v>77.160278320000003</v>
      </c>
      <c r="E1544">
        <v>50</v>
      </c>
      <c r="F1544">
        <v>49.973552703999999</v>
      </c>
      <c r="G1544">
        <v>1329.088501</v>
      </c>
      <c r="H1544">
        <v>1327.9173584</v>
      </c>
      <c r="I1544">
        <v>1336.0454102000001</v>
      </c>
      <c r="J1544">
        <v>1334.2694091999999</v>
      </c>
      <c r="K1544">
        <v>0</v>
      </c>
      <c r="L1544">
        <v>1650</v>
      </c>
      <c r="M1544">
        <v>1650</v>
      </c>
      <c r="N1544">
        <v>0</v>
      </c>
    </row>
    <row r="1545" spans="1:14" x14ac:dyDescent="0.25">
      <c r="A1545">
        <v>952.91475500000001</v>
      </c>
      <c r="B1545" s="1">
        <f>DATE(2012,12,8) + TIME(21,57,14)</f>
        <v>41251.91474537037</v>
      </c>
      <c r="C1545">
        <v>80</v>
      </c>
      <c r="D1545">
        <v>77.047508239999999</v>
      </c>
      <c r="E1545">
        <v>50</v>
      </c>
      <c r="F1545">
        <v>49.973533629999999</v>
      </c>
      <c r="G1545">
        <v>1329.0546875</v>
      </c>
      <c r="H1545">
        <v>1327.8721923999999</v>
      </c>
      <c r="I1545">
        <v>1336.0422363</v>
      </c>
      <c r="J1545">
        <v>1334.2683105000001</v>
      </c>
      <c r="K1545">
        <v>0</v>
      </c>
      <c r="L1545">
        <v>1650</v>
      </c>
      <c r="M1545">
        <v>1650</v>
      </c>
      <c r="N1545">
        <v>0</v>
      </c>
    </row>
    <row r="1546" spans="1:14" x14ac:dyDescent="0.25">
      <c r="A1546">
        <v>954.414942</v>
      </c>
      <c r="B1546" s="1">
        <f>DATE(2012,12,10) + TIME(9,57,30)</f>
        <v>41253.414930555555</v>
      </c>
      <c r="C1546">
        <v>80</v>
      </c>
      <c r="D1546">
        <v>76.929008483999993</v>
      </c>
      <c r="E1546">
        <v>50</v>
      </c>
      <c r="F1546">
        <v>49.973518372000001</v>
      </c>
      <c r="G1546">
        <v>1329.0201416</v>
      </c>
      <c r="H1546">
        <v>1327.8260498</v>
      </c>
      <c r="I1546">
        <v>1336.0390625</v>
      </c>
      <c r="J1546">
        <v>1334.2672118999999</v>
      </c>
      <c r="K1546">
        <v>0</v>
      </c>
      <c r="L1546">
        <v>1650</v>
      </c>
      <c r="M1546">
        <v>1650</v>
      </c>
      <c r="N1546">
        <v>0</v>
      </c>
    </row>
    <row r="1547" spans="1:14" x14ac:dyDescent="0.25">
      <c r="A1547">
        <v>955.94970999999998</v>
      </c>
      <c r="B1547" s="1">
        <f>DATE(2012,12,11) + TIME(22,47,34)</f>
        <v>41254.949699074074</v>
      </c>
      <c r="C1547">
        <v>80</v>
      </c>
      <c r="D1547">
        <v>76.805534363000007</v>
      </c>
      <c r="E1547">
        <v>50</v>
      </c>
      <c r="F1547">
        <v>49.973499298</v>
      </c>
      <c r="G1547">
        <v>1328.9852295000001</v>
      </c>
      <c r="H1547">
        <v>1327.7795410000001</v>
      </c>
      <c r="I1547">
        <v>1336.0358887</v>
      </c>
      <c r="J1547">
        <v>1334.2662353999999</v>
      </c>
      <c r="K1547">
        <v>0</v>
      </c>
      <c r="L1547">
        <v>1650</v>
      </c>
      <c r="M1547">
        <v>1650</v>
      </c>
      <c r="N1547">
        <v>0</v>
      </c>
    </row>
    <row r="1548" spans="1:14" x14ac:dyDescent="0.25">
      <c r="A1548">
        <v>957.52315299999998</v>
      </c>
      <c r="B1548" s="1">
        <f>DATE(2012,12,13) + TIME(12,33,20)</f>
        <v>41256.523148148146</v>
      </c>
      <c r="C1548">
        <v>80</v>
      </c>
      <c r="D1548">
        <v>76.677429199000002</v>
      </c>
      <c r="E1548">
        <v>50</v>
      </c>
      <c r="F1548">
        <v>49.973480225000003</v>
      </c>
      <c r="G1548">
        <v>1328.9501952999999</v>
      </c>
      <c r="H1548">
        <v>1327.7329102000001</v>
      </c>
      <c r="I1548">
        <v>1336.0327147999999</v>
      </c>
      <c r="J1548">
        <v>1334.2652588000001</v>
      </c>
      <c r="K1548">
        <v>0</v>
      </c>
      <c r="L1548">
        <v>1650</v>
      </c>
      <c r="M1548">
        <v>1650</v>
      </c>
      <c r="N1548">
        <v>0</v>
      </c>
    </row>
    <row r="1549" spans="1:14" x14ac:dyDescent="0.25">
      <c r="A1549">
        <v>959.12892099999999</v>
      </c>
      <c r="B1549" s="1">
        <f>DATE(2012,12,15) + TIME(3,5,38)</f>
        <v>41258.128912037035</v>
      </c>
      <c r="C1549">
        <v>80</v>
      </c>
      <c r="D1549">
        <v>76.544853209999999</v>
      </c>
      <c r="E1549">
        <v>50</v>
      </c>
      <c r="F1549">
        <v>49.973464966000002</v>
      </c>
      <c r="G1549">
        <v>1328.9151611</v>
      </c>
      <c r="H1549">
        <v>1327.6864014</v>
      </c>
      <c r="I1549">
        <v>1336.0296631000001</v>
      </c>
      <c r="J1549">
        <v>1334.2644043</v>
      </c>
      <c r="K1549">
        <v>0</v>
      </c>
      <c r="L1549">
        <v>1650</v>
      </c>
      <c r="M1549">
        <v>1650</v>
      </c>
      <c r="N1549">
        <v>0</v>
      </c>
    </row>
    <row r="1550" spans="1:14" x14ac:dyDescent="0.25">
      <c r="A1550">
        <v>960.77144799999996</v>
      </c>
      <c r="B1550" s="1">
        <f>DATE(2012,12,16) + TIME(18,30,53)</f>
        <v>41259.77144675926</v>
      </c>
      <c r="C1550">
        <v>80</v>
      </c>
      <c r="D1550">
        <v>76.407905579000001</v>
      </c>
      <c r="E1550">
        <v>50</v>
      </c>
      <c r="F1550">
        <v>49.973445892000001</v>
      </c>
      <c r="G1550">
        <v>1328.8801269999999</v>
      </c>
      <c r="H1550">
        <v>1327.6398925999999</v>
      </c>
      <c r="I1550">
        <v>1336.0264893000001</v>
      </c>
      <c r="J1550">
        <v>1334.2635498</v>
      </c>
      <c r="K1550">
        <v>0</v>
      </c>
      <c r="L1550">
        <v>1650</v>
      </c>
      <c r="M1550">
        <v>1650</v>
      </c>
      <c r="N1550">
        <v>0</v>
      </c>
    </row>
    <row r="1551" spans="1:14" x14ac:dyDescent="0.25">
      <c r="A1551">
        <v>962.46526500000004</v>
      </c>
      <c r="B1551" s="1">
        <f>DATE(2012,12,18) + TIME(11,9,58)</f>
        <v>41261.465254629627</v>
      </c>
      <c r="C1551">
        <v>80</v>
      </c>
      <c r="D1551">
        <v>76.266059874999996</v>
      </c>
      <c r="E1551">
        <v>50</v>
      </c>
      <c r="F1551">
        <v>49.973426818999997</v>
      </c>
      <c r="G1551">
        <v>1328.8453368999999</v>
      </c>
      <c r="H1551">
        <v>1327.5936279</v>
      </c>
      <c r="I1551">
        <v>1336.0235596</v>
      </c>
      <c r="J1551">
        <v>1334.2628173999999</v>
      </c>
      <c r="K1551">
        <v>0</v>
      </c>
      <c r="L1551">
        <v>1650</v>
      </c>
      <c r="M1551">
        <v>1650</v>
      </c>
      <c r="N1551">
        <v>0</v>
      </c>
    </row>
    <row r="1552" spans="1:14" x14ac:dyDescent="0.25">
      <c r="A1552">
        <v>964.226135</v>
      </c>
      <c r="B1552" s="1">
        <f>DATE(2012,12,20) + TIME(5,25,38)</f>
        <v>41263.226134259261</v>
      </c>
      <c r="C1552">
        <v>80</v>
      </c>
      <c r="D1552">
        <v>76.118286132999998</v>
      </c>
      <c r="E1552">
        <v>50</v>
      </c>
      <c r="F1552">
        <v>49.973411560000002</v>
      </c>
      <c r="G1552">
        <v>1328.8103027</v>
      </c>
      <c r="H1552">
        <v>1327.5473632999999</v>
      </c>
      <c r="I1552">
        <v>1336.0205077999999</v>
      </c>
      <c r="J1552">
        <v>1334.2620850000001</v>
      </c>
      <c r="K1552">
        <v>0</v>
      </c>
      <c r="L1552">
        <v>1650</v>
      </c>
      <c r="M1552">
        <v>1650</v>
      </c>
      <c r="N1552">
        <v>0</v>
      </c>
    </row>
    <row r="1553" spans="1:14" x14ac:dyDescent="0.25">
      <c r="A1553">
        <v>966.07199300000002</v>
      </c>
      <c r="B1553" s="1">
        <f>DATE(2012,12,22) + TIME(1,43,40)</f>
        <v>41265.07199074074</v>
      </c>
      <c r="C1553">
        <v>80</v>
      </c>
      <c r="D1553">
        <v>75.963226317999997</v>
      </c>
      <c r="E1553">
        <v>50</v>
      </c>
      <c r="F1553">
        <v>49.973392486999998</v>
      </c>
      <c r="G1553">
        <v>1328.7749022999999</v>
      </c>
      <c r="H1553">
        <v>1327.5006103999999</v>
      </c>
      <c r="I1553">
        <v>1336.0174560999999</v>
      </c>
      <c r="J1553">
        <v>1334.2613524999999</v>
      </c>
      <c r="K1553">
        <v>0</v>
      </c>
      <c r="L1553">
        <v>1650</v>
      </c>
      <c r="M1553">
        <v>1650</v>
      </c>
      <c r="N1553">
        <v>0</v>
      </c>
    </row>
    <row r="1554" spans="1:14" x14ac:dyDescent="0.25">
      <c r="A1554">
        <v>968.00876900000003</v>
      </c>
      <c r="B1554" s="1">
        <f>DATE(2012,12,24) + TIME(0,12,37)</f>
        <v>41267.008761574078</v>
      </c>
      <c r="C1554">
        <v>80</v>
      </c>
      <c r="D1554">
        <v>75.799644470000004</v>
      </c>
      <c r="E1554">
        <v>50</v>
      </c>
      <c r="F1554">
        <v>49.973373412999997</v>
      </c>
      <c r="G1554">
        <v>1328.7388916</v>
      </c>
      <c r="H1554">
        <v>1327.4532471</v>
      </c>
      <c r="I1554">
        <v>1336.0142822</v>
      </c>
      <c r="J1554">
        <v>1334.2606201000001</v>
      </c>
      <c r="K1554">
        <v>0</v>
      </c>
      <c r="L1554">
        <v>1650</v>
      </c>
      <c r="M1554">
        <v>1650</v>
      </c>
      <c r="N1554">
        <v>0</v>
      </c>
    </row>
    <row r="1555" spans="1:14" x14ac:dyDescent="0.25">
      <c r="A1555">
        <v>969.98124399999995</v>
      </c>
      <c r="B1555" s="1">
        <f>DATE(2012,12,25) + TIME(23,32,59)</f>
        <v>41268.981238425928</v>
      </c>
      <c r="C1555">
        <v>80</v>
      </c>
      <c r="D1555">
        <v>75.628273010000001</v>
      </c>
      <c r="E1555">
        <v>50</v>
      </c>
      <c r="F1555">
        <v>49.97335434</v>
      </c>
      <c r="G1555">
        <v>1328.7021483999999</v>
      </c>
      <c r="H1555">
        <v>1327.4050293</v>
      </c>
      <c r="I1555">
        <v>1336.0111084</v>
      </c>
      <c r="J1555">
        <v>1334.2600098</v>
      </c>
      <c r="K1555">
        <v>0</v>
      </c>
      <c r="L1555">
        <v>1650</v>
      </c>
      <c r="M1555">
        <v>1650</v>
      </c>
      <c r="N1555">
        <v>0</v>
      </c>
    </row>
    <row r="1556" spans="1:14" x14ac:dyDescent="0.25">
      <c r="A1556">
        <v>971.98209399999996</v>
      </c>
      <c r="B1556" s="1">
        <f>DATE(2012,12,27) + TIME(23,34,12)</f>
        <v>41270.982083333336</v>
      </c>
      <c r="C1556">
        <v>80</v>
      </c>
      <c r="D1556">
        <v>75.451515197999996</v>
      </c>
      <c r="E1556">
        <v>50</v>
      </c>
      <c r="F1556">
        <v>49.973335265999999</v>
      </c>
      <c r="G1556">
        <v>1328.6654053</v>
      </c>
      <c r="H1556">
        <v>1327.3566894999999</v>
      </c>
      <c r="I1556">
        <v>1336.0080565999999</v>
      </c>
      <c r="J1556">
        <v>1334.2593993999999</v>
      </c>
      <c r="K1556">
        <v>0</v>
      </c>
      <c r="L1556">
        <v>1650</v>
      </c>
      <c r="M1556">
        <v>1650</v>
      </c>
      <c r="N1556">
        <v>0</v>
      </c>
    </row>
    <row r="1557" spans="1:14" x14ac:dyDescent="0.25">
      <c r="A1557">
        <v>974.03253600000005</v>
      </c>
      <c r="B1557" s="1">
        <f>DATE(2012,12,30) + TIME(0,46,51)</f>
        <v>41273.032534722224</v>
      </c>
      <c r="C1557">
        <v>80</v>
      </c>
      <c r="D1557">
        <v>75.269897460999999</v>
      </c>
      <c r="E1557">
        <v>50</v>
      </c>
      <c r="F1557">
        <v>49.973316193000002</v>
      </c>
      <c r="G1557">
        <v>1328.6289062000001</v>
      </c>
      <c r="H1557">
        <v>1327.3088379000001</v>
      </c>
      <c r="I1557">
        <v>1336.0050048999999</v>
      </c>
      <c r="J1557">
        <v>1334.2587891000001</v>
      </c>
      <c r="K1557">
        <v>0</v>
      </c>
      <c r="L1557">
        <v>1650</v>
      </c>
      <c r="M1557">
        <v>1650</v>
      </c>
      <c r="N1557">
        <v>0</v>
      </c>
    </row>
    <row r="1558" spans="1:14" x14ac:dyDescent="0.25">
      <c r="A1558">
        <v>976</v>
      </c>
      <c r="B1558" s="1">
        <f>DATE(2013,1,1) + TIME(0,0,0)</f>
        <v>41275</v>
      </c>
      <c r="C1558">
        <v>80</v>
      </c>
      <c r="D1558">
        <v>75.086311339999995</v>
      </c>
      <c r="E1558">
        <v>50</v>
      </c>
      <c r="F1558">
        <v>49.973297119000001</v>
      </c>
      <c r="G1558">
        <v>1328.5927733999999</v>
      </c>
      <c r="H1558">
        <v>1327.2613524999999</v>
      </c>
      <c r="I1558">
        <v>1336.0019531</v>
      </c>
      <c r="J1558">
        <v>1334.2583007999999</v>
      </c>
      <c r="K1558">
        <v>0</v>
      </c>
      <c r="L1558">
        <v>1650</v>
      </c>
      <c r="M1558">
        <v>1650</v>
      </c>
      <c r="N1558">
        <v>0</v>
      </c>
    </row>
    <row r="1559" spans="1:14" x14ac:dyDescent="0.25">
      <c r="A1559">
        <v>978.113112</v>
      </c>
      <c r="B1559" s="1">
        <f>DATE(2013,1,3) + TIME(2,42,52)</f>
        <v>41277.11310185185</v>
      </c>
      <c r="C1559">
        <v>80</v>
      </c>
      <c r="D1559">
        <v>74.900657654</v>
      </c>
      <c r="E1559">
        <v>50</v>
      </c>
      <c r="F1559">
        <v>49.973278045999997</v>
      </c>
      <c r="G1559">
        <v>1328.5579834</v>
      </c>
      <c r="H1559">
        <v>1327.2154541</v>
      </c>
      <c r="I1559">
        <v>1335.9991454999999</v>
      </c>
      <c r="J1559">
        <v>1334.2578125</v>
      </c>
      <c r="K1559">
        <v>0</v>
      </c>
      <c r="L1559">
        <v>1650</v>
      </c>
      <c r="M1559">
        <v>1650</v>
      </c>
      <c r="N1559">
        <v>0</v>
      </c>
    </row>
    <row r="1560" spans="1:14" x14ac:dyDescent="0.25">
      <c r="A1560">
        <v>980.34750299999996</v>
      </c>
      <c r="B1560" s="1">
        <f>DATE(2013,1,5) + TIME(8,20,24)</f>
        <v>41279.347500000003</v>
      </c>
      <c r="C1560">
        <v>80</v>
      </c>
      <c r="D1560">
        <v>74.704788207999997</v>
      </c>
      <c r="E1560">
        <v>50</v>
      </c>
      <c r="F1560">
        <v>49.973262787000003</v>
      </c>
      <c r="G1560">
        <v>1328.5228271000001</v>
      </c>
      <c r="H1560">
        <v>1327.1694336</v>
      </c>
      <c r="I1560">
        <v>1335.9960937999999</v>
      </c>
      <c r="J1560">
        <v>1334.2574463000001</v>
      </c>
      <c r="K1560">
        <v>0</v>
      </c>
      <c r="L1560">
        <v>1650</v>
      </c>
      <c r="M1560">
        <v>1650</v>
      </c>
      <c r="N1560">
        <v>0</v>
      </c>
    </row>
    <row r="1561" spans="1:14" x14ac:dyDescent="0.25">
      <c r="A1561">
        <v>982.66286300000002</v>
      </c>
      <c r="B1561" s="1">
        <f>DATE(2013,1,7) + TIME(15,54,31)</f>
        <v>41281.662858796299</v>
      </c>
      <c r="C1561">
        <v>80</v>
      </c>
      <c r="D1561">
        <v>74.498168945000003</v>
      </c>
      <c r="E1561">
        <v>50</v>
      </c>
      <c r="F1561">
        <v>49.973243713000002</v>
      </c>
      <c r="G1561">
        <v>1328.4868164</v>
      </c>
      <c r="H1561">
        <v>1327.1225586</v>
      </c>
      <c r="I1561">
        <v>1335.9930420000001</v>
      </c>
      <c r="J1561">
        <v>1334.2569579999999</v>
      </c>
      <c r="K1561">
        <v>0</v>
      </c>
      <c r="L1561">
        <v>1650</v>
      </c>
      <c r="M1561">
        <v>1650</v>
      </c>
      <c r="N1561">
        <v>0</v>
      </c>
    </row>
    <row r="1562" spans="1:14" x14ac:dyDescent="0.25">
      <c r="A1562">
        <v>985.08552899999995</v>
      </c>
      <c r="B1562" s="1">
        <f>DATE(2013,1,10) + TIME(2,3,9)</f>
        <v>41284.085520833331</v>
      </c>
      <c r="C1562">
        <v>80</v>
      </c>
      <c r="D1562">
        <v>74.281860351999995</v>
      </c>
      <c r="E1562">
        <v>50</v>
      </c>
      <c r="F1562">
        <v>49.973224639999998</v>
      </c>
      <c r="G1562">
        <v>1328.4503173999999</v>
      </c>
      <c r="H1562">
        <v>1327.0749512</v>
      </c>
      <c r="I1562">
        <v>1335.9899902</v>
      </c>
      <c r="J1562">
        <v>1334.2565918</v>
      </c>
      <c r="K1562">
        <v>0</v>
      </c>
      <c r="L1562">
        <v>1650</v>
      </c>
      <c r="M1562">
        <v>1650</v>
      </c>
      <c r="N1562">
        <v>0</v>
      </c>
    </row>
    <row r="1563" spans="1:14" x14ac:dyDescent="0.25">
      <c r="A1563">
        <v>987.64442499999996</v>
      </c>
      <c r="B1563" s="1">
        <f>DATE(2013,1,12) + TIME(15,27,58)</f>
        <v>41286.644421296296</v>
      </c>
      <c r="C1563">
        <v>80</v>
      </c>
      <c r="D1563">
        <v>74.054283142000003</v>
      </c>
      <c r="E1563">
        <v>50</v>
      </c>
      <c r="F1563">
        <v>49.973205565999997</v>
      </c>
      <c r="G1563">
        <v>1328.4132079999999</v>
      </c>
      <c r="H1563">
        <v>1327.0267334</v>
      </c>
      <c r="I1563">
        <v>1335.9869385</v>
      </c>
      <c r="J1563">
        <v>1334.2562256000001</v>
      </c>
      <c r="K1563">
        <v>0</v>
      </c>
      <c r="L1563">
        <v>1650</v>
      </c>
      <c r="M1563">
        <v>1650</v>
      </c>
      <c r="N1563">
        <v>0</v>
      </c>
    </row>
    <row r="1564" spans="1:14" x14ac:dyDescent="0.25">
      <c r="A1564">
        <v>990.21804999999995</v>
      </c>
      <c r="B1564" s="1">
        <f>DATE(2013,1,15) + TIME(5,13,59)</f>
        <v>41289.218043981484</v>
      </c>
      <c r="C1564">
        <v>80</v>
      </c>
      <c r="D1564">
        <v>73.816200256000002</v>
      </c>
      <c r="E1564">
        <v>50</v>
      </c>
      <c r="F1564">
        <v>49.973186493</v>
      </c>
      <c r="G1564">
        <v>1328.3752440999999</v>
      </c>
      <c r="H1564">
        <v>1326.9776611</v>
      </c>
      <c r="I1564">
        <v>1335.9836425999999</v>
      </c>
      <c r="J1564">
        <v>1334.2558594</v>
      </c>
      <c r="K1564">
        <v>0</v>
      </c>
      <c r="L1564">
        <v>1650</v>
      </c>
      <c r="M1564">
        <v>1650</v>
      </c>
      <c r="N1564">
        <v>0</v>
      </c>
    </row>
    <row r="1565" spans="1:14" x14ac:dyDescent="0.25">
      <c r="A1565">
        <v>992.818444</v>
      </c>
      <c r="B1565" s="1">
        <f>DATE(2013,1,17) + TIME(19,38,33)</f>
        <v>41291.818437499998</v>
      </c>
      <c r="C1565">
        <v>80</v>
      </c>
      <c r="D1565">
        <v>73.573638915999993</v>
      </c>
      <c r="E1565">
        <v>50</v>
      </c>
      <c r="F1565">
        <v>49.973167418999999</v>
      </c>
      <c r="G1565">
        <v>1328.3376464999999</v>
      </c>
      <c r="H1565">
        <v>1326.9287108999999</v>
      </c>
      <c r="I1565">
        <v>1335.9804687999999</v>
      </c>
      <c r="J1565">
        <v>1334.2554932</v>
      </c>
      <c r="K1565">
        <v>0</v>
      </c>
      <c r="L1565">
        <v>1650</v>
      </c>
      <c r="M1565">
        <v>1650</v>
      </c>
      <c r="N1565">
        <v>0</v>
      </c>
    </row>
    <row r="1566" spans="1:14" x14ac:dyDescent="0.25">
      <c r="A1566">
        <v>995.47237099999995</v>
      </c>
      <c r="B1566" s="1">
        <f>DATE(2013,1,20) + TIME(11,20,12)</f>
        <v>41294.472361111111</v>
      </c>
      <c r="C1566">
        <v>80</v>
      </c>
      <c r="D1566">
        <v>73.326919556000007</v>
      </c>
      <c r="E1566">
        <v>50</v>
      </c>
      <c r="F1566">
        <v>49.973148346000002</v>
      </c>
      <c r="G1566">
        <v>1328.3006591999999</v>
      </c>
      <c r="H1566">
        <v>1326.8804932</v>
      </c>
      <c r="I1566">
        <v>1335.9774170000001</v>
      </c>
      <c r="J1566">
        <v>1334.255249</v>
      </c>
      <c r="K1566">
        <v>0</v>
      </c>
      <c r="L1566">
        <v>1650</v>
      </c>
      <c r="M1566">
        <v>1650</v>
      </c>
      <c r="N1566">
        <v>0</v>
      </c>
    </row>
    <row r="1567" spans="1:14" x14ac:dyDescent="0.25">
      <c r="A1567">
        <v>998.20715600000005</v>
      </c>
      <c r="B1567" s="1">
        <f>DATE(2013,1,23) + TIME(4,58,18)</f>
        <v>41297.207152777781</v>
      </c>
      <c r="C1567">
        <v>80</v>
      </c>
      <c r="D1567">
        <v>73.074264525999993</v>
      </c>
      <c r="E1567">
        <v>50</v>
      </c>
      <c r="F1567">
        <v>49.973129272000001</v>
      </c>
      <c r="G1567">
        <v>1328.2641602000001</v>
      </c>
      <c r="H1567">
        <v>1326.8328856999999</v>
      </c>
      <c r="I1567">
        <v>1335.9742432</v>
      </c>
      <c r="J1567">
        <v>1334.2550048999999</v>
      </c>
      <c r="K1567">
        <v>0</v>
      </c>
      <c r="L1567">
        <v>1650</v>
      </c>
      <c r="M1567">
        <v>1650</v>
      </c>
      <c r="N1567">
        <v>0</v>
      </c>
    </row>
    <row r="1568" spans="1:14" x14ac:dyDescent="0.25">
      <c r="A1568">
        <v>1001.052679</v>
      </c>
      <c r="B1568" s="1">
        <f>DATE(2013,1,26) + TIME(1,15,51)</f>
        <v>41300.052673611113</v>
      </c>
      <c r="C1568">
        <v>80</v>
      </c>
      <c r="D1568">
        <v>72.813323975000003</v>
      </c>
      <c r="E1568">
        <v>50</v>
      </c>
      <c r="F1568">
        <v>49.973110198999997</v>
      </c>
      <c r="G1568">
        <v>1328.2276611</v>
      </c>
      <c r="H1568">
        <v>1326.7855225000001</v>
      </c>
      <c r="I1568">
        <v>1335.9711914</v>
      </c>
      <c r="J1568">
        <v>1334.2547606999999</v>
      </c>
      <c r="K1568">
        <v>0</v>
      </c>
      <c r="L1568">
        <v>1650</v>
      </c>
      <c r="M1568">
        <v>1650</v>
      </c>
      <c r="N1568">
        <v>0</v>
      </c>
    </row>
    <row r="1569" spans="1:14" x14ac:dyDescent="0.25">
      <c r="A1569">
        <v>1003.976028</v>
      </c>
      <c r="B1569" s="1">
        <f>DATE(2013,1,28) + TIME(23,25,28)</f>
        <v>41302.976018518515</v>
      </c>
      <c r="C1569">
        <v>80</v>
      </c>
      <c r="D1569">
        <v>72.542655945000007</v>
      </c>
      <c r="E1569">
        <v>50</v>
      </c>
      <c r="F1569">
        <v>49.973094940000003</v>
      </c>
      <c r="G1569">
        <v>1328.190918</v>
      </c>
      <c r="H1569">
        <v>1326.7381591999999</v>
      </c>
      <c r="I1569">
        <v>1335.9680175999999</v>
      </c>
      <c r="J1569">
        <v>1334.2545166</v>
      </c>
      <c r="K1569">
        <v>0</v>
      </c>
      <c r="L1569">
        <v>1650</v>
      </c>
      <c r="M1569">
        <v>1650</v>
      </c>
      <c r="N1569">
        <v>0</v>
      </c>
    </row>
    <row r="1570" spans="1:14" x14ac:dyDescent="0.25">
      <c r="A1570">
        <v>1007</v>
      </c>
      <c r="B1570" s="1">
        <f>DATE(2013,2,1) + TIME(0,0,0)</f>
        <v>41306</v>
      </c>
      <c r="C1570">
        <v>80</v>
      </c>
      <c r="D1570">
        <v>72.263351439999994</v>
      </c>
      <c r="E1570">
        <v>50</v>
      </c>
      <c r="F1570">
        <v>49.973075866999999</v>
      </c>
      <c r="G1570">
        <v>1328.1542969</v>
      </c>
      <c r="H1570">
        <v>1326.6905518000001</v>
      </c>
      <c r="I1570">
        <v>1335.9648437999999</v>
      </c>
      <c r="J1570">
        <v>1334.2542725000001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1009.97714</v>
      </c>
      <c r="B1571" s="1">
        <f>DATE(2013,2,3) + TIME(23,27,4)</f>
        <v>41308.977129629631</v>
      </c>
      <c r="C1571">
        <v>80</v>
      </c>
      <c r="D1571">
        <v>71.977256775000001</v>
      </c>
      <c r="E1571">
        <v>50</v>
      </c>
      <c r="F1571">
        <v>49.973056792999998</v>
      </c>
      <c r="G1571">
        <v>1328.1175536999999</v>
      </c>
      <c r="H1571">
        <v>1326.6431885</v>
      </c>
      <c r="I1571">
        <v>1335.9615478999999</v>
      </c>
      <c r="J1571">
        <v>1334.2540283000001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1013.178661</v>
      </c>
      <c r="B1572" s="1">
        <f>DATE(2013,2,7) + TIME(4,17,16)</f>
        <v>41312.178657407407</v>
      </c>
      <c r="C1572">
        <v>80</v>
      </c>
      <c r="D1572">
        <v>71.688003539999997</v>
      </c>
      <c r="E1572">
        <v>50</v>
      </c>
      <c r="F1572">
        <v>49.973041533999996</v>
      </c>
      <c r="G1572">
        <v>1328.0817870999999</v>
      </c>
      <c r="H1572">
        <v>1326.5965576000001</v>
      </c>
      <c r="I1572">
        <v>1335.9584961</v>
      </c>
      <c r="J1572">
        <v>1334.2537841999999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1016.457825</v>
      </c>
      <c r="B1573" s="1">
        <f>DATE(2013,2,10) + TIME(10,59,16)</f>
        <v>41315.457824074074</v>
      </c>
      <c r="C1573">
        <v>80</v>
      </c>
      <c r="D1573">
        <v>71.383583068999997</v>
      </c>
      <c r="E1573">
        <v>50</v>
      </c>
      <c r="F1573">
        <v>49.973026275999999</v>
      </c>
      <c r="G1573">
        <v>1328.0455322</v>
      </c>
      <c r="H1573">
        <v>1326.5499268000001</v>
      </c>
      <c r="I1573">
        <v>1335.9552002</v>
      </c>
      <c r="J1573">
        <v>1334.2535399999999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1019.854048</v>
      </c>
      <c r="B1574" s="1">
        <f>DATE(2013,2,13) + TIME(20,29,49)</f>
        <v>41318.854039351849</v>
      </c>
      <c r="C1574">
        <v>80</v>
      </c>
      <c r="D1574">
        <v>71.069587708</v>
      </c>
      <c r="E1574">
        <v>50</v>
      </c>
      <c r="F1574">
        <v>49.973011016999997</v>
      </c>
      <c r="G1574">
        <v>1328.0091553</v>
      </c>
      <c r="H1574">
        <v>1326.5029297000001</v>
      </c>
      <c r="I1574">
        <v>1335.9520264</v>
      </c>
      <c r="J1574">
        <v>1334.2532959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1023.409833</v>
      </c>
      <c r="B1575" s="1">
        <f>DATE(2013,2,17) + TIME(9,50,9)</f>
        <v>41322.409826388888</v>
      </c>
      <c r="C1575">
        <v>80</v>
      </c>
      <c r="D1575">
        <v>70.744056701999995</v>
      </c>
      <c r="E1575">
        <v>50</v>
      </c>
      <c r="F1575">
        <v>49.972995758000003</v>
      </c>
      <c r="G1575">
        <v>1327.9726562000001</v>
      </c>
      <c r="H1575">
        <v>1326.4558105000001</v>
      </c>
      <c r="I1575">
        <v>1335.9486084</v>
      </c>
      <c r="J1575">
        <v>1334.2530518000001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1027.0958169999999</v>
      </c>
      <c r="B1576" s="1">
        <f>DATE(2013,2,21) + TIME(2,17,58)</f>
        <v>41326.095810185187</v>
      </c>
      <c r="C1576">
        <v>80</v>
      </c>
      <c r="D1576">
        <v>70.404747009000005</v>
      </c>
      <c r="E1576">
        <v>50</v>
      </c>
      <c r="F1576">
        <v>49.972980499000002</v>
      </c>
      <c r="G1576">
        <v>1327.9359131000001</v>
      </c>
      <c r="H1576">
        <v>1326.4084473</v>
      </c>
      <c r="I1576">
        <v>1335.9451904</v>
      </c>
      <c r="J1576">
        <v>1334.2528076000001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1030.946424</v>
      </c>
      <c r="B1577" s="1">
        <f>DATE(2013,2,24) + TIME(22,42,51)</f>
        <v>41329.946423611109</v>
      </c>
      <c r="C1577">
        <v>80</v>
      </c>
      <c r="D1577">
        <v>70.052368164000001</v>
      </c>
      <c r="E1577">
        <v>50</v>
      </c>
      <c r="F1577">
        <v>49.972965240000001</v>
      </c>
      <c r="G1577">
        <v>1327.8988036999999</v>
      </c>
      <c r="H1577">
        <v>1326.3607178</v>
      </c>
      <c r="I1577">
        <v>1335.9417725000001</v>
      </c>
      <c r="J1577">
        <v>1334.2525635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1032.9732120000001</v>
      </c>
      <c r="B1578" s="1">
        <f>DATE(2013,2,26) + TIME(23,21,25)</f>
        <v>41331.97320601852</v>
      </c>
      <c r="C1578">
        <v>80</v>
      </c>
      <c r="D1578">
        <v>69.734298706000004</v>
      </c>
      <c r="E1578">
        <v>50</v>
      </c>
      <c r="F1578">
        <v>49.972942351999997</v>
      </c>
      <c r="G1578">
        <v>1327.8615723</v>
      </c>
      <c r="H1578">
        <v>1326.3137207</v>
      </c>
      <c r="I1578">
        <v>1335.9382324000001</v>
      </c>
      <c r="J1578">
        <v>1334.2521973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1035</v>
      </c>
      <c r="B1579" s="1">
        <f>DATE(2013,3,1) + TIME(0,0,0)</f>
        <v>41334</v>
      </c>
      <c r="C1579">
        <v>80</v>
      </c>
      <c r="D1579">
        <v>69.506065368999998</v>
      </c>
      <c r="E1579">
        <v>50</v>
      </c>
      <c r="F1579">
        <v>49.972927093999999</v>
      </c>
      <c r="G1579">
        <v>1327.8369141000001</v>
      </c>
      <c r="H1579">
        <v>1326.2783202999999</v>
      </c>
      <c r="I1579">
        <v>1335.9364014</v>
      </c>
      <c r="J1579">
        <v>1334.2520752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1038.9790740000001</v>
      </c>
      <c r="B1580" s="1">
        <f>DATE(2013,3,4) + TIME(23,29,51)</f>
        <v>41337.979062500002</v>
      </c>
      <c r="C1580">
        <v>80</v>
      </c>
      <c r="D1580">
        <v>69.270355225000003</v>
      </c>
      <c r="E1580">
        <v>50</v>
      </c>
      <c r="F1580">
        <v>49.972934723000002</v>
      </c>
      <c r="G1580">
        <v>1327.8162841999999</v>
      </c>
      <c r="H1580">
        <v>1326.2498779</v>
      </c>
      <c r="I1580">
        <v>1335.9345702999999</v>
      </c>
      <c r="J1580">
        <v>1334.2519531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1043.0442579999999</v>
      </c>
      <c r="B1581" s="1">
        <f>DATE(2013,3,9) + TIME(1,3,43)</f>
        <v>41342.044247685182</v>
      </c>
      <c r="C1581">
        <v>80</v>
      </c>
      <c r="D1581">
        <v>68.911430358999993</v>
      </c>
      <c r="E1581">
        <v>50</v>
      </c>
      <c r="F1581">
        <v>49.972927093999999</v>
      </c>
      <c r="G1581">
        <v>1327.7855225000001</v>
      </c>
      <c r="H1581">
        <v>1326.213501</v>
      </c>
      <c r="I1581">
        <v>1335.9310303</v>
      </c>
      <c r="J1581">
        <v>1334.2515868999999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1047.22487</v>
      </c>
      <c r="B1582" s="1">
        <f>DATE(2013,3,13) + TIME(5,23,48)</f>
        <v>41346.224861111114</v>
      </c>
      <c r="C1582">
        <v>80</v>
      </c>
      <c r="D1582">
        <v>68.527763367000006</v>
      </c>
      <c r="E1582">
        <v>50</v>
      </c>
      <c r="F1582">
        <v>49.972915649000001</v>
      </c>
      <c r="G1582">
        <v>1327.7507324000001</v>
      </c>
      <c r="H1582">
        <v>1326.1689452999999</v>
      </c>
      <c r="I1582">
        <v>1335.9276123</v>
      </c>
      <c r="J1582">
        <v>1334.2512207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1051.610533</v>
      </c>
      <c r="B1583" s="1">
        <f>DATE(2013,3,17) + TIME(14,39,10)</f>
        <v>41350.610532407409</v>
      </c>
      <c r="C1583">
        <v>80</v>
      </c>
      <c r="D1583">
        <v>68.129447936999995</v>
      </c>
      <c r="E1583">
        <v>50</v>
      </c>
      <c r="F1583">
        <v>49.972904204999999</v>
      </c>
      <c r="G1583">
        <v>1327.7154541</v>
      </c>
      <c r="H1583">
        <v>1326.1235352000001</v>
      </c>
      <c r="I1583">
        <v>1335.9239502</v>
      </c>
      <c r="J1583">
        <v>1334.2508545000001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1056.252199</v>
      </c>
      <c r="B1584" s="1">
        <f>DATE(2013,3,22) + TIME(6,3,10)</f>
        <v>41355.252199074072</v>
      </c>
      <c r="C1584">
        <v>80</v>
      </c>
      <c r="D1584">
        <v>67.712333678999997</v>
      </c>
      <c r="E1584">
        <v>50</v>
      </c>
      <c r="F1584">
        <v>49.972896575999997</v>
      </c>
      <c r="G1584">
        <v>1327.6799315999999</v>
      </c>
      <c r="H1584">
        <v>1326.0777588000001</v>
      </c>
      <c r="I1584">
        <v>1335.9202881000001</v>
      </c>
      <c r="J1584">
        <v>1334.2503661999999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1061.1249769999999</v>
      </c>
      <c r="B1585" s="1">
        <f>DATE(2013,3,27) + TIME(2,59,58)</f>
        <v>41360.124976851854</v>
      </c>
      <c r="C1585">
        <v>80</v>
      </c>
      <c r="D1585">
        <v>67.272369385000005</v>
      </c>
      <c r="E1585">
        <v>50</v>
      </c>
      <c r="F1585">
        <v>49.972892760999997</v>
      </c>
      <c r="G1585">
        <v>1327.6439209</v>
      </c>
      <c r="H1585">
        <v>1326.0313721</v>
      </c>
      <c r="I1585">
        <v>1335.9165039</v>
      </c>
      <c r="J1585">
        <v>1334.2498779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1066</v>
      </c>
      <c r="B1586" s="1">
        <f>DATE(2013,4,1) + TIME(0,0,0)</f>
        <v>41365</v>
      </c>
      <c r="C1586">
        <v>80</v>
      </c>
      <c r="D1586">
        <v>66.813972473000007</v>
      </c>
      <c r="E1586">
        <v>50</v>
      </c>
      <c r="F1586">
        <v>49.972885132000002</v>
      </c>
      <c r="G1586">
        <v>1327.6074219</v>
      </c>
      <c r="H1586">
        <v>1325.984375</v>
      </c>
      <c r="I1586">
        <v>1335.9124756000001</v>
      </c>
      <c r="J1586">
        <v>1334.2493896000001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1070.9570839999999</v>
      </c>
      <c r="B1587" s="1">
        <f>DATE(2013,4,5) + TIME(22,58,12)</f>
        <v>41369.957083333335</v>
      </c>
      <c r="C1587">
        <v>80</v>
      </c>
      <c r="D1587">
        <v>66.351684570000003</v>
      </c>
      <c r="E1587">
        <v>50</v>
      </c>
      <c r="F1587">
        <v>49.972877502000003</v>
      </c>
      <c r="G1587">
        <v>1327.5718993999999</v>
      </c>
      <c r="H1587">
        <v>1325.9381103999999</v>
      </c>
      <c r="I1587">
        <v>1335.9085693</v>
      </c>
      <c r="J1587">
        <v>1334.2487793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1076.087354</v>
      </c>
      <c r="B1588" s="1">
        <f>DATE(2013,4,11) + TIME(2,5,47)</f>
        <v>41375.08734953704</v>
      </c>
      <c r="C1588">
        <v>80</v>
      </c>
      <c r="D1588">
        <v>65.881095885999997</v>
      </c>
      <c r="E1588">
        <v>50</v>
      </c>
      <c r="F1588">
        <v>49.972873688</v>
      </c>
      <c r="G1588">
        <v>1327.5374756000001</v>
      </c>
      <c r="H1588">
        <v>1325.8931885</v>
      </c>
      <c r="I1588">
        <v>1335.9047852000001</v>
      </c>
      <c r="J1588">
        <v>1334.2481689000001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1081.3851</v>
      </c>
      <c r="B1589" s="1">
        <f>DATE(2013,4,16) + TIME(9,14,32)</f>
        <v>41380.385092592594</v>
      </c>
      <c r="C1589">
        <v>80</v>
      </c>
      <c r="D1589">
        <v>65.396087645999998</v>
      </c>
      <c r="E1589">
        <v>50</v>
      </c>
      <c r="F1589">
        <v>49.972873688</v>
      </c>
      <c r="G1589">
        <v>1327.5035399999999</v>
      </c>
      <c r="H1589">
        <v>1325.8492432</v>
      </c>
      <c r="I1589">
        <v>1335.9007568</v>
      </c>
      <c r="J1589">
        <v>1334.2474365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1086.844137</v>
      </c>
      <c r="B1590" s="1">
        <f>DATE(2013,4,21) + TIME(20,15,33)</f>
        <v>41385.844131944446</v>
      </c>
      <c r="C1590">
        <v>80</v>
      </c>
      <c r="D1590">
        <v>64.896270752000007</v>
      </c>
      <c r="E1590">
        <v>50</v>
      </c>
      <c r="F1590">
        <v>49.972873688</v>
      </c>
      <c r="G1590">
        <v>1327.4702147999999</v>
      </c>
      <c r="H1590">
        <v>1325.8059082</v>
      </c>
      <c r="I1590">
        <v>1335.8967285000001</v>
      </c>
      <c r="J1590">
        <v>1334.2467041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1092.4947480000001</v>
      </c>
      <c r="B1591" s="1">
        <f>DATE(2013,4,27) + TIME(11,52,26)</f>
        <v>41391.494745370372</v>
      </c>
      <c r="C1591">
        <v>80</v>
      </c>
      <c r="D1591">
        <v>64.382057189999998</v>
      </c>
      <c r="E1591">
        <v>50</v>
      </c>
      <c r="F1591">
        <v>49.972873688</v>
      </c>
      <c r="G1591">
        <v>1327.4375</v>
      </c>
      <c r="H1591">
        <v>1325.7634277</v>
      </c>
      <c r="I1591">
        <v>1335.8927002</v>
      </c>
      <c r="J1591">
        <v>1334.2458495999999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1096</v>
      </c>
      <c r="B1592" s="1">
        <f>DATE(2013,5,1) + TIME(0,0,0)</f>
        <v>41395</v>
      </c>
      <c r="C1592">
        <v>80</v>
      </c>
      <c r="D1592">
        <v>63.887996674</v>
      </c>
      <c r="E1592">
        <v>50</v>
      </c>
      <c r="F1592">
        <v>49.972862243999998</v>
      </c>
      <c r="G1592">
        <v>1327.4053954999999</v>
      </c>
      <c r="H1592">
        <v>1325.7222899999999</v>
      </c>
      <c r="I1592">
        <v>1335.8884277</v>
      </c>
      <c r="J1592">
        <v>1334.2448730000001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1096.0000010000001</v>
      </c>
      <c r="B1593" s="1">
        <f>DATE(2013,5,1) + TIME(0,0,0)</f>
        <v>41395</v>
      </c>
      <c r="C1593">
        <v>80</v>
      </c>
      <c r="D1593">
        <v>63.888103485000002</v>
      </c>
      <c r="E1593">
        <v>50</v>
      </c>
      <c r="F1593">
        <v>49.972805022999999</v>
      </c>
      <c r="G1593">
        <v>1329.7238769999999</v>
      </c>
      <c r="H1593">
        <v>1328.0715332</v>
      </c>
      <c r="I1593">
        <v>1333.7947998</v>
      </c>
      <c r="J1593">
        <v>1332.8017577999999</v>
      </c>
      <c r="K1593">
        <v>1650</v>
      </c>
      <c r="L1593">
        <v>0</v>
      </c>
      <c r="M1593">
        <v>0</v>
      </c>
      <c r="N1593">
        <v>1650</v>
      </c>
    </row>
    <row r="1594" spans="1:14" x14ac:dyDescent="0.25">
      <c r="A1594">
        <v>1096.000004</v>
      </c>
      <c r="B1594" s="1">
        <f>DATE(2013,5,1) + TIME(0,0,0)</f>
        <v>41395</v>
      </c>
      <c r="C1594">
        <v>80</v>
      </c>
      <c r="D1594">
        <v>63.888286591000004</v>
      </c>
      <c r="E1594">
        <v>50</v>
      </c>
      <c r="F1594">
        <v>49.972713470000002</v>
      </c>
      <c r="G1594">
        <v>1330.5653076000001</v>
      </c>
      <c r="H1594">
        <v>1328.9981689000001</v>
      </c>
      <c r="I1594">
        <v>1333.0916748</v>
      </c>
      <c r="J1594">
        <v>1332.0985106999999</v>
      </c>
      <c r="K1594">
        <v>1650</v>
      </c>
      <c r="L1594">
        <v>0</v>
      </c>
      <c r="M1594">
        <v>0</v>
      </c>
      <c r="N1594">
        <v>1650</v>
      </c>
    </row>
    <row r="1595" spans="1:14" x14ac:dyDescent="0.25">
      <c r="A1595">
        <v>1096.0000130000001</v>
      </c>
      <c r="B1595" s="1">
        <f>DATE(2013,5,1) + TIME(0,0,1)</f>
        <v>41395.000011574077</v>
      </c>
      <c r="C1595">
        <v>80</v>
      </c>
      <c r="D1595">
        <v>63.888599395999996</v>
      </c>
      <c r="E1595">
        <v>50</v>
      </c>
      <c r="F1595">
        <v>49.972614288000003</v>
      </c>
      <c r="G1595">
        <v>1331.5883789</v>
      </c>
      <c r="H1595">
        <v>1330.0002440999999</v>
      </c>
      <c r="I1595">
        <v>1332.2941894999999</v>
      </c>
      <c r="J1595">
        <v>1331.3007812000001</v>
      </c>
      <c r="K1595">
        <v>1650</v>
      </c>
      <c r="L1595">
        <v>0</v>
      </c>
      <c r="M1595">
        <v>0</v>
      </c>
      <c r="N1595">
        <v>1650</v>
      </c>
    </row>
    <row r="1596" spans="1:14" x14ac:dyDescent="0.25">
      <c r="A1596">
        <v>1096.0000399999999</v>
      </c>
      <c r="B1596" s="1">
        <f>DATE(2013,5,1) + TIME(0,0,3)</f>
        <v>41395.000034722223</v>
      </c>
      <c r="C1596">
        <v>80</v>
      </c>
      <c r="D1596">
        <v>63.889289855999998</v>
      </c>
      <c r="E1596">
        <v>50</v>
      </c>
      <c r="F1596">
        <v>49.972515106000003</v>
      </c>
      <c r="G1596">
        <v>1332.6282959</v>
      </c>
      <c r="H1596">
        <v>1330.9929199000001</v>
      </c>
      <c r="I1596">
        <v>1331.5093993999999</v>
      </c>
      <c r="J1596">
        <v>1330.5115966999999</v>
      </c>
      <c r="K1596">
        <v>1650</v>
      </c>
      <c r="L1596">
        <v>0</v>
      </c>
      <c r="M1596">
        <v>0</v>
      </c>
      <c r="N1596">
        <v>1650</v>
      </c>
    </row>
    <row r="1597" spans="1:14" x14ac:dyDescent="0.25">
      <c r="A1597">
        <v>1096.000121</v>
      </c>
      <c r="B1597" s="1">
        <f>DATE(2013,5,1) + TIME(0,0,10)</f>
        <v>41395.000115740739</v>
      </c>
      <c r="C1597">
        <v>80</v>
      </c>
      <c r="D1597">
        <v>63.891124724999997</v>
      </c>
      <c r="E1597">
        <v>50</v>
      </c>
      <c r="F1597">
        <v>49.972408295000001</v>
      </c>
      <c r="G1597">
        <v>1333.6459961</v>
      </c>
      <c r="H1597">
        <v>1331.9666748</v>
      </c>
      <c r="I1597">
        <v>1330.7268065999999</v>
      </c>
      <c r="J1597">
        <v>1329.7126464999999</v>
      </c>
      <c r="K1597">
        <v>1650</v>
      </c>
      <c r="L1597">
        <v>0</v>
      </c>
      <c r="M1597">
        <v>0</v>
      </c>
      <c r="N1597">
        <v>1650</v>
      </c>
    </row>
    <row r="1598" spans="1:14" x14ac:dyDescent="0.25">
      <c r="A1598">
        <v>1096.000364</v>
      </c>
      <c r="B1598" s="1">
        <f>DATE(2013,5,1) + TIME(0,0,31)</f>
        <v>41395.000358796293</v>
      </c>
      <c r="C1598">
        <v>80</v>
      </c>
      <c r="D1598">
        <v>63.896503447999997</v>
      </c>
      <c r="E1598">
        <v>50</v>
      </c>
      <c r="F1598">
        <v>49.972290039000001</v>
      </c>
      <c r="G1598">
        <v>1334.6210937999999</v>
      </c>
      <c r="H1598">
        <v>1332.8974608999999</v>
      </c>
      <c r="I1598">
        <v>1329.9337158000001</v>
      </c>
      <c r="J1598">
        <v>1328.885376</v>
      </c>
      <c r="K1598">
        <v>1650</v>
      </c>
      <c r="L1598">
        <v>0</v>
      </c>
      <c r="M1598">
        <v>0</v>
      </c>
      <c r="N1598">
        <v>1650</v>
      </c>
    </row>
    <row r="1599" spans="1:14" x14ac:dyDescent="0.25">
      <c r="A1599">
        <v>1096.0010930000001</v>
      </c>
      <c r="B1599" s="1">
        <f>DATE(2013,5,1) + TIME(0,1,34)</f>
        <v>41395.001087962963</v>
      </c>
      <c r="C1599">
        <v>80</v>
      </c>
      <c r="D1599">
        <v>63.912723540999998</v>
      </c>
      <c r="E1599">
        <v>50</v>
      </c>
      <c r="F1599">
        <v>49.972137451000002</v>
      </c>
      <c r="G1599">
        <v>1335.4333495999999</v>
      </c>
      <c r="H1599">
        <v>1333.6699219</v>
      </c>
      <c r="I1599">
        <v>1329.2103271000001</v>
      </c>
      <c r="J1599">
        <v>1328.1246338000001</v>
      </c>
      <c r="K1599">
        <v>1650</v>
      </c>
      <c r="L1599">
        <v>0</v>
      </c>
      <c r="M1599">
        <v>0</v>
      </c>
      <c r="N1599">
        <v>1650</v>
      </c>
    </row>
    <row r="1600" spans="1:14" x14ac:dyDescent="0.25">
      <c r="A1600">
        <v>1096.0032799999999</v>
      </c>
      <c r="B1600" s="1">
        <f>DATE(2013,5,1) + TIME(0,4,43)</f>
        <v>41395.003275462965</v>
      </c>
      <c r="C1600">
        <v>80</v>
      </c>
      <c r="D1600">
        <v>63.961605071999998</v>
      </c>
      <c r="E1600">
        <v>50</v>
      </c>
      <c r="F1600">
        <v>49.971893311000002</v>
      </c>
      <c r="G1600">
        <v>1335.9511719</v>
      </c>
      <c r="H1600">
        <v>1334.1661377</v>
      </c>
      <c r="I1600">
        <v>1328.6916504000001</v>
      </c>
      <c r="J1600">
        <v>1327.5861815999999</v>
      </c>
      <c r="K1600">
        <v>1650</v>
      </c>
      <c r="L1600">
        <v>0</v>
      </c>
      <c r="M1600">
        <v>0</v>
      </c>
      <c r="N1600">
        <v>1650</v>
      </c>
    </row>
    <row r="1601" spans="1:14" x14ac:dyDescent="0.25">
      <c r="A1601">
        <v>1096.0098410000001</v>
      </c>
      <c r="B1601" s="1">
        <f>DATE(2013,5,1) + TIME(0,14,10)</f>
        <v>41395.009837962964</v>
      </c>
      <c r="C1601">
        <v>80</v>
      </c>
      <c r="D1601">
        <v>64.107269286999994</v>
      </c>
      <c r="E1601">
        <v>50</v>
      </c>
      <c r="F1601">
        <v>49.971321105999998</v>
      </c>
      <c r="G1601">
        <v>1336.1867675999999</v>
      </c>
      <c r="H1601">
        <v>1334.3990478999999</v>
      </c>
      <c r="I1601">
        <v>1328.4388428</v>
      </c>
      <c r="J1601">
        <v>1327.3276367000001</v>
      </c>
      <c r="K1601">
        <v>1650</v>
      </c>
      <c r="L1601">
        <v>0</v>
      </c>
      <c r="M1601">
        <v>0</v>
      </c>
      <c r="N1601">
        <v>1650</v>
      </c>
    </row>
    <row r="1602" spans="1:14" x14ac:dyDescent="0.25">
      <c r="A1602">
        <v>1096.029524</v>
      </c>
      <c r="B1602" s="1">
        <f>DATE(2013,5,1) + TIME(0,42,30)</f>
        <v>41395.029513888891</v>
      </c>
      <c r="C1602">
        <v>80</v>
      </c>
      <c r="D1602">
        <v>64.532318114999995</v>
      </c>
      <c r="E1602">
        <v>50</v>
      </c>
      <c r="F1602">
        <v>49.969711304</v>
      </c>
      <c r="G1602">
        <v>1336.2402344</v>
      </c>
      <c r="H1602">
        <v>1334.4633789</v>
      </c>
      <c r="I1602">
        <v>1328.3791504000001</v>
      </c>
      <c r="J1602">
        <v>1327.2669678</v>
      </c>
      <c r="K1602">
        <v>1650</v>
      </c>
      <c r="L1602">
        <v>0</v>
      </c>
      <c r="M1602">
        <v>0</v>
      </c>
      <c r="N1602">
        <v>1650</v>
      </c>
    </row>
    <row r="1603" spans="1:14" x14ac:dyDescent="0.25">
      <c r="A1603">
        <v>1096.0574329999999</v>
      </c>
      <c r="B1603" s="1">
        <f>DATE(2013,5,1) + TIME(1,22,42)</f>
        <v>41395.057430555556</v>
      </c>
      <c r="C1603">
        <v>80</v>
      </c>
      <c r="D1603">
        <v>65.114685058999996</v>
      </c>
      <c r="E1603">
        <v>50</v>
      </c>
      <c r="F1603">
        <v>49.967460631999998</v>
      </c>
      <c r="G1603">
        <v>1336.2480469</v>
      </c>
      <c r="H1603">
        <v>1334.4780272999999</v>
      </c>
      <c r="I1603">
        <v>1328.3753661999999</v>
      </c>
      <c r="J1603">
        <v>1327.2629394999999</v>
      </c>
      <c r="K1603">
        <v>1650</v>
      </c>
      <c r="L1603">
        <v>0</v>
      </c>
      <c r="M1603">
        <v>0</v>
      </c>
      <c r="N1603">
        <v>1650</v>
      </c>
    </row>
    <row r="1604" spans="1:14" x14ac:dyDescent="0.25">
      <c r="A1604">
        <v>1096.0858860000001</v>
      </c>
      <c r="B1604" s="1">
        <f>DATE(2013,5,1) + TIME(2,3,40)</f>
        <v>41395.085879629631</v>
      </c>
      <c r="C1604">
        <v>80</v>
      </c>
      <c r="D1604">
        <v>65.690315247000001</v>
      </c>
      <c r="E1604">
        <v>50</v>
      </c>
      <c r="F1604">
        <v>49.965179442999997</v>
      </c>
      <c r="G1604">
        <v>1336.2646483999999</v>
      </c>
      <c r="H1604">
        <v>1334.4942627</v>
      </c>
      <c r="I1604">
        <v>1328.3754882999999</v>
      </c>
      <c r="J1604">
        <v>1327.2629394999999</v>
      </c>
      <c r="K1604">
        <v>1650</v>
      </c>
      <c r="L1604">
        <v>0</v>
      </c>
      <c r="M1604">
        <v>0</v>
      </c>
      <c r="N1604">
        <v>1650</v>
      </c>
    </row>
    <row r="1605" spans="1:14" x14ac:dyDescent="0.25">
      <c r="A1605">
        <v>1096.1149330000001</v>
      </c>
      <c r="B1605" s="1">
        <f>DATE(2013,5,1) + TIME(2,45,30)</f>
        <v>41395.114930555559</v>
      </c>
      <c r="C1605">
        <v>80</v>
      </c>
      <c r="D1605">
        <v>66.259506225999999</v>
      </c>
      <c r="E1605">
        <v>50</v>
      </c>
      <c r="F1605">
        <v>49.962867737000003</v>
      </c>
      <c r="G1605">
        <v>1336.2823486</v>
      </c>
      <c r="H1605">
        <v>1334.5104980000001</v>
      </c>
      <c r="I1605">
        <v>1328.3756103999999</v>
      </c>
      <c r="J1605">
        <v>1327.2630615</v>
      </c>
      <c r="K1605">
        <v>1650</v>
      </c>
      <c r="L1605">
        <v>0</v>
      </c>
      <c r="M1605">
        <v>0</v>
      </c>
      <c r="N1605">
        <v>1650</v>
      </c>
    </row>
    <row r="1606" spans="1:14" x14ac:dyDescent="0.25">
      <c r="A1606">
        <v>1096.1446020000001</v>
      </c>
      <c r="B1606" s="1">
        <f>DATE(2013,5,1) + TIME(3,28,13)</f>
        <v>41395.144594907404</v>
      </c>
      <c r="C1606">
        <v>80</v>
      </c>
      <c r="D1606">
        <v>66.822097778</v>
      </c>
      <c r="E1606">
        <v>50</v>
      </c>
      <c r="F1606">
        <v>49.960521698000001</v>
      </c>
      <c r="G1606">
        <v>1336.3018798999999</v>
      </c>
      <c r="H1606">
        <v>1334.5277100000001</v>
      </c>
      <c r="I1606">
        <v>1328.3757324000001</v>
      </c>
      <c r="J1606">
        <v>1327.2629394999999</v>
      </c>
      <c r="K1606">
        <v>1650</v>
      </c>
      <c r="L1606">
        <v>0</v>
      </c>
      <c r="M1606">
        <v>0</v>
      </c>
      <c r="N1606">
        <v>1650</v>
      </c>
    </row>
    <row r="1607" spans="1:14" x14ac:dyDescent="0.25">
      <c r="A1607">
        <v>1096.174923</v>
      </c>
      <c r="B1607" s="1">
        <f>DATE(2013,5,1) + TIME(4,11,53)</f>
        <v>41395.17491898148</v>
      </c>
      <c r="C1607">
        <v>80</v>
      </c>
      <c r="D1607">
        <v>67.377922057999996</v>
      </c>
      <c r="E1607">
        <v>50</v>
      </c>
      <c r="F1607">
        <v>49.958137512</v>
      </c>
      <c r="G1607">
        <v>1336.3234863</v>
      </c>
      <c r="H1607">
        <v>1334.5461425999999</v>
      </c>
      <c r="I1607">
        <v>1328.3757324000001</v>
      </c>
      <c r="J1607">
        <v>1327.2628173999999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1096.205925</v>
      </c>
      <c r="B1608" s="1">
        <f>DATE(2013,5,1) + TIME(4,56,31)</f>
        <v>41395.205914351849</v>
      </c>
      <c r="C1608">
        <v>80</v>
      </c>
      <c r="D1608">
        <v>67.926742554</v>
      </c>
      <c r="E1608">
        <v>50</v>
      </c>
      <c r="F1608">
        <v>49.955715179000002</v>
      </c>
      <c r="G1608">
        <v>1336.3468018000001</v>
      </c>
      <c r="H1608">
        <v>1334.5656738</v>
      </c>
      <c r="I1608">
        <v>1328.3757324000001</v>
      </c>
      <c r="J1608">
        <v>1327.2626952999999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1096.2376429999999</v>
      </c>
      <c r="B1609" s="1">
        <f>DATE(2013,5,1) + TIME(5,42,12)</f>
        <v>41395.237638888888</v>
      </c>
      <c r="C1609">
        <v>80</v>
      </c>
      <c r="D1609">
        <v>68.468330382999994</v>
      </c>
      <c r="E1609">
        <v>50</v>
      </c>
      <c r="F1609">
        <v>49.953258513999998</v>
      </c>
      <c r="G1609">
        <v>1336.3720702999999</v>
      </c>
      <c r="H1609">
        <v>1334.5863036999999</v>
      </c>
      <c r="I1609">
        <v>1328.3757324000001</v>
      </c>
      <c r="J1609">
        <v>1327.2625731999999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1096.2701099999999</v>
      </c>
      <c r="B1610" s="1">
        <f>DATE(2013,5,1) + TIME(6,28,57)</f>
        <v>41395.270104166666</v>
      </c>
      <c r="C1610">
        <v>80</v>
      </c>
      <c r="D1610">
        <v>69.002372742000006</v>
      </c>
      <c r="E1610">
        <v>50</v>
      </c>
      <c r="F1610">
        <v>49.950756073000001</v>
      </c>
      <c r="G1610">
        <v>1336.3990478999999</v>
      </c>
      <c r="H1610">
        <v>1334.6080322</v>
      </c>
      <c r="I1610">
        <v>1328.3757324000001</v>
      </c>
      <c r="J1610">
        <v>1327.2623291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1096.303363</v>
      </c>
      <c r="B1611" s="1">
        <f>DATE(2013,5,1) + TIME(7,16,50)</f>
        <v>41395.303356481483</v>
      </c>
      <c r="C1611">
        <v>80</v>
      </c>
      <c r="D1611">
        <v>69.528541564999998</v>
      </c>
      <c r="E1611">
        <v>50</v>
      </c>
      <c r="F1611">
        <v>49.948211669999999</v>
      </c>
      <c r="G1611">
        <v>1336.4276123</v>
      </c>
      <c r="H1611">
        <v>1334.6306152</v>
      </c>
      <c r="I1611">
        <v>1328.3757324000001</v>
      </c>
      <c r="J1611">
        <v>1327.262207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1096.3374429999999</v>
      </c>
      <c r="B1612" s="1">
        <f>DATE(2013,5,1) + TIME(8,5,55)</f>
        <v>41395.337442129632</v>
      </c>
      <c r="C1612">
        <v>80</v>
      </c>
      <c r="D1612">
        <v>70.046440125000004</v>
      </c>
      <c r="E1612">
        <v>50</v>
      </c>
      <c r="F1612">
        <v>49.945625305</v>
      </c>
      <c r="G1612">
        <v>1336.4578856999999</v>
      </c>
      <c r="H1612">
        <v>1334.6541748</v>
      </c>
      <c r="I1612">
        <v>1328.3757324000001</v>
      </c>
      <c r="J1612">
        <v>1327.2619629000001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1096.372382</v>
      </c>
      <c r="B1613" s="1">
        <f>DATE(2013,5,1) + TIME(8,56,13)</f>
        <v>41395.372372685182</v>
      </c>
      <c r="C1613">
        <v>80</v>
      </c>
      <c r="D1613">
        <v>70.555267334000007</v>
      </c>
      <c r="E1613">
        <v>50</v>
      </c>
      <c r="F1613">
        <v>49.942989349000001</v>
      </c>
      <c r="G1613">
        <v>1336.489624</v>
      </c>
      <c r="H1613">
        <v>1334.6787108999999</v>
      </c>
      <c r="I1613">
        <v>1328.3757324000001</v>
      </c>
      <c r="J1613">
        <v>1327.2617187999999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1096.408232</v>
      </c>
      <c r="B1614" s="1">
        <f>DATE(2013,5,1) + TIME(9,47,51)</f>
        <v>41395.408229166664</v>
      </c>
      <c r="C1614">
        <v>80</v>
      </c>
      <c r="D1614">
        <v>71.055015564000001</v>
      </c>
      <c r="E1614">
        <v>50</v>
      </c>
      <c r="F1614">
        <v>49.940303802000003</v>
      </c>
      <c r="G1614">
        <v>1336.5228271000001</v>
      </c>
      <c r="H1614">
        <v>1334.7039795000001</v>
      </c>
      <c r="I1614">
        <v>1328.3756103999999</v>
      </c>
      <c r="J1614">
        <v>1327.2614745999999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1096.4450420000001</v>
      </c>
      <c r="B1615" s="1">
        <f>DATE(2013,5,1) + TIME(10,40,51)</f>
        <v>41395.445034722223</v>
      </c>
      <c r="C1615">
        <v>80</v>
      </c>
      <c r="D1615">
        <v>71.545242310000006</v>
      </c>
      <c r="E1615">
        <v>50</v>
      </c>
      <c r="F1615">
        <v>49.937564850000001</v>
      </c>
      <c r="G1615">
        <v>1336.5573730000001</v>
      </c>
      <c r="H1615">
        <v>1334.7301024999999</v>
      </c>
      <c r="I1615">
        <v>1328.3756103999999</v>
      </c>
      <c r="J1615">
        <v>1327.2612305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1096.4828620000001</v>
      </c>
      <c r="B1616" s="1">
        <f>DATE(2013,5,1) + TIME(11,35,19)</f>
        <v>41395.482858796298</v>
      </c>
      <c r="C1616">
        <v>80</v>
      </c>
      <c r="D1616">
        <v>72.025466918999996</v>
      </c>
      <c r="E1616">
        <v>50</v>
      </c>
      <c r="F1616">
        <v>49.934772490999997</v>
      </c>
      <c r="G1616">
        <v>1336.5932617000001</v>
      </c>
      <c r="H1616">
        <v>1334.7569579999999</v>
      </c>
      <c r="I1616">
        <v>1328.3754882999999</v>
      </c>
      <c r="J1616">
        <v>1327.2608643000001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1096.521747</v>
      </c>
      <c r="B1617" s="1">
        <f>DATE(2013,5,1) + TIME(12,31,18)</f>
        <v>41395.521736111114</v>
      </c>
      <c r="C1617">
        <v>80</v>
      </c>
      <c r="D1617">
        <v>72.495193481000001</v>
      </c>
      <c r="E1617">
        <v>50</v>
      </c>
      <c r="F1617">
        <v>49.931922913000001</v>
      </c>
      <c r="G1617">
        <v>1336.630249</v>
      </c>
      <c r="H1617">
        <v>1334.7845459</v>
      </c>
      <c r="I1617">
        <v>1328.3753661999999</v>
      </c>
      <c r="J1617">
        <v>1327.2606201000001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1096.5617580000001</v>
      </c>
      <c r="B1618" s="1">
        <f>DATE(2013,5,1) + TIME(13,28,55)</f>
        <v>41395.561747685184</v>
      </c>
      <c r="C1618">
        <v>80</v>
      </c>
      <c r="D1618">
        <v>72.953918457</v>
      </c>
      <c r="E1618">
        <v>50</v>
      </c>
      <c r="F1618">
        <v>49.929016113000003</v>
      </c>
      <c r="G1618">
        <v>1336.668457</v>
      </c>
      <c r="H1618">
        <v>1334.8128661999999</v>
      </c>
      <c r="I1618">
        <v>1328.3752440999999</v>
      </c>
      <c r="J1618">
        <v>1327.2602539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1096.6029579999999</v>
      </c>
      <c r="B1619" s="1">
        <f>DATE(2013,5,1) + TIME(14,28,15)</f>
        <v>41395.602951388886</v>
      </c>
      <c r="C1619">
        <v>80</v>
      </c>
      <c r="D1619">
        <v>73.401115417</v>
      </c>
      <c r="E1619">
        <v>50</v>
      </c>
      <c r="F1619">
        <v>49.926040649000001</v>
      </c>
      <c r="G1619">
        <v>1336.7076416</v>
      </c>
      <c r="H1619">
        <v>1334.8416748</v>
      </c>
      <c r="I1619">
        <v>1328.3751221</v>
      </c>
      <c r="J1619">
        <v>1327.2598877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1096.645417</v>
      </c>
      <c r="B1620" s="1">
        <f>DATE(2013,5,1) + TIME(15,29,24)</f>
        <v>41395.645416666666</v>
      </c>
      <c r="C1620">
        <v>80</v>
      </c>
      <c r="D1620">
        <v>73.836250304999993</v>
      </c>
      <c r="E1620">
        <v>50</v>
      </c>
      <c r="F1620">
        <v>49.923000336000001</v>
      </c>
      <c r="G1620">
        <v>1336.7476807</v>
      </c>
      <c r="H1620">
        <v>1334.8709716999999</v>
      </c>
      <c r="I1620">
        <v>1328.375</v>
      </c>
      <c r="J1620">
        <v>1327.2595214999999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1096.68921</v>
      </c>
      <c r="B1621" s="1">
        <f>DATE(2013,5,1) + TIME(16,32,27)</f>
        <v>41395.689201388886</v>
      </c>
      <c r="C1621">
        <v>80</v>
      </c>
      <c r="D1621">
        <v>74.258796692000004</v>
      </c>
      <c r="E1621">
        <v>50</v>
      </c>
      <c r="F1621">
        <v>49.919887543000002</v>
      </c>
      <c r="G1621">
        <v>1336.7886963000001</v>
      </c>
      <c r="H1621">
        <v>1334.9008789</v>
      </c>
      <c r="I1621">
        <v>1328.3748779</v>
      </c>
      <c r="J1621">
        <v>1327.2591553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1096.7344189999999</v>
      </c>
      <c r="B1622" s="1">
        <f>DATE(2013,5,1) + TIME(17,37,33)</f>
        <v>41395.734409722223</v>
      </c>
      <c r="C1622">
        <v>80</v>
      </c>
      <c r="D1622">
        <v>74.668205260999997</v>
      </c>
      <c r="E1622">
        <v>50</v>
      </c>
      <c r="F1622">
        <v>49.916702270999998</v>
      </c>
      <c r="G1622">
        <v>1336.8304443</v>
      </c>
      <c r="H1622">
        <v>1334.9310303</v>
      </c>
      <c r="I1622">
        <v>1328.3747559000001</v>
      </c>
      <c r="J1622">
        <v>1327.2587891000001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1096.781146</v>
      </c>
      <c r="B1623" s="1">
        <f>DATE(2013,5,1) + TIME(18,44,51)</f>
        <v>41395.781145833331</v>
      </c>
      <c r="C1623">
        <v>80</v>
      </c>
      <c r="D1623">
        <v>75.064033507999994</v>
      </c>
      <c r="E1623">
        <v>50</v>
      </c>
      <c r="F1623">
        <v>49.913433075</v>
      </c>
      <c r="G1623">
        <v>1336.8729248</v>
      </c>
      <c r="H1623">
        <v>1334.9616699000001</v>
      </c>
      <c r="I1623">
        <v>1328.3745117000001</v>
      </c>
      <c r="J1623">
        <v>1327.2583007999999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1096.829487</v>
      </c>
      <c r="B1624" s="1">
        <f>DATE(2013,5,1) + TIME(19,54,27)</f>
        <v>41395.829479166663</v>
      </c>
      <c r="C1624">
        <v>80</v>
      </c>
      <c r="D1624">
        <v>75.445518493999998</v>
      </c>
      <c r="E1624">
        <v>50</v>
      </c>
      <c r="F1624">
        <v>49.910083770999996</v>
      </c>
      <c r="G1624">
        <v>1336.9160156</v>
      </c>
      <c r="H1624">
        <v>1334.9926757999999</v>
      </c>
      <c r="I1624">
        <v>1328.3743896000001</v>
      </c>
      <c r="J1624">
        <v>1327.2579346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1096.879541</v>
      </c>
      <c r="B1625" s="1">
        <f>DATE(2013,5,1) + TIME(21,6,32)</f>
        <v>41395.879537037035</v>
      </c>
      <c r="C1625">
        <v>80</v>
      </c>
      <c r="D1625">
        <v>75.812339782999999</v>
      </c>
      <c r="E1625">
        <v>50</v>
      </c>
      <c r="F1625">
        <v>49.906639099000003</v>
      </c>
      <c r="G1625">
        <v>1336.9594727000001</v>
      </c>
      <c r="H1625">
        <v>1335.0239257999999</v>
      </c>
      <c r="I1625">
        <v>1328.3741454999999</v>
      </c>
      <c r="J1625">
        <v>1327.2574463000001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1096.931425</v>
      </c>
      <c r="B1626" s="1">
        <f>DATE(2013,5,1) + TIME(22,21,15)</f>
        <v>41395.931423611109</v>
      </c>
      <c r="C1626">
        <v>80</v>
      </c>
      <c r="D1626">
        <v>76.164047241000006</v>
      </c>
      <c r="E1626">
        <v>50</v>
      </c>
      <c r="F1626">
        <v>49.903102875000002</v>
      </c>
      <c r="G1626">
        <v>1337.0035399999999</v>
      </c>
      <c r="H1626">
        <v>1335.0552978999999</v>
      </c>
      <c r="I1626">
        <v>1328.3739014</v>
      </c>
      <c r="J1626">
        <v>1327.2569579999999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1096.985271</v>
      </c>
      <c r="B1627" s="1">
        <f>DATE(2013,5,1) + TIME(23,38,47)</f>
        <v>41395.985266203701</v>
      </c>
      <c r="C1627">
        <v>80</v>
      </c>
      <c r="D1627">
        <v>76.500205993999998</v>
      </c>
      <c r="E1627">
        <v>50</v>
      </c>
      <c r="F1627">
        <v>49.899463654000002</v>
      </c>
      <c r="G1627">
        <v>1337.0477295000001</v>
      </c>
      <c r="H1627">
        <v>1335.0867920000001</v>
      </c>
      <c r="I1627">
        <v>1328.3737793</v>
      </c>
      <c r="J1627">
        <v>1327.2564697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1097.0412220000001</v>
      </c>
      <c r="B1628" s="1">
        <f>DATE(2013,5,2) + TIME(0,59,21)</f>
        <v>41396.041215277779</v>
      </c>
      <c r="C1628">
        <v>80</v>
      </c>
      <c r="D1628">
        <v>76.820449828999998</v>
      </c>
      <c r="E1628">
        <v>50</v>
      </c>
      <c r="F1628">
        <v>49.895717621000003</v>
      </c>
      <c r="G1628">
        <v>1337.0922852000001</v>
      </c>
      <c r="H1628">
        <v>1335.1184082</v>
      </c>
      <c r="I1628">
        <v>1328.3735352000001</v>
      </c>
      <c r="J1628">
        <v>1327.2558594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1097.09944</v>
      </c>
      <c r="B1629" s="1">
        <f>DATE(2013,5,2) + TIME(2,23,11)</f>
        <v>41396.099432870367</v>
      </c>
      <c r="C1629">
        <v>80</v>
      </c>
      <c r="D1629">
        <v>77.124450683999996</v>
      </c>
      <c r="E1629">
        <v>50</v>
      </c>
      <c r="F1629">
        <v>49.891849518000001</v>
      </c>
      <c r="G1629">
        <v>1337.1369629000001</v>
      </c>
      <c r="H1629">
        <v>1335.1499022999999</v>
      </c>
      <c r="I1629">
        <v>1328.3731689000001</v>
      </c>
      <c r="J1629">
        <v>1327.2553711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1097.1601049999999</v>
      </c>
      <c r="B1630" s="1">
        <f>DATE(2013,5,2) + TIME(3,50,33)</f>
        <v>41396.160104166665</v>
      </c>
      <c r="C1630">
        <v>80</v>
      </c>
      <c r="D1630">
        <v>77.411918639999996</v>
      </c>
      <c r="E1630">
        <v>50</v>
      </c>
      <c r="F1630">
        <v>49.887863158999998</v>
      </c>
      <c r="G1630">
        <v>1337.1815185999999</v>
      </c>
      <c r="H1630">
        <v>1335.1813964999999</v>
      </c>
      <c r="I1630">
        <v>1328.3729248</v>
      </c>
      <c r="J1630">
        <v>1327.2547606999999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1097.2234189999999</v>
      </c>
      <c r="B1631" s="1">
        <f>DATE(2013,5,2) + TIME(5,21,43)</f>
        <v>41396.223414351851</v>
      </c>
      <c r="C1631">
        <v>80</v>
      </c>
      <c r="D1631">
        <v>77.682655334000003</v>
      </c>
      <c r="E1631">
        <v>50</v>
      </c>
      <c r="F1631">
        <v>49.883735657000003</v>
      </c>
      <c r="G1631">
        <v>1337.2261963000001</v>
      </c>
      <c r="H1631">
        <v>1335.2128906</v>
      </c>
      <c r="I1631">
        <v>1328.3726807</v>
      </c>
      <c r="J1631">
        <v>1327.2541504000001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1097.28961</v>
      </c>
      <c r="B1632" s="1">
        <f>DATE(2013,5,2) + TIME(6,57,2)</f>
        <v>41396.289606481485</v>
      </c>
      <c r="C1632">
        <v>80</v>
      </c>
      <c r="D1632">
        <v>77.936523437999995</v>
      </c>
      <c r="E1632">
        <v>50</v>
      </c>
      <c r="F1632">
        <v>49.879467009999999</v>
      </c>
      <c r="G1632">
        <v>1337.2705077999999</v>
      </c>
      <c r="H1632">
        <v>1335.2440185999999</v>
      </c>
      <c r="I1632">
        <v>1328.3723144999999</v>
      </c>
      <c r="J1632">
        <v>1327.2535399999999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1097.3589480000001</v>
      </c>
      <c r="B1633" s="1">
        <f>DATE(2013,5,2) + TIME(8,36,53)</f>
        <v>41396.358946759261</v>
      </c>
      <c r="C1633">
        <v>80</v>
      </c>
      <c r="D1633">
        <v>78.173477172999995</v>
      </c>
      <c r="E1633">
        <v>50</v>
      </c>
      <c r="F1633">
        <v>49.875034331999998</v>
      </c>
      <c r="G1633">
        <v>1337.3146973</v>
      </c>
      <c r="H1633">
        <v>1335.2750243999999</v>
      </c>
      <c r="I1633">
        <v>1328.3719481999999</v>
      </c>
      <c r="J1633">
        <v>1327.2528076000001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1097.4317639999999</v>
      </c>
      <c r="B1634" s="1">
        <f>DATE(2013,5,2) + TIME(10,21,44)</f>
        <v>41396.431759259256</v>
      </c>
      <c r="C1634">
        <v>80</v>
      </c>
      <c r="D1634">
        <v>78.393615722999996</v>
      </c>
      <c r="E1634">
        <v>50</v>
      </c>
      <c r="F1634">
        <v>49.870429993000002</v>
      </c>
      <c r="G1634">
        <v>1337.3585204999999</v>
      </c>
      <c r="H1634">
        <v>1335.3056641000001</v>
      </c>
      <c r="I1634">
        <v>1328.371582</v>
      </c>
      <c r="J1634">
        <v>1327.2521973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1097.508364</v>
      </c>
      <c r="B1635" s="1">
        <f>DATE(2013,5,2) + TIME(12,12,2)</f>
        <v>41396.508356481485</v>
      </c>
      <c r="C1635">
        <v>80</v>
      </c>
      <c r="D1635">
        <v>78.596900939999998</v>
      </c>
      <c r="E1635">
        <v>50</v>
      </c>
      <c r="F1635">
        <v>49.865638732999997</v>
      </c>
      <c r="G1635">
        <v>1337.4018555</v>
      </c>
      <c r="H1635">
        <v>1335.3359375</v>
      </c>
      <c r="I1635">
        <v>1328.3712158000001</v>
      </c>
      <c r="J1635">
        <v>1327.2514647999999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1097.5891449999999</v>
      </c>
      <c r="B1636" s="1">
        <f>DATE(2013,5,2) + TIME(14,8,22)</f>
        <v>41396.589143518519</v>
      </c>
      <c r="C1636">
        <v>80</v>
      </c>
      <c r="D1636">
        <v>78.783515929999993</v>
      </c>
      <c r="E1636">
        <v>50</v>
      </c>
      <c r="F1636">
        <v>49.860637664999999</v>
      </c>
      <c r="G1636">
        <v>1337.4447021000001</v>
      </c>
      <c r="H1636">
        <v>1335.3658447</v>
      </c>
      <c r="I1636">
        <v>1328.3708495999999</v>
      </c>
      <c r="J1636">
        <v>1327.2506103999999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1097.6742850000001</v>
      </c>
      <c r="B1637" s="1">
        <f>DATE(2013,5,2) + TIME(16,10,58)</f>
        <v>41396.67428240741</v>
      </c>
      <c r="C1637">
        <v>80</v>
      </c>
      <c r="D1637">
        <v>78.953239440999994</v>
      </c>
      <c r="E1637">
        <v>50</v>
      </c>
      <c r="F1637">
        <v>49.855422974</v>
      </c>
      <c r="G1637">
        <v>1337.4868164</v>
      </c>
      <c r="H1637">
        <v>1335.3952637</v>
      </c>
      <c r="I1637">
        <v>1328.3703613</v>
      </c>
      <c r="J1637">
        <v>1327.2497559000001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1097.763911</v>
      </c>
      <c r="B1638" s="1">
        <f>DATE(2013,5,2) + TIME(18,20,1)</f>
        <v>41396.76390046296</v>
      </c>
      <c r="C1638">
        <v>80</v>
      </c>
      <c r="D1638">
        <v>79.106048584000007</v>
      </c>
      <c r="E1638">
        <v>50</v>
      </c>
      <c r="F1638">
        <v>49.849994658999996</v>
      </c>
      <c r="G1638">
        <v>1337.5281981999999</v>
      </c>
      <c r="H1638">
        <v>1335.4240723</v>
      </c>
      <c r="I1638">
        <v>1328.3698730000001</v>
      </c>
      <c r="J1638">
        <v>1327.2489014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1097.8584229999999</v>
      </c>
      <c r="B1639" s="1">
        <f>DATE(2013,5,2) + TIME(20,36,7)</f>
        <v>41396.858414351853</v>
      </c>
      <c r="C1639">
        <v>80</v>
      </c>
      <c r="D1639">
        <v>79.242538452000005</v>
      </c>
      <c r="E1639">
        <v>50</v>
      </c>
      <c r="F1639">
        <v>49.844333648999999</v>
      </c>
      <c r="G1639">
        <v>1337.5683594</v>
      </c>
      <c r="H1639">
        <v>1335.4521483999999</v>
      </c>
      <c r="I1639">
        <v>1328.3693848</v>
      </c>
      <c r="J1639">
        <v>1327.2480469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1097.958277</v>
      </c>
      <c r="B1640" s="1">
        <f>DATE(2013,5,2) + TIME(22,59,55)</f>
        <v>41396.958275462966</v>
      </c>
      <c r="C1640">
        <v>80</v>
      </c>
      <c r="D1640">
        <v>79.363433838000006</v>
      </c>
      <c r="E1640">
        <v>50</v>
      </c>
      <c r="F1640">
        <v>49.838424683</v>
      </c>
      <c r="G1640">
        <v>1337.6071777</v>
      </c>
      <c r="H1640">
        <v>1335.4792480000001</v>
      </c>
      <c r="I1640">
        <v>1328.3687743999999</v>
      </c>
      <c r="J1640">
        <v>1327.2470702999999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1098.0640169999999</v>
      </c>
      <c r="B1641" s="1">
        <f>DATE(2013,5,3) + TIME(1,32,11)</f>
        <v>41397.064016203702</v>
      </c>
      <c r="C1641">
        <v>80</v>
      </c>
      <c r="D1641">
        <v>79.469573975000003</v>
      </c>
      <c r="E1641">
        <v>50</v>
      </c>
      <c r="F1641">
        <v>49.832237243999998</v>
      </c>
      <c r="G1641">
        <v>1337.6446533000001</v>
      </c>
      <c r="H1641">
        <v>1335.5054932</v>
      </c>
      <c r="I1641">
        <v>1328.3681641000001</v>
      </c>
      <c r="J1641">
        <v>1327.2459716999999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1098.1712190000001</v>
      </c>
      <c r="B1642" s="1">
        <f>DATE(2013,5,3) + TIME(4,6,33)</f>
        <v>41397.171215277776</v>
      </c>
      <c r="C1642">
        <v>80</v>
      </c>
      <c r="D1642">
        <v>79.558471679999997</v>
      </c>
      <c r="E1642">
        <v>50</v>
      </c>
      <c r="F1642">
        <v>49.826023102000001</v>
      </c>
      <c r="G1642">
        <v>1337.6810303</v>
      </c>
      <c r="H1642">
        <v>1335.5308838000001</v>
      </c>
      <c r="I1642">
        <v>1328.3674315999999</v>
      </c>
      <c r="J1642">
        <v>1327.2448730000001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1098.2791420000001</v>
      </c>
      <c r="B1643" s="1">
        <f>DATE(2013,5,3) + TIME(6,41,57)</f>
        <v>41397.279131944444</v>
      </c>
      <c r="C1643">
        <v>80</v>
      </c>
      <c r="D1643">
        <v>79.632202148000005</v>
      </c>
      <c r="E1643">
        <v>50</v>
      </c>
      <c r="F1643">
        <v>49.819812775000003</v>
      </c>
      <c r="G1643">
        <v>1337.7142334</v>
      </c>
      <c r="H1643">
        <v>1335.5540771000001</v>
      </c>
      <c r="I1643">
        <v>1328.3668213000001</v>
      </c>
      <c r="J1643">
        <v>1327.2437743999999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1098.388183</v>
      </c>
      <c r="B1644" s="1">
        <f>DATE(2013,5,3) + TIME(9,18,58)</f>
        <v>41397.388171296298</v>
      </c>
      <c r="C1644">
        <v>80</v>
      </c>
      <c r="D1644">
        <v>79.693382263000004</v>
      </c>
      <c r="E1644">
        <v>50</v>
      </c>
      <c r="F1644">
        <v>49.813591002999999</v>
      </c>
      <c r="G1644">
        <v>1337.7416992000001</v>
      </c>
      <c r="H1644">
        <v>1335.5734863</v>
      </c>
      <c r="I1644">
        <v>1328.3660889</v>
      </c>
      <c r="J1644">
        <v>1327.2426757999999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1098.498765</v>
      </c>
      <c r="B1645" s="1">
        <f>DATE(2013,5,3) + TIME(11,58,13)</f>
        <v>41397.498761574076</v>
      </c>
      <c r="C1645">
        <v>80</v>
      </c>
      <c r="D1645">
        <v>79.744140625</v>
      </c>
      <c r="E1645">
        <v>50</v>
      </c>
      <c r="F1645">
        <v>49.807334900000001</v>
      </c>
      <c r="G1645">
        <v>1337.7658690999999</v>
      </c>
      <c r="H1645">
        <v>1335.5908202999999</v>
      </c>
      <c r="I1645">
        <v>1328.3653564000001</v>
      </c>
      <c r="J1645">
        <v>1327.2414550999999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1098.6112519999999</v>
      </c>
      <c r="B1646" s="1">
        <f>DATE(2013,5,3) + TIME(14,40,12)</f>
        <v>41397.611250000002</v>
      </c>
      <c r="C1646">
        <v>80</v>
      </c>
      <c r="D1646">
        <v>79.786224364999995</v>
      </c>
      <c r="E1646">
        <v>50</v>
      </c>
      <c r="F1646">
        <v>49.801021575999997</v>
      </c>
      <c r="G1646">
        <v>1337.7879639</v>
      </c>
      <c r="H1646">
        <v>1335.6066894999999</v>
      </c>
      <c r="I1646">
        <v>1328.364624</v>
      </c>
      <c r="J1646">
        <v>1327.2403564000001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1098.7260080000001</v>
      </c>
      <c r="B1647" s="1">
        <f>DATE(2013,5,3) + TIME(17,25,27)</f>
        <v>41397.726006944446</v>
      </c>
      <c r="C1647">
        <v>80</v>
      </c>
      <c r="D1647">
        <v>79.821060181000007</v>
      </c>
      <c r="E1647">
        <v>50</v>
      </c>
      <c r="F1647">
        <v>49.794635773000003</v>
      </c>
      <c r="G1647">
        <v>1337.8078613</v>
      </c>
      <c r="H1647">
        <v>1335.6212158000001</v>
      </c>
      <c r="I1647">
        <v>1328.3637695</v>
      </c>
      <c r="J1647">
        <v>1327.2391356999999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1098.8434600000001</v>
      </c>
      <c r="B1648" s="1">
        <f>DATE(2013,5,3) + TIME(20,14,34)</f>
        <v>41397.843449074076</v>
      </c>
      <c r="C1648">
        <v>80</v>
      </c>
      <c r="D1648">
        <v>79.849861145000006</v>
      </c>
      <c r="E1648">
        <v>50</v>
      </c>
      <c r="F1648">
        <v>49.788150786999999</v>
      </c>
      <c r="G1648">
        <v>1337.8260498</v>
      </c>
      <c r="H1648">
        <v>1335.6345214999999</v>
      </c>
      <c r="I1648">
        <v>1328.3630370999999</v>
      </c>
      <c r="J1648">
        <v>1327.2379149999999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1098.964217</v>
      </c>
      <c r="B1649" s="1">
        <f>DATE(2013,5,3) + TIME(23,8,28)</f>
        <v>41397.964212962965</v>
      </c>
      <c r="C1649">
        <v>80</v>
      </c>
      <c r="D1649">
        <v>79.873634338000002</v>
      </c>
      <c r="E1649">
        <v>50</v>
      </c>
      <c r="F1649">
        <v>49.781543732000003</v>
      </c>
      <c r="G1649">
        <v>1337.8397216999999</v>
      </c>
      <c r="H1649">
        <v>1335.6448975000001</v>
      </c>
      <c r="I1649">
        <v>1328.3621826000001</v>
      </c>
      <c r="J1649">
        <v>1327.2365723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1099.088884</v>
      </c>
      <c r="B1650" s="1">
        <f>DATE(2013,5,4) + TIME(2,7,59)</f>
        <v>41398.088877314818</v>
      </c>
      <c r="C1650">
        <v>80</v>
      </c>
      <c r="D1650">
        <v>79.893203735</v>
      </c>
      <c r="E1650">
        <v>50</v>
      </c>
      <c r="F1650">
        <v>49.774780272999998</v>
      </c>
      <c r="G1650">
        <v>1337.8511963000001</v>
      </c>
      <c r="H1650">
        <v>1335.6538086</v>
      </c>
      <c r="I1650">
        <v>1328.3613281</v>
      </c>
      <c r="J1650">
        <v>1327.2353516000001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1099.218085</v>
      </c>
      <c r="B1651" s="1">
        <f>DATE(2013,5,4) + TIME(5,14,2)</f>
        <v>41398.218078703707</v>
      </c>
      <c r="C1651">
        <v>80</v>
      </c>
      <c r="D1651">
        <v>79.909263611</v>
      </c>
      <c r="E1651">
        <v>50</v>
      </c>
      <c r="F1651">
        <v>49.767829894999998</v>
      </c>
      <c r="G1651">
        <v>1337.8614502</v>
      </c>
      <c r="H1651">
        <v>1335.6619873</v>
      </c>
      <c r="I1651">
        <v>1328.3603516000001</v>
      </c>
      <c r="J1651">
        <v>1327.2340088000001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1099.350522</v>
      </c>
      <c r="B1652" s="1">
        <f>DATE(2013,5,4) + TIME(8,24,45)</f>
        <v>41398.35052083333</v>
      </c>
      <c r="C1652">
        <v>80</v>
      </c>
      <c r="D1652">
        <v>79.922241210999999</v>
      </c>
      <c r="E1652">
        <v>50</v>
      </c>
      <c r="F1652">
        <v>49.760765075999998</v>
      </c>
      <c r="G1652">
        <v>1337.8704834</v>
      </c>
      <c r="H1652">
        <v>1335.6694336</v>
      </c>
      <c r="I1652">
        <v>1328.359375</v>
      </c>
      <c r="J1652">
        <v>1327.2325439000001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1099.4850590000001</v>
      </c>
      <c r="B1653" s="1">
        <f>DATE(2013,5,4) + TIME(11,38,29)</f>
        <v>41398.48505787037</v>
      </c>
      <c r="C1653">
        <v>80</v>
      </c>
      <c r="D1653">
        <v>79.932601929</v>
      </c>
      <c r="E1653">
        <v>50</v>
      </c>
      <c r="F1653">
        <v>49.753639221</v>
      </c>
      <c r="G1653">
        <v>1337.8782959</v>
      </c>
      <c r="H1653">
        <v>1335.6761475000001</v>
      </c>
      <c r="I1653">
        <v>1328.3583983999999</v>
      </c>
      <c r="J1653">
        <v>1327.2310791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1099.6219699999999</v>
      </c>
      <c r="B1654" s="1">
        <f>DATE(2013,5,4) + TIME(14,55,38)</f>
        <v>41398.621967592589</v>
      </c>
      <c r="C1654">
        <v>80</v>
      </c>
      <c r="D1654">
        <v>79.940872192</v>
      </c>
      <c r="E1654">
        <v>50</v>
      </c>
      <c r="F1654">
        <v>49.746437073000003</v>
      </c>
      <c r="G1654">
        <v>1337.8851318</v>
      </c>
      <c r="H1654">
        <v>1335.6821289</v>
      </c>
      <c r="I1654">
        <v>1328.3574219</v>
      </c>
      <c r="J1654">
        <v>1327.2294922000001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1099.7615390000001</v>
      </c>
      <c r="B1655" s="1">
        <f>DATE(2013,5,4) + TIME(18,16,36)</f>
        <v>41398.76152777778</v>
      </c>
      <c r="C1655">
        <v>80</v>
      </c>
      <c r="D1655">
        <v>79.947448730000005</v>
      </c>
      <c r="E1655">
        <v>50</v>
      </c>
      <c r="F1655">
        <v>49.739147185999997</v>
      </c>
      <c r="G1655">
        <v>1337.8907471</v>
      </c>
      <c r="H1655">
        <v>1335.6875</v>
      </c>
      <c r="I1655">
        <v>1328.3563231999999</v>
      </c>
      <c r="J1655">
        <v>1327.2280272999999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1099.904074</v>
      </c>
      <c r="B1656" s="1">
        <f>DATE(2013,5,4) + TIME(21,41,51)</f>
        <v>41398.904062499998</v>
      </c>
      <c r="C1656">
        <v>80</v>
      </c>
      <c r="D1656">
        <v>79.952682495000005</v>
      </c>
      <c r="E1656">
        <v>50</v>
      </c>
      <c r="F1656">
        <v>49.731754303000002</v>
      </c>
      <c r="G1656">
        <v>1337.8955077999999</v>
      </c>
      <c r="H1656">
        <v>1335.6922606999999</v>
      </c>
      <c r="I1656">
        <v>1328.3552245999999</v>
      </c>
      <c r="J1656">
        <v>1327.2264404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1100.0499110000001</v>
      </c>
      <c r="B1657" s="1">
        <f>DATE(2013,5,5) + TIME(1,11,52)</f>
        <v>41399.049907407411</v>
      </c>
      <c r="C1657">
        <v>80</v>
      </c>
      <c r="D1657">
        <v>79.956840514999996</v>
      </c>
      <c r="E1657">
        <v>50</v>
      </c>
      <c r="F1657">
        <v>49.724243164000001</v>
      </c>
      <c r="G1657">
        <v>1337.8994141000001</v>
      </c>
      <c r="H1657">
        <v>1335.6965332</v>
      </c>
      <c r="I1657">
        <v>1328.354126</v>
      </c>
      <c r="J1657">
        <v>1327.2247314000001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1100.199417</v>
      </c>
      <c r="B1658" s="1">
        <f>DATE(2013,5,5) + TIME(4,47,9)</f>
        <v>41399.19940972222</v>
      </c>
      <c r="C1658">
        <v>80</v>
      </c>
      <c r="D1658">
        <v>79.960136414000004</v>
      </c>
      <c r="E1658">
        <v>50</v>
      </c>
      <c r="F1658">
        <v>49.716594696000001</v>
      </c>
      <c r="G1658">
        <v>1337.9016113</v>
      </c>
      <c r="H1658">
        <v>1335.6998291</v>
      </c>
      <c r="I1658">
        <v>1328.3529053</v>
      </c>
      <c r="J1658">
        <v>1327.2230225000001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1100.3530459999999</v>
      </c>
      <c r="B1659" s="1">
        <f>DATE(2013,5,5) + TIME(8,28,23)</f>
        <v>41399.353043981479</v>
      </c>
      <c r="C1659">
        <v>80</v>
      </c>
      <c r="D1659">
        <v>79.962730407999999</v>
      </c>
      <c r="E1659">
        <v>50</v>
      </c>
      <c r="F1659">
        <v>49.708797455000003</v>
      </c>
      <c r="G1659">
        <v>1337.9016113</v>
      </c>
      <c r="H1659">
        <v>1335.7015381000001</v>
      </c>
      <c r="I1659">
        <v>1328.3516846</v>
      </c>
      <c r="J1659">
        <v>1327.2213135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1100.511344</v>
      </c>
      <c r="B1660" s="1">
        <f>DATE(2013,5,5) + TIME(12,16,20)</f>
        <v>41399.511342592596</v>
      </c>
      <c r="C1660">
        <v>80</v>
      </c>
      <c r="D1660">
        <v>79.964782714999998</v>
      </c>
      <c r="E1660">
        <v>50</v>
      </c>
      <c r="F1660">
        <v>49.700820923000002</v>
      </c>
      <c r="G1660">
        <v>1337.9011230000001</v>
      </c>
      <c r="H1660">
        <v>1335.703125</v>
      </c>
      <c r="I1660">
        <v>1328.3504639</v>
      </c>
      <c r="J1660">
        <v>1327.2194824000001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1100.6747969999999</v>
      </c>
      <c r="B1661" s="1">
        <f>DATE(2013,5,5) + TIME(16,11,42)</f>
        <v>41399.674791666665</v>
      </c>
      <c r="C1661">
        <v>80</v>
      </c>
      <c r="D1661">
        <v>79.966400145999998</v>
      </c>
      <c r="E1661">
        <v>50</v>
      </c>
      <c r="F1661">
        <v>49.692646027000002</v>
      </c>
      <c r="G1661">
        <v>1337.9001464999999</v>
      </c>
      <c r="H1661">
        <v>1335.7043457</v>
      </c>
      <c r="I1661">
        <v>1328.3491211</v>
      </c>
      <c r="J1661">
        <v>1327.2176514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1100.844255</v>
      </c>
      <c r="B1662" s="1">
        <f>DATE(2013,5,5) + TIME(20,15,43)</f>
        <v>41399.844247685185</v>
      </c>
      <c r="C1662">
        <v>80</v>
      </c>
      <c r="D1662">
        <v>79.967666625999996</v>
      </c>
      <c r="E1662">
        <v>50</v>
      </c>
      <c r="F1662">
        <v>49.684238434000001</v>
      </c>
      <c r="G1662">
        <v>1337.8988036999999</v>
      </c>
      <c r="H1662">
        <v>1335.7053223</v>
      </c>
      <c r="I1662">
        <v>1328.3477783000001</v>
      </c>
      <c r="J1662">
        <v>1327.2156981999999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1101.0204699999999</v>
      </c>
      <c r="B1663" s="1">
        <f>DATE(2013,5,6) + TIME(0,29,28)</f>
        <v>41400.020462962966</v>
      </c>
      <c r="C1663">
        <v>80</v>
      </c>
      <c r="D1663">
        <v>79.968658446999996</v>
      </c>
      <c r="E1663">
        <v>50</v>
      </c>
      <c r="F1663">
        <v>49.675567627</v>
      </c>
      <c r="G1663">
        <v>1337.8969727000001</v>
      </c>
      <c r="H1663">
        <v>1335.7061768000001</v>
      </c>
      <c r="I1663">
        <v>1328.3463135</v>
      </c>
      <c r="J1663">
        <v>1327.2136230000001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1101.20146</v>
      </c>
      <c r="B1664" s="1">
        <f>DATE(2013,5,6) + TIME(4,50,6)</f>
        <v>41400.201458333337</v>
      </c>
      <c r="C1664">
        <v>80</v>
      </c>
      <c r="D1664">
        <v>79.969421386999997</v>
      </c>
      <c r="E1664">
        <v>50</v>
      </c>
      <c r="F1664">
        <v>49.666721344000003</v>
      </c>
      <c r="G1664">
        <v>1337.8947754000001</v>
      </c>
      <c r="H1664">
        <v>1335.7067870999999</v>
      </c>
      <c r="I1664">
        <v>1328.3448486</v>
      </c>
      <c r="J1664">
        <v>1327.2114257999999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1101.3878030000001</v>
      </c>
      <c r="B1665" s="1">
        <f>DATE(2013,5,6) + TIME(9,18,26)</f>
        <v>41400.387800925928</v>
      </c>
      <c r="C1665">
        <v>80</v>
      </c>
      <c r="D1665">
        <v>79.970008849999999</v>
      </c>
      <c r="E1665">
        <v>50</v>
      </c>
      <c r="F1665">
        <v>49.657672882</v>
      </c>
      <c r="G1665">
        <v>1337.8922118999999</v>
      </c>
      <c r="H1665">
        <v>1335.7072754000001</v>
      </c>
      <c r="I1665">
        <v>1328.3432617000001</v>
      </c>
      <c r="J1665">
        <v>1327.2092285000001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1101.5800360000001</v>
      </c>
      <c r="B1666" s="1">
        <f>DATE(2013,5,6) + TIME(13,55,15)</f>
        <v>41400.580034722225</v>
      </c>
      <c r="C1666">
        <v>80</v>
      </c>
      <c r="D1666">
        <v>79.970458984000004</v>
      </c>
      <c r="E1666">
        <v>50</v>
      </c>
      <c r="F1666">
        <v>49.648403168000002</v>
      </c>
      <c r="G1666">
        <v>1337.8892822</v>
      </c>
      <c r="H1666">
        <v>1335.7075195</v>
      </c>
      <c r="I1666">
        <v>1328.3416748</v>
      </c>
      <c r="J1666">
        <v>1327.2069091999999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1101.7787679999999</v>
      </c>
      <c r="B1667" s="1">
        <f>DATE(2013,5,6) + TIME(18,41,25)</f>
        <v>41400.778761574074</v>
      </c>
      <c r="C1667">
        <v>80</v>
      </c>
      <c r="D1667">
        <v>79.970802307</v>
      </c>
      <c r="E1667">
        <v>50</v>
      </c>
      <c r="F1667">
        <v>49.638893127000003</v>
      </c>
      <c r="G1667">
        <v>1337.8861084</v>
      </c>
      <c r="H1667">
        <v>1335.7076416</v>
      </c>
      <c r="I1667">
        <v>1328.3399658000001</v>
      </c>
      <c r="J1667">
        <v>1327.2044678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1101.9846990000001</v>
      </c>
      <c r="B1668" s="1">
        <f>DATE(2013,5,6) + TIME(23,37,57)</f>
        <v>41400.9846875</v>
      </c>
      <c r="C1668">
        <v>80</v>
      </c>
      <c r="D1668">
        <v>79.971069335999999</v>
      </c>
      <c r="E1668">
        <v>50</v>
      </c>
      <c r="F1668">
        <v>49.629112243999998</v>
      </c>
      <c r="G1668">
        <v>1337.8826904</v>
      </c>
      <c r="H1668">
        <v>1335.7076416</v>
      </c>
      <c r="I1668">
        <v>1328.3381348</v>
      </c>
      <c r="J1668">
        <v>1327.2019043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1102.1987099999999</v>
      </c>
      <c r="B1669" s="1">
        <f>DATE(2013,5,7) + TIME(4,46,8)</f>
        <v>41401.198703703703</v>
      </c>
      <c r="C1669">
        <v>80</v>
      </c>
      <c r="D1669">
        <v>79.971267699999999</v>
      </c>
      <c r="E1669">
        <v>50</v>
      </c>
      <c r="F1669">
        <v>49.619022369</v>
      </c>
      <c r="G1669">
        <v>1337.8789062000001</v>
      </c>
      <c r="H1669">
        <v>1335.7075195</v>
      </c>
      <c r="I1669">
        <v>1328.3363036999999</v>
      </c>
      <c r="J1669">
        <v>1327.1992187999999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1102.421568</v>
      </c>
      <c r="B1670" s="1">
        <f>DATE(2013,5,7) + TIME(10,7,3)</f>
        <v>41401.4215625</v>
      </c>
      <c r="C1670">
        <v>80</v>
      </c>
      <c r="D1670">
        <v>79.971412658999995</v>
      </c>
      <c r="E1670">
        <v>50</v>
      </c>
      <c r="F1670">
        <v>49.608600615999997</v>
      </c>
      <c r="G1670">
        <v>1337.8748779</v>
      </c>
      <c r="H1670">
        <v>1335.7073975000001</v>
      </c>
      <c r="I1670">
        <v>1328.3343506000001</v>
      </c>
      <c r="J1670">
        <v>1327.1964111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1102.649582</v>
      </c>
      <c r="B1671" s="1">
        <f>DATE(2013,5,7) + TIME(15,35,23)</f>
        <v>41401.649571759262</v>
      </c>
      <c r="C1671">
        <v>80</v>
      </c>
      <c r="D1671">
        <v>79.971519470000004</v>
      </c>
      <c r="E1671">
        <v>50</v>
      </c>
      <c r="F1671">
        <v>49.597999573000003</v>
      </c>
      <c r="G1671">
        <v>1337.8706055</v>
      </c>
      <c r="H1671">
        <v>1335.7070312000001</v>
      </c>
      <c r="I1671">
        <v>1328.3323975000001</v>
      </c>
      <c r="J1671">
        <v>1327.1934814000001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1102.8826340000001</v>
      </c>
      <c r="B1672" s="1">
        <f>DATE(2013,5,7) + TIME(21,10,59)</f>
        <v>41401.882627314815</v>
      </c>
      <c r="C1672">
        <v>80</v>
      </c>
      <c r="D1672">
        <v>79.971588135000005</v>
      </c>
      <c r="E1672">
        <v>50</v>
      </c>
      <c r="F1672">
        <v>49.587219238000003</v>
      </c>
      <c r="G1672">
        <v>1337.8662108999999</v>
      </c>
      <c r="H1672">
        <v>1335.7066649999999</v>
      </c>
      <c r="I1672">
        <v>1328.3303223</v>
      </c>
      <c r="J1672">
        <v>1327.1905518000001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1103.121578</v>
      </c>
      <c r="B1673" s="1">
        <f>DATE(2013,5,8) + TIME(2,55,4)</f>
        <v>41402.121574074074</v>
      </c>
      <c r="C1673">
        <v>80</v>
      </c>
      <c r="D1673">
        <v>79.971633910999998</v>
      </c>
      <c r="E1673">
        <v>50</v>
      </c>
      <c r="F1673">
        <v>49.576232910000002</v>
      </c>
      <c r="G1673">
        <v>1337.8615723</v>
      </c>
      <c r="H1673">
        <v>1335.7061768000001</v>
      </c>
      <c r="I1673">
        <v>1328.328125</v>
      </c>
      <c r="J1673">
        <v>1327.1873779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1103.3673920000001</v>
      </c>
      <c r="B1674" s="1">
        <f>DATE(2013,5,8) + TIME(8,49,2)</f>
        <v>41402.367384259262</v>
      </c>
      <c r="C1674">
        <v>80</v>
      </c>
      <c r="D1674">
        <v>79.971664429</v>
      </c>
      <c r="E1674">
        <v>50</v>
      </c>
      <c r="F1674">
        <v>49.565006255999997</v>
      </c>
      <c r="G1674">
        <v>1337.8568115</v>
      </c>
      <c r="H1674">
        <v>1335.7056885</v>
      </c>
      <c r="I1674">
        <v>1328.3258057</v>
      </c>
      <c r="J1674">
        <v>1327.1842041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1103.6213319999999</v>
      </c>
      <c r="B1675" s="1">
        <f>DATE(2013,5,8) + TIME(14,54,43)</f>
        <v>41402.621331018519</v>
      </c>
      <c r="C1675">
        <v>80</v>
      </c>
      <c r="D1675">
        <v>79.971672057999996</v>
      </c>
      <c r="E1675">
        <v>50</v>
      </c>
      <c r="F1675">
        <v>49.553493500000002</v>
      </c>
      <c r="G1675">
        <v>1337.8518065999999</v>
      </c>
      <c r="H1675">
        <v>1335.7050781</v>
      </c>
      <c r="I1675">
        <v>1328.3234863</v>
      </c>
      <c r="J1675">
        <v>1327.1807861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1103.877442</v>
      </c>
      <c r="B1676" s="1">
        <f>DATE(2013,5,8) + TIME(21,3,30)</f>
        <v>41402.877430555556</v>
      </c>
      <c r="C1676">
        <v>80</v>
      </c>
      <c r="D1676">
        <v>79.971672057999996</v>
      </c>
      <c r="E1676">
        <v>50</v>
      </c>
      <c r="F1676">
        <v>49.541919708000002</v>
      </c>
      <c r="G1676">
        <v>1337.8468018000001</v>
      </c>
      <c r="H1676">
        <v>1335.7044678</v>
      </c>
      <c r="I1676">
        <v>1328.3211670000001</v>
      </c>
      <c r="J1676">
        <v>1327.1773682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1104.136448</v>
      </c>
      <c r="B1677" s="1">
        <f>DATE(2013,5,9) + TIME(3,16,29)</f>
        <v>41403.136446759258</v>
      </c>
      <c r="C1677">
        <v>80</v>
      </c>
      <c r="D1677">
        <v>79.971656799000002</v>
      </c>
      <c r="E1677">
        <v>50</v>
      </c>
      <c r="F1677">
        <v>49.530265808000003</v>
      </c>
      <c r="G1677">
        <v>1337.8416748</v>
      </c>
      <c r="H1677">
        <v>1335.7037353999999</v>
      </c>
      <c r="I1677">
        <v>1328.3187256000001</v>
      </c>
      <c r="J1677">
        <v>1327.1737060999999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1104.3990550000001</v>
      </c>
      <c r="B1678" s="1">
        <f>DATE(2013,5,9) + TIME(9,34,38)</f>
        <v>41403.399050925924</v>
      </c>
      <c r="C1678">
        <v>80</v>
      </c>
      <c r="D1678">
        <v>79.971633910999998</v>
      </c>
      <c r="E1678">
        <v>50</v>
      </c>
      <c r="F1678">
        <v>49.518508910999998</v>
      </c>
      <c r="G1678">
        <v>1337.8365478999999</v>
      </c>
      <c r="H1678">
        <v>1335.7030029</v>
      </c>
      <c r="I1678">
        <v>1328.3161620999999</v>
      </c>
      <c r="J1678">
        <v>1327.1701660000001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1104.665994</v>
      </c>
      <c r="B1679" s="1">
        <f>DATE(2013,5,9) + TIME(15,59,1)</f>
        <v>41403.665983796294</v>
      </c>
      <c r="C1679">
        <v>80</v>
      </c>
      <c r="D1679">
        <v>79.971611022999994</v>
      </c>
      <c r="E1679">
        <v>50</v>
      </c>
      <c r="F1679">
        <v>49.506626128999997</v>
      </c>
      <c r="G1679">
        <v>1337.8314209</v>
      </c>
      <c r="H1679">
        <v>1335.7023925999999</v>
      </c>
      <c r="I1679">
        <v>1328.3135986</v>
      </c>
      <c r="J1679">
        <v>1327.1663818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1104.93803</v>
      </c>
      <c r="B1680" s="1">
        <f>DATE(2013,5,9) + TIME(22,30,45)</f>
        <v>41403.938020833331</v>
      </c>
      <c r="C1680">
        <v>80</v>
      </c>
      <c r="D1680">
        <v>79.971572875999996</v>
      </c>
      <c r="E1680">
        <v>50</v>
      </c>
      <c r="F1680">
        <v>49.494586945000002</v>
      </c>
      <c r="G1680">
        <v>1337.8262939000001</v>
      </c>
      <c r="H1680">
        <v>1335.7016602000001</v>
      </c>
      <c r="I1680">
        <v>1328.3110352000001</v>
      </c>
      <c r="J1680">
        <v>1327.1625977000001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1105.2159690000001</v>
      </c>
      <c r="B1681" s="1">
        <f>DATE(2013,5,10) + TIME(5,10,59)</f>
        <v>41404.215960648151</v>
      </c>
      <c r="C1681">
        <v>80</v>
      </c>
      <c r="D1681">
        <v>79.971542357999994</v>
      </c>
      <c r="E1681">
        <v>50</v>
      </c>
      <c r="F1681">
        <v>49.482368469000001</v>
      </c>
      <c r="G1681">
        <v>1337.8211670000001</v>
      </c>
      <c r="H1681">
        <v>1335.7009277</v>
      </c>
      <c r="I1681">
        <v>1328.3082274999999</v>
      </c>
      <c r="J1681">
        <v>1327.1586914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1105.5006820000001</v>
      </c>
      <c r="B1682" s="1">
        <f>DATE(2013,5,10) + TIME(12,0,58)</f>
        <v>41404.500671296293</v>
      </c>
      <c r="C1682">
        <v>80</v>
      </c>
      <c r="D1682">
        <v>79.971496582</v>
      </c>
      <c r="E1682">
        <v>50</v>
      </c>
      <c r="F1682">
        <v>49.469940186000002</v>
      </c>
      <c r="G1682">
        <v>1337.815918</v>
      </c>
      <c r="H1682">
        <v>1335.7001952999999</v>
      </c>
      <c r="I1682">
        <v>1328.3055420000001</v>
      </c>
      <c r="J1682">
        <v>1327.1546631000001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1105.7931129999999</v>
      </c>
      <c r="B1683" s="1">
        <f>DATE(2013,5,10) + TIME(19,2,4)</f>
        <v>41404.79310185185</v>
      </c>
      <c r="C1683">
        <v>80</v>
      </c>
      <c r="D1683">
        <v>79.971450806000007</v>
      </c>
      <c r="E1683">
        <v>50</v>
      </c>
      <c r="F1683">
        <v>49.457271575999997</v>
      </c>
      <c r="G1683">
        <v>1337.8106689000001</v>
      </c>
      <c r="H1683">
        <v>1335.6994629000001</v>
      </c>
      <c r="I1683">
        <v>1328.3026123</v>
      </c>
      <c r="J1683">
        <v>1327.1505127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1106.091737</v>
      </c>
      <c r="B1684" s="1">
        <f>DATE(2013,5,11) + TIME(2,12,6)</f>
        <v>41405.091736111113</v>
      </c>
      <c r="C1684">
        <v>80</v>
      </c>
      <c r="D1684">
        <v>79.971405028999996</v>
      </c>
      <c r="E1684">
        <v>50</v>
      </c>
      <c r="F1684">
        <v>49.444416046000001</v>
      </c>
      <c r="G1684">
        <v>1337.8054199000001</v>
      </c>
      <c r="H1684">
        <v>1335.6987305</v>
      </c>
      <c r="I1684">
        <v>1328.2996826000001</v>
      </c>
      <c r="J1684">
        <v>1327.1462402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1106.3953550000001</v>
      </c>
      <c r="B1685" s="1">
        <f>DATE(2013,5,11) + TIME(9,29,18)</f>
        <v>41405.39534722222</v>
      </c>
      <c r="C1685">
        <v>80</v>
      </c>
      <c r="D1685">
        <v>79.971359253000003</v>
      </c>
      <c r="E1685">
        <v>50</v>
      </c>
      <c r="F1685">
        <v>49.431419372999997</v>
      </c>
      <c r="G1685">
        <v>1337.8001709</v>
      </c>
      <c r="H1685">
        <v>1335.6979980000001</v>
      </c>
      <c r="I1685">
        <v>1328.2967529</v>
      </c>
      <c r="J1685">
        <v>1327.1418457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1106.7047849999999</v>
      </c>
      <c r="B1686" s="1">
        <f>DATE(2013,5,11) + TIME(16,54,53)</f>
        <v>41405.704780092594</v>
      </c>
      <c r="C1686">
        <v>80</v>
      </c>
      <c r="D1686">
        <v>79.971305846999996</v>
      </c>
      <c r="E1686">
        <v>50</v>
      </c>
      <c r="F1686">
        <v>49.418254851999997</v>
      </c>
      <c r="G1686">
        <v>1337.7949219</v>
      </c>
      <c r="H1686">
        <v>1335.6972656</v>
      </c>
      <c r="I1686">
        <v>1328.2935791</v>
      </c>
      <c r="J1686">
        <v>1327.1374512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1107.020878</v>
      </c>
      <c r="B1687" s="1">
        <f>DATE(2013,5,12) + TIME(0,30,3)</f>
        <v>41406.020868055559</v>
      </c>
      <c r="C1687">
        <v>80</v>
      </c>
      <c r="D1687">
        <v>79.971252441000004</v>
      </c>
      <c r="E1687">
        <v>50</v>
      </c>
      <c r="F1687">
        <v>49.404899596999996</v>
      </c>
      <c r="G1687">
        <v>1337.7896728999999</v>
      </c>
      <c r="H1687">
        <v>1335.6966553</v>
      </c>
      <c r="I1687">
        <v>1328.2904053</v>
      </c>
      <c r="J1687">
        <v>1327.1328125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1107.344515</v>
      </c>
      <c r="B1688" s="1">
        <f>DATE(2013,5,12) + TIME(8,16,6)</f>
        <v>41406.344513888886</v>
      </c>
      <c r="C1688">
        <v>80</v>
      </c>
      <c r="D1688">
        <v>79.971199036000002</v>
      </c>
      <c r="E1688">
        <v>50</v>
      </c>
      <c r="F1688">
        <v>49.391326904000003</v>
      </c>
      <c r="G1688">
        <v>1337.7844238</v>
      </c>
      <c r="H1688">
        <v>1335.6960449000001</v>
      </c>
      <c r="I1688">
        <v>1328.2872314000001</v>
      </c>
      <c r="J1688">
        <v>1327.1280518000001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1107.6766809999999</v>
      </c>
      <c r="B1689" s="1">
        <f>DATE(2013,5,12) + TIME(16,14,25)</f>
        <v>41406.676678240743</v>
      </c>
      <c r="C1689">
        <v>80</v>
      </c>
      <c r="D1689">
        <v>79.971145629999995</v>
      </c>
      <c r="E1689">
        <v>50</v>
      </c>
      <c r="F1689">
        <v>49.377498627000001</v>
      </c>
      <c r="G1689">
        <v>1337.7792969</v>
      </c>
      <c r="H1689">
        <v>1335.6954346</v>
      </c>
      <c r="I1689">
        <v>1328.2838135</v>
      </c>
      <c r="J1689">
        <v>1327.1231689000001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1108.018468</v>
      </c>
      <c r="B1690" s="1">
        <f>DATE(2013,5,13) + TIME(0,26,35)</f>
        <v>41407.018460648149</v>
      </c>
      <c r="C1690">
        <v>80</v>
      </c>
      <c r="D1690">
        <v>79.971092224000003</v>
      </c>
      <c r="E1690">
        <v>50</v>
      </c>
      <c r="F1690">
        <v>49.363388061999999</v>
      </c>
      <c r="G1690">
        <v>1337.7740478999999</v>
      </c>
      <c r="H1690">
        <v>1335.6948242000001</v>
      </c>
      <c r="I1690">
        <v>1328.2803954999999</v>
      </c>
      <c r="J1690">
        <v>1327.1181641000001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1108.3710880000001</v>
      </c>
      <c r="B1691" s="1">
        <f>DATE(2013,5,13) + TIME(8,54,21)</f>
        <v>41407.371076388888</v>
      </c>
      <c r="C1691">
        <v>80</v>
      </c>
      <c r="D1691">
        <v>79.971031189000001</v>
      </c>
      <c r="E1691">
        <v>50</v>
      </c>
      <c r="F1691">
        <v>49.348953246999997</v>
      </c>
      <c r="G1691">
        <v>1337.7687988</v>
      </c>
      <c r="H1691">
        <v>1335.6942139</v>
      </c>
      <c r="I1691">
        <v>1328.2767334</v>
      </c>
      <c r="J1691">
        <v>1327.1129149999999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1108.736048</v>
      </c>
      <c r="B1692" s="1">
        <f>DATE(2013,5,13) + TIME(17,39,54)</f>
        <v>41407.736041666663</v>
      </c>
      <c r="C1692">
        <v>80</v>
      </c>
      <c r="D1692">
        <v>79.970970154</v>
      </c>
      <c r="E1692">
        <v>50</v>
      </c>
      <c r="F1692">
        <v>49.334144592000001</v>
      </c>
      <c r="G1692">
        <v>1337.7635498</v>
      </c>
      <c r="H1692">
        <v>1335.6936035000001</v>
      </c>
      <c r="I1692">
        <v>1328.2730713000001</v>
      </c>
      <c r="J1692">
        <v>1327.1074219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1109.1155980000001</v>
      </c>
      <c r="B1693" s="1">
        <f>DATE(2013,5,14) + TIME(2,46,27)</f>
        <v>41408.115590277775</v>
      </c>
      <c r="C1693">
        <v>80</v>
      </c>
      <c r="D1693">
        <v>79.970909118999998</v>
      </c>
      <c r="E1693">
        <v>50</v>
      </c>
      <c r="F1693">
        <v>49.318901062000002</v>
      </c>
      <c r="G1693">
        <v>1337.7581786999999</v>
      </c>
      <c r="H1693">
        <v>1335.6929932</v>
      </c>
      <c r="I1693">
        <v>1328.2692870999999</v>
      </c>
      <c r="J1693">
        <v>1327.1018065999999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1109.5128990000001</v>
      </c>
      <c r="B1694" s="1">
        <f>DATE(2013,5,14) + TIME(12,18,34)</f>
        <v>41408.51289351852</v>
      </c>
      <c r="C1694">
        <v>80</v>
      </c>
      <c r="D1694">
        <v>79.970848083000007</v>
      </c>
      <c r="E1694">
        <v>50</v>
      </c>
      <c r="F1694">
        <v>49.303115845000001</v>
      </c>
      <c r="G1694">
        <v>1337.7528076000001</v>
      </c>
      <c r="H1694">
        <v>1335.6925048999999</v>
      </c>
      <c r="I1694">
        <v>1328.2652588000001</v>
      </c>
      <c r="J1694">
        <v>1327.0959473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1109.922642</v>
      </c>
      <c r="B1695" s="1">
        <f>DATE(2013,5,14) + TIME(22,8,36)</f>
        <v>41408.922638888886</v>
      </c>
      <c r="C1695">
        <v>80</v>
      </c>
      <c r="D1695">
        <v>79.970787048000005</v>
      </c>
      <c r="E1695">
        <v>50</v>
      </c>
      <c r="F1695">
        <v>49.286949157999999</v>
      </c>
      <c r="G1695">
        <v>1337.7473144999999</v>
      </c>
      <c r="H1695">
        <v>1335.6918945</v>
      </c>
      <c r="I1695">
        <v>1328.2609863</v>
      </c>
      <c r="J1695">
        <v>1327.0898437999999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1110.3407629999999</v>
      </c>
      <c r="B1696" s="1">
        <f>DATE(2013,5,15) + TIME(8,10,41)</f>
        <v>41409.340752314813</v>
      </c>
      <c r="C1696">
        <v>80</v>
      </c>
      <c r="D1696">
        <v>79.970718383999994</v>
      </c>
      <c r="E1696">
        <v>50</v>
      </c>
      <c r="F1696">
        <v>49.270538330000001</v>
      </c>
      <c r="G1696">
        <v>1337.7418213000001</v>
      </c>
      <c r="H1696">
        <v>1335.6914062000001</v>
      </c>
      <c r="I1696">
        <v>1328.2565918</v>
      </c>
      <c r="J1696">
        <v>1327.0834961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1110.7637319999999</v>
      </c>
      <c r="B1697" s="1">
        <f>DATE(2013,5,15) + TIME(18,19,46)</f>
        <v>41409.763726851852</v>
      </c>
      <c r="C1697">
        <v>80</v>
      </c>
      <c r="D1697">
        <v>79.970657349000007</v>
      </c>
      <c r="E1697">
        <v>50</v>
      </c>
      <c r="F1697">
        <v>49.253993987999998</v>
      </c>
      <c r="G1697">
        <v>1337.7363281</v>
      </c>
      <c r="H1697">
        <v>1335.690918</v>
      </c>
      <c r="I1697">
        <v>1328.2521973</v>
      </c>
      <c r="J1697">
        <v>1327.0769043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1111.193064</v>
      </c>
      <c r="B1698" s="1">
        <f>DATE(2013,5,16) + TIME(4,38,0)</f>
        <v>41410.193055555559</v>
      </c>
      <c r="C1698">
        <v>80</v>
      </c>
      <c r="D1698">
        <v>79.970596313000001</v>
      </c>
      <c r="E1698">
        <v>50</v>
      </c>
      <c r="F1698">
        <v>49.237285614000001</v>
      </c>
      <c r="G1698">
        <v>1337.7310791</v>
      </c>
      <c r="H1698">
        <v>1335.6904297000001</v>
      </c>
      <c r="I1698">
        <v>1328.2476807</v>
      </c>
      <c r="J1698">
        <v>1327.0703125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1111.6302720000001</v>
      </c>
      <c r="B1699" s="1">
        <f>DATE(2013,5,16) + TIME(15,7,35)</f>
        <v>41410.630266203705</v>
      </c>
      <c r="C1699">
        <v>80</v>
      </c>
      <c r="D1699">
        <v>79.970527649000005</v>
      </c>
      <c r="E1699">
        <v>50</v>
      </c>
      <c r="F1699">
        <v>49.22039032</v>
      </c>
      <c r="G1699">
        <v>1337.7257079999999</v>
      </c>
      <c r="H1699">
        <v>1335.6900635</v>
      </c>
      <c r="I1699">
        <v>1328.2430420000001</v>
      </c>
      <c r="J1699">
        <v>1327.0634766000001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1112.076219</v>
      </c>
      <c r="B1700" s="1">
        <f>DATE(2013,5,17) + TIME(1,49,45)</f>
        <v>41411.076215277775</v>
      </c>
      <c r="C1700">
        <v>80</v>
      </c>
      <c r="D1700">
        <v>79.970466614000003</v>
      </c>
      <c r="E1700">
        <v>50</v>
      </c>
      <c r="F1700">
        <v>49.203281402999998</v>
      </c>
      <c r="G1700">
        <v>1337.7205810999999</v>
      </c>
      <c r="H1700">
        <v>1335.6895752</v>
      </c>
      <c r="I1700">
        <v>1328.2382812000001</v>
      </c>
      <c r="J1700">
        <v>1327.0565185999999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1112.531223</v>
      </c>
      <c r="B1701" s="1">
        <f>DATE(2013,5,17) + TIME(12,44,57)</f>
        <v>41411.531215277777</v>
      </c>
      <c r="C1701">
        <v>80</v>
      </c>
      <c r="D1701">
        <v>79.970405579000001</v>
      </c>
      <c r="E1701">
        <v>50</v>
      </c>
      <c r="F1701">
        <v>49.185958862</v>
      </c>
      <c r="G1701">
        <v>1337.715332</v>
      </c>
      <c r="H1701">
        <v>1335.6892089999999</v>
      </c>
      <c r="I1701">
        <v>1328.2333983999999</v>
      </c>
      <c r="J1701">
        <v>1327.0494385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1112.9969570000001</v>
      </c>
      <c r="B1702" s="1">
        <f>DATE(2013,5,17) + TIME(23,55,37)</f>
        <v>41411.99695601852</v>
      </c>
      <c r="C1702">
        <v>80</v>
      </c>
      <c r="D1702">
        <v>79.970344542999996</v>
      </c>
      <c r="E1702">
        <v>50</v>
      </c>
      <c r="F1702">
        <v>49.168380737</v>
      </c>
      <c r="G1702">
        <v>1337.7102050999999</v>
      </c>
      <c r="H1702">
        <v>1335.6888428</v>
      </c>
      <c r="I1702">
        <v>1328.2285156</v>
      </c>
      <c r="J1702">
        <v>1327.0421143000001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1113.4758529999999</v>
      </c>
      <c r="B1703" s="1">
        <f>DATE(2013,5,18) + TIME(11,25,13)</f>
        <v>41412.475844907407</v>
      </c>
      <c r="C1703">
        <v>80</v>
      </c>
      <c r="D1703">
        <v>79.970275878999999</v>
      </c>
      <c r="E1703">
        <v>50</v>
      </c>
      <c r="F1703">
        <v>49.150478362999998</v>
      </c>
      <c r="G1703">
        <v>1337.7050781</v>
      </c>
      <c r="H1703">
        <v>1335.6884766000001</v>
      </c>
      <c r="I1703">
        <v>1328.2233887</v>
      </c>
      <c r="J1703">
        <v>1327.034668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1113.974856</v>
      </c>
      <c r="B1704" s="1">
        <f>DATE(2013,5,18) + TIME(23,23,47)</f>
        <v>41412.974849537037</v>
      </c>
      <c r="C1704">
        <v>80</v>
      </c>
      <c r="D1704">
        <v>79.970214843999997</v>
      </c>
      <c r="E1704">
        <v>50</v>
      </c>
      <c r="F1704">
        <v>49.132072448999999</v>
      </c>
      <c r="G1704">
        <v>1337.6999512</v>
      </c>
      <c r="H1704">
        <v>1335.6882324000001</v>
      </c>
      <c r="I1704">
        <v>1328.2181396000001</v>
      </c>
      <c r="J1704">
        <v>1327.0268555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1114.479486</v>
      </c>
      <c r="B1705" s="1">
        <f>DATE(2013,5,19) + TIME(11,30,27)</f>
        <v>41413.479479166665</v>
      </c>
      <c r="C1705">
        <v>80</v>
      </c>
      <c r="D1705">
        <v>79.970153808999996</v>
      </c>
      <c r="E1705">
        <v>50</v>
      </c>
      <c r="F1705">
        <v>49.113525391000003</v>
      </c>
      <c r="G1705">
        <v>1337.6948242000001</v>
      </c>
      <c r="H1705">
        <v>1335.6878661999999</v>
      </c>
      <c r="I1705">
        <v>1328.2126464999999</v>
      </c>
      <c r="J1705">
        <v>1327.0189209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1114.9892170000001</v>
      </c>
      <c r="B1706" s="1">
        <f>DATE(2013,5,19) + TIME(23,44,28)</f>
        <v>41413.989212962966</v>
      </c>
      <c r="C1706">
        <v>80</v>
      </c>
      <c r="D1706">
        <v>79.970085143999995</v>
      </c>
      <c r="E1706">
        <v>50</v>
      </c>
      <c r="F1706">
        <v>49.094886780000003</v>
      </c>
      <c r="G1706">
        <v>1337.6898193</v>
      </c>
      <c r="H1706">
        <v>1335.6876221</v>
      </c>
      <c r="I1706">
        <v>1328.2071533000001</v>
      </c>
      <c r="J1706">
        <v>1327.0107422000001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1115.5053869999999</v>
      </c>
      <c r="B1707" s="1">
        <f>DATE(2013,5,20) + TIME(12,7,45)</f>
        <v>41414.505381944444</v>
      </c>
      <c r="C1707">
        <v>80</v>
      </c>
      <c r="D1707">
        <v>79.970024108999993</v>
      </c>
      <c r="E1707">
        <v>50</v>
      </c>
      <c r="F1707">
        <v>49.076133728000002</v>
      </c>
      <c r="G1707">
        <v>1337.6848144999999</v>
      </c>
      <c r="H1707">
        <v>1335.6873779</v>
      </c>
      <c r="I1707">
        <v>1328.2015381000001</v>
      </c>
      <c r="J1707">
        <v>1327.0024414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1116.0296000000001</v>
      </c>
      <c r="B1708" s="1">
        <f>DATE(2013,5,21) + TIME(0,42,37)</f>
        <v>41415.029594907406</v>
      </c>
      <c r="C1708">
        <v>80</v>
      </c>
      <c r="D1708">
        <v>79.969963074000006</v>
      </c>
      <c r="E1708">
        <v>50</v>
      </c>
      <c r="F1708">
        <v>49.057235718000001</v>
      </c>
      <c r="G1708">
        <v>1337.6799315999999</v>
      </c>
      <c r="H1708">
        <v>1335.6871338000001</v>
      </c>
      <c r="I1708">
        <v>1328.1958007999999</v>
      </c>
      <c r="J1708">
        <v>1326.9940185999999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1116.5635600000001</v>
      </c>
      <c r="B1709" s="1">
        <f>DATE(2013,5,21) + TIME(13,31,31)</f>
        <v>41415.56355324074</v>
      </c>
      <c r="C1709">
        <v>80</v>
      </c>
      <c r="D1709">
        <v>79.969902039000004</v>
      </c>
      <c r="E1709">
        <v>50</v>
      </c>
      <c r="F1709">
        <v>49.038158416999998</v>
      </c>
      <c r="G1709">
        <v>1337.6751709</v>
      </c>
      <c r="H1709">
        <v>1335.6868896000001</v>
      </c>
      <c r="I1709">
        <v>1328.1899414</v>
      </c>
      <c r="J1709">
        <v>1326.9854736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1117.1091300000001</v>
      </c>
      <c r="B1710" s="1">
        <f>DATE(2013,5,22) + TIME(2,37,8)</f>
        <v>41416.109120370369</v>
      </c>
      <c r="C1710">
        <v>80</v>
      </c>
      <c r="D1710">
        <v>79.969841002999999</v>
      </c>
      <c r="E1710">
        <v>50</v>
      </c>
      <c r="F1710">
        <v>49.018856049</v>
      </c>
      <c r="G1710">
        <v>1337.6704102000001</v>
      </c>
      <c r="H1710">
        <v>1335.6867675999999</v>
      </c>
      <c r="I1710">
        <v>1328.184082</v>
      </c>
      <c r="J1710">
        <v>1326.9768065999999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1117.6684459999999</v>
      </c>
      <c r="B1711" s="1">
        <f>DATE(2013,5,22) + TIME(16,2,33)</f>
        <v>41416.668437499997</v>
      </c>
      <c r="C1711">
        <v>80</v>
      </c>
      <c r="D1711">
        <v>79.969779967999997</v>
      </c>
      <c r="E1711">
        <v>50</v>
      </c>
      <c r="F1711">
        <v>48.999279022000003</v>
      </c>
      <c r="G1711">
        <v>1337.6656493999999</v>
      </c>
      <c r="H1711">
        <v>1335.6865233999999</v>
      </c>
      <c r="I1711">
        <v>1328.1779785000001</v>
      </c>
      <c r="J1711">
        <v>1326.9677733999999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1118.2437560000001</v>
      </c>
      <c r="B1712" s="1">
        <f>DATE(2013,5,23) + TIME(5,51,0)</f>
        <v>41417.243750000001</v>
      </c>
      <c r="C1712">
        <v>80</v>
      </c>
      <c r="D1712">
        <v>79.969718932999996</v>
      </c>
      <c r="E1712">
        <v>50</v>
      </c>
      <c r="F1712">
        <v>48.979358673</v>
      </c>
      <c r="G1712">
        <v>1337.6608887</v>
      </c>
      <c r="H1712">
        <v>1335.6864014</v>
      </c>
      <c r="I1712">
        <v>1328.171875</v>
      </c>
      <c r="J1712">
        <v>1326.9586182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1118.8376060000001</v>
      </c>
      <c r="B1713" s="1">
        <f>DATE(2013,5,23) + TIME(20,6,9)</f>
        <v>41417.837604166663</v>
      </c>
      <c r="C1713">
        <v>80</v>
      </c>
      <c r="D1713">
        <v>79.969657897999994</v>
      </c>
      <c r="E1713">
        <v>50</v>
      </c>
      <c r="F1713">
        <v>48.959041595000002</v>
      </c>
      <c r="G1713">
        <v>1337.65625</v>
      </c>
      <c r="H1713">
        <v>1335.6862793</v>
      </c>
      <c r="I1713">
        <v>1328.1654053</v>
      </c>
      <c r="J1713">
        <v>1326.9492187999999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1119.4527350000001</v>
      </c>
      <c r="B1714" s="1">
        <f>DATE(2013,5,24) + TIME(10,51,56)</f>
        <v>41418.452731481484</v>
      </c>
      <c r="C1714">
        <v>80</v>
      </c>
      <c r="D1714">
        <v>79.969596863000007</v>
      </c>
      <c r="E1714">
        <v>50</v>
      </c>
      <c r="F1714">
        <v>48.938251495000003</v>
      </c>
      <c r="G1714">
        <v>1337.6514893000001</v>
      </c>
      <c r="H1714">
        <v>1335.6861572</v>
      </c>
      <c r="I1714">
        <v>1328.1588135</v>
      </c>
      <c r="J1714">
        <v>1326.9394531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1120.083748</v>
      </c>
      <c r="B1715" s="1">
        <f>DATE(2013,5,25) + TIME(2,0,35)</f>
        <v>41419.083738425928</v>
      </c>
      <c r="C1715">
        <v>80</v>
      </c>
      <c r="D1715">
        <v>79.969543457</v>
      </c>
      <c r="E1715">
        <v>50</v>
      </c>
      <c r="F1715">
        <v>48.917102814000003</v>
      </c>
      <c r="G1715">
        <v>1337.6467285000001</v>
      </c>
      <c r="H1715">
        <v>1335.6860352000001</v>
      </c>
      <c r="I1715">
        <v>1328.1520995999999</v>
      </c>
      <c r="J1715">
        <v>1326.9294434000001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1120.7270510000001</v>
      </c>
      <c r="B1716" s="1">
        <f>DATE(2013,5,25) + TIME(17,26,57)</f>
        <v>41419.727048611108</v>
      </c>
      <c r="C1716">
        <v>80</v>
      </c>
      <c r="D1716">
        <v>79.969482421999999</v>
      </c>
      <c r="E1716">
        <v>50</v>
      </c>
      <c r="F1716">
        <v>48.895687103</v>
      </c>
      <c r="G1716">
        <v>1337.6419678</v>
      </c>
      <c r="H1716">
        <v>1335.6859131000001</v>
      </c>
      <c r="I1716">
        <v>1328.1451416</v>
      </c>
      <c r="J1716">
        <v>1326.9190673999999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1121.385898</v>
      </c>
      <c r="B1717" s="1">
        <f>DATE(2013,5,26) + TIME(9,15,41)</f>
        <v>41420.385891203703</v>
      </c>
      <c r="C1717">
        <v>80</v>
      </c>
      <c r="D1717">
        <v>79.969421386999997</v>
      </c>
      <c r="E1717">
        <v>50</v>
      </c>
      <c r="F1717">
        <v>48.873954773000001</v>
      </c>
      <c r="G1717">
        <v>1337.6373291</v>
      </c>
      <c r="H1717">
        <v>1335.6857910000001</v>
      </c>
      <c r="I1717">
        <v>1328.1379394999999</v>
      </c>
      <c r="J1717">
        <v>1326.9085693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1122.0670749999999</v>
      </c>
      <c r="B1718" s="1">
        <f>DATE(2013,5,27) + TIME(1,36,35)</f>
        <v>41421.067071759258</v>
      </c>
      <c r="C1718">
        <v>80</v>
      </c>
      <c r="D1718">
        <v>79.969360351999995</v>
      </c>
      <c r="E1718">
        <v>50</v>
      </c>
      <c r="F1718">
        <v>48.851772308000001</v>
      </c>
      <c r="G1718">
        <v>1337.6325684000001</v>
      </c>
      <c r="H1718">
        <v>1335.6855469</v>
      </c>
      <c r="I1718">
        <v>1328.1307373</v>
      </c>
      <c r="J1718">
        <v>1326.8977050999999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1122.7812269999999</v>
      </c>
      <c r="B1719" s="1">
        <f>DATE(2013,5,27) + TIME(18,44,58)</f>
        <v>41421.781226851854</v>
      </c>
      <c r="C1719">
        <v>80</v>
      </c>
      <c r="D1719">
        <v>79.969299316000004</v>
      </c>
      <c r="E1719">
        <v>50</v>
      </c>
      <c r="F1719">
        <v>48.828903197999999</v>
      </c>
      <c r="G1719">
        <v>1337.6279297000001</v>
      </c>
      <c r="H1719">
        <v>1335.6854248</v>
      </c>
      <c r="I1719">
        <v>1328.1231689000001</v>
      </c>
      <c r="J1719">
        <v>1326.8864745999999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1123.5345420000001</v>
      </c>
      <c r="B1720" s="1">
        <f>DATE(2013,5,28) + TIME(12,49,44)</f>
        <v>41422.534537037034</v>
      </c>
      <c r="C1720">
        <v>80</v>
      </c>
      <c r="D1720">
        <v>79.969238281000003</v>
      </c>
      <c r="E1720">
        <v>50</v>
      </c>
      <c r="F1720">
        <v>48.805191039999997</v>
      </c>
      <c r="G1720">
        <v>1337.6230469</v>
      </c>
      <c r="H1720">
        <v>1335.6853027</v>
      </c>
      <c r="I1720">
        <v>1328.1152344</v>
      </c>
      <c r="J1720">
        <v>1326.8747559000001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1124.3083670000001</v>
      </c>
      <c r="B1721" s="1">
        <f>DATE(2013,5,29) + TIME(7,24,2)</f>
        <v>41423.308356481481</v>
      </c>
      <c r="C1721">
        <v>80</v>
      </c>
      <c r="D1721">
        <v>79.969177246000001</v>
      </c>
      <c r="E1721">
        <v>50</v>
      </c>
      <c r="F1721">
        <v>48.780960082999997</v>
      </c>
      <c r="G1721">
        <v>1337.6181641000001</v>
      </c>
      <c r="H1721">
        <v>1335.6851807</v>
      </c>
      <c r="I1721">
        <v>1328.1070557</v>
      </c>
      <c r="J1721">
        <v>1326.8625488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1125.0951239999999</v>
      </c>
      <c r="B1722" s="1">
        <f>DATE(2013,5,30) + TIME(2,16,58)</f>
        <v>41424.09511574074</v>
      </c>
      <c r="C1722">
        <v>80</v>
      </c>
      <c r="D1722">
        <v>79.969116210999999</v>
      </c>
      <c r="E1722">
        <v>50</v>
      </c>
      <c r="F1722">
        <v>48.756412505999997</v>
      </c>
      <c r="G1722">
        <v>1337.6132812000001</v>
      </c>
      <c r="H1722">
        <v>1335.6850586</v>
      </c>
      <c r="I1722">
        <v>1328.0985106999999</v>
      </c>
      <c r="J1722">
        <v>1326.8499756000001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1125.8822540000001</v>
      </c>
      <c r="B1723" s="1">
        <f>DATE(2013,5,30) + TIME(21,10,26)</f>
        <v>41424.882245370369</v>
      </c>
      <c r="C1723">
        <v>80</v>
      </c>
      <c r="D1723">
        <v>79.969055175999998</v>
      </c>
      <c r="E1723">
        <v>50</v>
      </c>
      <c r="F1723">
        <v>48.731857300000001</v>
      </c>
      <c r="G1723">
        <v>1337.6085204999999</v>
      </c>
      <c r="H1723">
        <v>1335.6849365</v>
      </c>
      <c r="I1723">
        <v>1328.0899658000001</v>
      </c>
      <c r="J1723">
        <v>1326.8371582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1126.6729439999999</v>
      </c>
      <c r="B1724" s="1">
        <f>DATE(2013,5,31) + TIME(16,9,2)</f>
        <v>41425.672939814816</v>
      </c>
      <c r="C1724">
        <v>80</v>
      </c>
      <c r="D1724">
        <v>79.969001770000006</v>
      </c>
      <c r="E1724">
        <v>50</v>
      </c>
      <c r="F1724">
        <v>48.707328795999999</v>
      </c>
      <c r="G1724">
        <v>1337.6037598</v>
      </c>
      <c r="H1724">
        <v>1335.6848144999999</v>
      </c>
      <c r="I1724">
        <v>1328.0812988</v>
      </c>
      <c r="J1724">
        <v>1326.8243408000001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1127</v>
      </c>
      <c r="B1725" s="1">
        <f>DATE(2013,6,1) + TIME(0,0,0)</f>
        <v>41426</v>
      </c>
      <c r="C1725">
        <v>80</v>
      </c>
      <c r="D1725">
        <v>79.968963622999993</v>
      </c>
      <c r="E1725">
        <v>50</v>
      </c>
      <c r="F1725">
        <v>48.69437027</v>
      </c>
      <c r="G1725">
        <v>1337.5992432</v>
      </c>
      <c r="H1725">
        <v>1335.6846923999999</v>
      </c>
      <c r="I1725">
        <v>1328.0734863</v>
      </c>
      <c r="J1725">
        <v>1326.8129882999999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1127.797491</v>
      </c>
      <c r="B1726" s="1">
        <f>DATE(2013,6,1) + TIME(19,8,23)</f>
        <v>41426.797488425924</v>
      </c>
      <c r="C1726">
        <v>80</v>
      </c>
      <c r="D1726">
        <v>79.968910217000001</v>
      </c>
      <c r="E1726">
        <v>50</v>
      </c>
      <c r="F1726">
        <v>48.671020507999998</v>
      </c>
      <c r="G1726">
        <v>1337.5974120999999</v>
      </c>
      <c r="H1726">
        <v>1335.6846923999999</v>
      </c>
      <c r="I1726">
        <v>1328.0686035000001</v>
      </c>
      <c r="J1726">
        <v>1326.8051757999999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1128.611461</v>
      </c>
      <c r="B1727" s="1">
        <f>DATE(2013,6,2) + TIME(14,40,30)</f>
        <v>41427.611458333333</v>
      </c>
      <c r="C1727">
        <v>80</v>
      </c>
      <c r="D1727">
        <v>79.968864440999994</v>
      </c>
      <c r="E1727">
        <v>50</v>
      </c>
      <c r="F1727">
        <v>48.647125244000001</v>
      </c>
      <c r="G1727">
        <v>1337.5930175999999</v>
      </c>
      <c r="H1727">
        <v>1335.6845702999999</v>
      </c>
      <c r="I1727">
        <v>1328.0600586</v>
      </c>
      <c r="J1727">
        <v>1326.7924805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1129.440826</v>
      </c>
      <c r="B1728" s="1">
        <f>DATE(2013,6,3) + TIME(10,34,47)</f>
        <v>41428.440821759257</v>
      </c>
      <c r="C1728">
        <v>80</v>
      </c>
      <c r="D1728">
        <v>79.968811035000002</v>
      </c>
      <c r="E1728">
        <v>50</v>
      </c>
      <c r="F1728">
        <v>48.622817992999998</v>
      </c>
      <c r="G1728">
        <v>1337.5886230000001</v>
      </c>
      <c r="H1728">
        <v>1335.6844481999999</v>
      </c>
      <c r="I1728">
        <v>1328.0512695</v>
      </c>
      <c r="J1728">
        <v>1326.7794189000001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1130.289021</v>
      </c>
      <c r="B1729" s="1">
        <f>DATE(2013,6,4) + TIME(6,56,11)</f>
        <v>41429.2890162037</v>
      </c>
      <c r="C1729">
        <v>80</v>
      </c>
      <c r="D1729">
        <v>79.968757628999995</v>
      </c>
      <c r="E1729">
        <v>50</v>
      </c>
      <c r="F1729">
        <v>48.598129272000001</v>
      </c>
      <c r="G1729">
        <v>1337.5842285000001</v>
      </c>
      <c r="H1729">
        <v>1335.6843262</v>
      </c>
      <c r="I1729">
        <v>1328.0423584</v>
      </c>
      <c r="J1729">
        <v>1326.7659911999999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1131.1597099999999</v>
      </c>
      <c r="B1730" s="1">
        <f>DATE(2013,6,5) + TIME(3,49,58)</f>
        <v>41430.159699074073</v>
      </c>
      <c r="C1730">
        <v>80</v>
      </c>
      <c r="D1730">
        <v>79.968704224000007</v>
      </c>
      <c r="E1730">
        <v>50</v>
      </c>
      <c r="F1730">
        <v>48.573032378999997</v>
      </c>
      <c r="G1730">
        <v>1337.5799560999999</v>
      </c>
      <c r="H1730">
        <v>1335.6842041</v>
      </c>
      <c r="I1730">
        <v>1328.0333252</v>
      </c>
      <c r="J1730">
        <v>1326.7524414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1132.056957</v>
      </c>
      <c r="B1731" s="1">
        <f>DATE(2013,6,6) + TIME(1,22,1)</f>
        <v>41431.056956018518</v>
      </c>
      <c r="C1731">
        <v>80</v>
      </c>
      <c r="D1731">
        <v>79.968658446999996</v>
      </c>
      <c r="E1731">
        <v>50</v>
      </c>
      <c r="F1731">
        <v>48.547481537000003</v>
      </c>
      <c r="G1731">
        <v>1337.5755615</v>
      </c>
      <c r="H1731">
        <v>1335.684082</v>
      </c>
      <c r="I1731">
        <v>1328.0239257999999</v>
      </c>
      <c r="J1731">
        <v>1326.7384033000001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1132.9869739999999</v>
      </c>
      <c r="B1732" s="1">
        <f>DATE(2013,6,6) + TIME(23,41,14)</f>
        <v>41431.986967592595</v>
      </c>
      <c r="C1732">
        <v>80</v>
      </c>
      <c r="D1732">
        <v>79.968605041999993</v>
      </c>
      <c r="E1732">
        <v>50</v>
      </c>
      <c r="F1732">
        <v>48.521377563000001</v>
      </c>
      <c r="G1732">
        <v>1337.5712891000001</v>
      </c>
      <c r="H1732">
        <v>1335.6839600000001</v>
      </c>
      <c r="I1732">
        <v>1328.0144043</v>
      </c>
      <c r="J1732">
        <v>1326.723999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1133.9673359999999</v>
      </c>
      <c r="B1733" s="1">
        <f>DATE(2013,6,7) + TIME(23,12,57)</f>
        <v>41432.967326388891</v>
      </c>
      <c r="C1733">
        <v>80</v>
      </c>
      <c r="D1733">
        <v>79.968551636000001</v>
      </c>
      <c r="E1733">
        <v>50</v>
      </c>
      <c r="F1733">
        <v>48.494419098000002</v>
      </c>
      <c r="G1733">
        <v>1337.5668945</v>
      </c>
      <c r="H1733">
        <v>1335.6837158000001</v>
      </c>
      <c r="I1733">
        <v>1328.0045166</v>
      </c>
      <c r="J1733">
        <v>1326.7091064000001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1134.976756</v>
      </c>
      <c r="B1734" s="1">
        <f>DATE(2013,6,8) + TIME(23,26,31)</f>
        <v>41433.976747685185</v>
      </c>
      <c r="C1734">
        <v>80</v>
      </c>
      <c r="D1734">
        <v>79.968505859000004</v>
      </c>
      <c r="E1734">
        <v>50</v>
      </c>
      <c r="F1734">
        <v>48.466857910000002</v>
      </c>
      <c r="G1734">
        <v>1337.5625</v>
      </c>
      <c r="H1734">
        <v>1335.6835937999999</v>
      </c>
      <c r="I1734">
        <v>1327.9941406</v>
      </c>
      <c r="J1734">
        <v>1326.6937256000001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1136.0321060000001</v>
      </c>
      <c r="B1735" s="1">
        <f>DATE(2013,6,10) + TIME(0,46,13)</f>
        <v>41435.032094907408</v>
      </c>
      <c r="C1735">
        <v>80</v>
      </c>
      <c r="D1735">
        <v>79.968452454000001</v>
      </c>
      <c r="E1735">
        <v>50</v>
      </c>
      <c r="F1735">
        <v>48.438510895</v>
      </c>
      <c r="G1735">
        <v>1337.5579834</v>
      </c>
      <c r="H1735">
        <v>1335.6833495999999</v>
      </c>
      <c r="I1735">
        <v>1327.9836425999999</v>
      </c>
      <c r="J1735">
        <v>1326.6777344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1137.122445</v>
      </c>
      <c r="B1736" s="1">
        <f>DATE(2013,6,11) + TIME(2,56,19)</f>
        <v>41436.122442129628</v>
      </c>
      <c r="C1736">
        <v>80</v>
      </c>
      <c r="D1736">
        <v>79.968406677000004</v>
      </c>
      <c r="E1736">
        <v>50</v>
      </c>
      <c r="F1736">
        <v>48.409500121999997</v>
      </c>
      <c r="G1736">
        <v>1337.5534668</v>
      </c>
      <c r="H1736">
        <v>1335.6832274999999</v>
      </c>
      <c r="I1736">
        <v>1327.9726562000001</v>
      </c>
      <c r="J1736">
        <v>1326.6611327999999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1138.246005</v>
      </c>
      <c r="B1737" s="1">
        <f>DATE(2013,6,12) + TIME(5,54,14)</f>
        <v>41437.245995370373</v>
      </c>
      <c r="C1737">
        <v>80</v>
      </c>
      <c r="D1737">
        <v>79.968353270999998</v>
      </c>
      <c r="E1737">
        <v>50</v>
      </c>
      <c r="F1737">
        <v>48.379905700999998</v>
      </c>
      <c r="G1737">
        <v>1337.5488281</v>
      </c>
      <c r="H1737">
        <v>1335.6829834</v>
      </c>
      <c r="I1737">
        <v>1327.9614257999999</v>
      </c>
      <c r="J1737">
        <v>1326.6441649999999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1139.411382</v>
      </c>
      <c r="B1738" s="1">
        <f>DATE(2013,6,13) + TIME(9,52,23)</f>
        <v>41438.411377314813</v>
      </c>
      <c r="C1738">
        <v>80</v>
      </c>
      <c r="D1738">
        <v>79.968307495000005</v>
      </c>
      <c r="E1738">
        <v>50</v>
      </c>
      <c r="F1738">
        <v>48.349670410000002</v>
      </c>
      <c r="G1738">
        <v>1337.5443115</v>
      </c>
      <c r="H1738">
        <v>1335.6827393000001</v>
      </c>
      <c r="I1738">
        <v>1327.9498291</v>
      </c>
      <c r="J1738">
        <v>1326.6267089999999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1140.6233400000001</v>
      </c>
      <c r="B1739" s="1">
        <f>DATE(2013,6,14) + TIME(14,57,36)</f>
        <v>41439.623333333337</v>
      </c>
      <c r="C1739">
        <v>80</v>
      </c>
      <c r="D1739">
        <v>79.968254088999998</v>
      </c>
      <c r="E1739">
        <v>50</v>
      </c>
      <c r="F1739">
        <v>48.318733215000002</v>
      </c>
      <c r="G1739">
        <v>1337.5397949000001</v>
      </c>
      <c r="H1739">
        <v>1335.6824951000001</v>
      </c>
      <c r="I1739">
        <v>1327.9379882999999</v>
      </c>
      <c r="J1739">
        <v>1326.6086425999999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1141.881648</v>
      </c>
      <c r="B1740" s="1">
        <f>DATE(2013,6,15) + TIME(21,9,34)</f>
        <v>41440.881643518522</v>
      </c>
      <c r="C1740">
        <v>80</v>
      </c>
      <c r="D1740">
        <v>79.968208313000005</v>
      </c>
      <c r="E1740">
        <v>50</v>
      </c>
      <c r="F1740">
        <v>48.287090302000003</v>
      </c>
      <c r="G1740">
        <v>1337.5351562000001</v>
      </c>
      <c r="H1740">
        <v>1335.6821289</v>
      </c>
      <c r="I1740">
        <v>1327.9257812000001</v>
      </c>
      <c r="J1740">
        <v>1326.5900879000001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1143.146074</v>
      </c>
      <c r="B1741" s="1">
        <f>DATE(2013,6,17) + TIME(3,30,20)</f>
        <v>41442.146064814813</v>
      </c>
      <c r="C1741">
        <v>80</v>
      </c>
      <c r="D1741">
        <v>79.968162536999998</v>
      </c>
      <c r="E1741">
        <v>50</v>
      </c>
      <c r="F1741">
        <v>48.255256653000004</v>
      </c>
      <c r="G1741">
        <v>1337.5305175999999</v>
      </c>
      <c r="H1741">
        <v>1335.6818848</v>
      </c>
      <c r="I1741">
        <v>1327.9132079999999</v>
      </c>
      <c r="J1741">
        <v>1326.5710449000001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1144.4264680000001</v>
      </c>
      <c r="B1742" s="1">
        <f>DATE(2013,6,18) + TIME(10,14,6)</f>
        <v>41443.426458333335</v>
      </c>
      <c r="C1742">
        <v>80</v>
      </c>
      <c r="D1742">
        <v>79.968116760000001</v>
      </c>
      <c r="E1742">
        <v>50</v>
      </c>
      <c r="F1742">
        <v>48.223392486999998</v>
      </c>
      <c r="G1742">
        <v>1337.526001</v>
      </c>
      <c r="H1742">
        <v>1335.6815185999999</v>
      </c>
      <c r="I1742">
        <v>1327.9006348</v>
      </c>
      <c r="J1742">
        <v>1326.5517577999999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1145.730227</v>
      </c>
      <c r="B1743" s="1">
        <f>DATE(2013,6,19) + TIME(17,31,31)</f>
        <v>41444.730219907404</v>
      </c>
      <c r="C1743">
        <v>80</v>
      </c>
      <c r="D1743">
        <v>79.968070983999993</v>
      </c>
      <c r="E1743">
        <v>50</v>
      </c>
      <c r="F1743">
        <v>48.191505432</v>
      </c>
      <c r="G1743">
        <v>1337.5214844</v>
      </c>
      <c r="H1743">
        <v>1335.6812743999999</v>
      </c>
      <c r="I1743">
        <v>1327.8880615</v>
      </c>
      <c r="J1743">
        <v>1326.5323486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1147.0452290000001</v>
      </c>
      <c r="B1744" s="1">
        <f>DATE(2013,6,21) + TIME(1,5,7)</f>
        <v>41446.045219907406</v>
      </c>
      <c r="C1744">
        <v>80</v>
      </c>
      <c r="D1744">
        <v>79.968032836999996</v>
      </c>
      <c r="E1744">
        <v>50</v>
      </c>
      <c r="F1744">
        <v>48.159759520999998</v>
      </c>
      <c r="G1744">
        <v>1337.5170897999999</v>
      </c>
      <c r="H1744">
        <v>1335.6809082</v>
      </c>
      <c r="I1744">
        <v>1327.8752440999999</v>
      </c>
      <c r="J1744">
        <v>1326.5128173999999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1148.3779730000001</v>
      </c>
      <c r="B1745" s="1">
        <f>DATE(2013,6,22) + TIME(9,4,16)</f>
        <v>41447.377962962964</v>
      </c>
      <c r="C1745">
        <v>80</v>
      </c>
      <c r="D1745">
        <v>79.967987061000002</v>
      </c>
      <c r="E1745">
        <v>50</v>
      </c>
      <c r="F1745">
        <v>48.128177643000001</v>
      </c>
      <c r="G1745">
        <v>1337.5128173999999</v>
      </c>
      <c r="H1745">
        <v>1335.6805420000001</v>
      </c>
      <c r="I1745">
        <v>1327.8625488</v>
      </c>
      <c r="J1745">
        <v>1326.4931641000001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1149.735367</v>
      </c>
      <c r="B1746" s="1">
        <f>DATE(2013,6,23) + TIME(17,38,55)</f>
        <v>41448.735358796293</v>
      </c>
      <c r="C1746">
        <v>80</v>
      </c>
      <c r="D1746">
        <v>79.967948914000004</v>
      </c>
      <c r="E1746">
        <v>50</v>
      </c>
      <c r="F1746">
        <v>48.096736907999997</v>
      </c>
      <c r="G1746">
        <v>1337.5086670000001</v>
      </c>
      <c r="H1746">
        <v>1335.6801757999999</v>
      </c>
      <c r="I1746">
        <v>1327.8498535000001</v>
      </c>
      <c r="J1746">
        <v>1326.4735106999999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1151.1239330000001</v>
      </c>
      <c r="B1747" s="1">
        <f>DATE(2013,6,25) + TIME(2,58,27)</f>
        <v>41450.123923611114</v>
      </c>
      <c r="C1747">
        <v>80</v>
      </c>
      <c r="D1747">
        <v>79.967910767000006</v>
      </c>
      <c r="E1747">
        <v>50</v>
      </c>
      <c r="F1747">
        <v>48.065372467000003</v>
      </c>
      <c r="G1747">
        <v>1337.5043945</v>
      </c>
      <c r="H1747">
        <v>1335.6798096</v>
      </c>
      <c r="I1747">
        <v>1327.8370361</v>
      </c>
      <c r="J1747">
        <v>1326.4536132999999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1152.550794</v>
      </c>
      <c r="B1748" s="1">
        <f>DATE(2013,6,26) + TIME(13,13,8)</f>
        <v>41451.550787037035</v>
      </c>
      <c r="C1748">
        <v>80</v>
      </c>
      <c r="D1748">
        <v>79.967880249000004</v>
      </c>
      <c r="E1748">
        <v>50</v>
      </c>
      <c r="F1748">
        <v>48.034042358000001</v>
      </c>
      <c r="G1748">
        <v>1337.5002440999999</v>
      </c>
      <c r="H1748">
        <v>1335.6793213000001</v>
      </c>
      <c r="I1748">
        <v>1327.8240966999999</v>
      </c>
      <c r="J1748">
        <v>1326.4335937999999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1154.0508050000001</v>
      </c>
      <c r="B1749" s="1">
        <f>DATE(2013,6,28) + TIME(1,13,9)</f>
        <v>41453.050798611112</v>
      </c>
      <c r="C1749">
        <v>80</v>
      </c>
      <c r="D1749">
        <v>79.967842102000006</v>
      </c>
      <c r="E1749">
        <v>50</v>
      </c>
      <c r="F1749">
        <v>48.002449036000002</v>
      </c>
      <c r="G1749">
        <v>1337.4960937999999</v>
      </c>
      <c r="H1749">
        <v>1335.6789550999999</v>
      </c>
      <c r="I1749">
        <v>1327.8110352000001</v>
      </c>
      <c r="J1749">
        <v>1326.4130858999999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1155.623517</v>
      </c>
      <c r="B1750" s="1">
        <f>DATE(2013,6,29) + TIME(14,57,51)</f>
        <v>41454.623506944445</v>
      </c>
      <c r="C1750">
        <v>80</v>
      </c>
      <c r="D1750">
        <v>79.967811584000003</v>
      </c>
      <c r="E1750">
        <v>50</v>
      </c>
      <c r="F1750">
        <v>47.970531463999997</v>
      </c>
      <c r="G1750">
        <v>1337.4916992000001</v>
      </c>
      <c r="H1750">
        <v>1335.6783447</v>
      </c>
      <c r="I1750">
        <v>1327.7976074000001</v>
      </c>
      <c r="J1750">
        <v>1326.3919678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1157</v>
      </c>
      <c r="B1751" s="1">
        <f>DATE(2013,7,1) + TIME(0,0,0)</f>
        <v>41456</v>
      </c>
      <c r="C1751">
        <v>80</v>
      </c>
      <c r="D1751">
        <v>79.967773437999995</v>
      </c>
      <c r="E1751">
        <v>50</v>
      </c>
      <c r="F1751">
        <v>47.940841675000001</v>
      </c>
      <c r="G1751">
        <v>1337.4870605000001</v>
      </c>
      <c r="H1751">
        <v>1335.6776123</v>
      </c>
      <c r="I1751">
        <v>1327.7839355000001</v>
      </c>
      <c r="J1751">
        <v>1326.3706055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1158.608626</v>
      </c>
      <c r="B1752" s="1">
        <f>DATE(2013,7,2) + TIME(14,36,25)</f>
        <v>41457.608622685184</v>
      </c>
      <c r="C1752">
        <v>80</v>
      </c>
      <c r="D1752">
        <v>79.967742920000006</v>
      </c>
      <c r="E1752">
        <v>50</v>
      </c>
      <c r="F1752">
        <v>47.911186217999997</v>
      </c>
      <c r="G1752">
        <v>1337.4830322</v>
      </c>
      <c r="H1752">
        <v>1335.6768798999999</v>
      </c>
      <c r="I1752">
        <v>1327.7713623</v>
      </c>
      <c r="J1752">
        <v>1326.3504639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1160.2404790000001</v>
      </c>
      <c r="B1753" s="1">
        <f>DATE(2013,7,4) + TIME(5,46,17)</f>
        <v>41459.240474537037</v>
      </c>
      <c r="C1753">
        <v>80</v>
      </c>
      <c r="D1753">
        <v>79.967712402000004</v>
      </c>
      <c r="E1753">
        <v>50</v>
      </c>
      <c r="F1753">
        <v>47.881885529000002</v>
      </c>
      <c r="G1753">
        <v>1337.4785156</v>
      </c>
      <c r="H1753">
        <v>1335.6761475000001</v>
      </c>
      <c r="I1753">
        <v>1327.7578125</v>
      </c>
      <c r="J1753">
        <v>1326.3291016000001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1161.8730559999999</v>
      </c>
      <c r="B1754" s="1">
        <f>DATE(2013,7,5) + TIME(20,57,12)</f>
        <v>41460.873055555552</v>
      </c>
      <c r="C1754">
        <v>80</v>
      </c>
      <c r="D1754">
        <v>79.967681885000005</v>
      </c>
      <c r="E1754">
        <v>50</v>
      </c>
      <c r="F1754">
        <v>47.853927612</v>
      </c>
      <c r="G1754">
        <v>1337.4741211</v>
      </c>
      <c r="H1754">
        <v>1335.6754149999999</v>
      </c>
      <c r="I1754">
        <v>1327.7442627</v>
      </c>
      <c r="J1754">
        <v>1326.3073730000001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1163.527519</v>
      </c>
      <c r="B1755" s="1">
        <f>DATE(2013,7,7) + TIME(12,39,37)</f>
        <v>41462.527511574073</v>
      </c>
      <c r="C1755">
        <v>80</v>
      </c>
      <c r="D1755">
        <v>79.967658997000001</v>
      </c>
      <c r="E1755">
        <v>50</v>
      </c>
      <c r="F1755">
        <v>47.827884674000003</v>
      </c>
      <c r="G1755">
        <v>1337.4698486</v>
      </c>
      <c r="H1755">
        <v>1335.6746826000001</v>
      </c>
      <c r="I1755">
        <v>1327.7308350000001</v>
      </c>
      <c r="J1755">
        <v>1326.2856445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1165.2171390000001</v>
      </c>
      <c r="B1756" s="1">
        <f>DATE(2013,7,9) + TIME(5,12,40)</f>
        <v>41464.217129629629</v>
      </c>
      <c r="C1756">
        <v>80</v>
      </c>
      <c r="D1756">
        <v>79.967636107999994</v>
      </c>
      <c r="E1756">
        <v>50</v>
      </c>
      <c r="F1756">
        <v>47.804183960000003</v>
      </c>
      <c r="G1756">
        <v>1337.4656981999999</v>
      </c>
      <c r="H1756">
        <v>1335.6739502</v>
      </c>
      <c r="I1756">
        <v>1327.7176514</v>
      </c>
      <c r="J1756">
        <v>1326.2640381000001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1166.073177</v>
      </c>
      <c r="B1757" s="1">
        <f>DATE(2013,7,10) + TIME(1,45,22)</f>
        <v>41465.073171296295</v>
      </c>
      <c r="C1757">
        <v>80</v>
      </c>
      <c r="D1757">
        <v>79.967605590999995</v>
      </c>
      <c r="E1757">
        <v>50</v>
      </c>
      <c r="F1757">
        <v>47.789409636999999</v>
      </c>
      <c r="G1757">
        <v>1337.4616699000001</v>
      </c>
      <c r="H1757">
        <v>1335.6732178</v>
      </c>
      <c r="I1757">
        <v>1327.7053223</v>
      </c>
      <c r="J1757">
        <v>1326.2440185999999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1166.929214</v>
      </c>
      <c r="B1758" s="1">
        <f>DATE(2013,7,10) + TIME(22,18,4)</f>
        <v>41465.929212962961</v>
      </c>
      <c r="C1758">
        <v>80</v>
      </c>
      <c r="D1758">
        <v>79.967582703000005</v>
      </c>
      <c r="E1758">
        <v>50</v>
      </c>
      <c r="F1758">
        <v>47.777915954999997</v>
      </c>
      <c r="G1758">
        <v>1337.4595947</v>
      </c>
      <c r="H1758">
        <v>1335.6728516000001</v>
      </c>
      <c r="I1758">
        <v>1327.6972656</v>
      </c>
      <c r="J1758">
        <v>1326.2305908000001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1167.7852519999999</v>
      </c>
      <c r="B1759" s="1">
        <f>DATE(2013,7,11) + TIME(18,50,45)</f>
        <v>41466.785243055558</v>
      </c>
      <c r="C1759">
        <v>80</v>
      </c>
      <c r="D1759">
        <v>79.967567443999997</v>
      </c>
      <c r="E1759">
        <v>50</v>
      </c>
      <c r="F1759">
        <v>47.76890564</v>
      </c>
      <c r="G1759">
        <v>1337.4576416</v>
      </c>
      <c r="H1759">
        <v>1335.6724853999999</v>
      </c>
      <c r="I1759">
        <v>1327.6899414</v>
      </c>
      <c r="J1759">
        <v>1326.2183838000001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1168.6412889999999</v>
      </c>
      <c r="B1760" s="1">
        <f>DATE(2013,7,12) + TIME(15,23,27)</f>
        <v>41467.641284722224</v>
      </c>
      <c r="C1760">
        <v>80</v>
      </c>
      <c r="D1760">
        <v>79.967559813999998</v>
      </c>
      <c r="E1760">
        <v>50</v>
      </c>
      <c r="F1760">
        <v>47.761970519999998</v>
      </c>
      <c r="G1760">
        <v>1337.4558105000001</v>
      </c>
      <c r="H1760">
        <v>1335.6721190999999</v>
      </c>
      <c r="I1760">
        <v>1327.6831055</v>
      </c>
      <c r="J1760">
        <v>1326.2069091999999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1169.497327</v>
      </c>
      <c r="B1761" s="1">
        <f>DATE(2013,7,13) + TIME(11,56,9)</f>
        <v>41468.49732638889</v>
      </c>
      <c r="C1761">
        <v>80</v>
      </c>
      <c r="D1761">
        <v>79.967552185000002</v>
      </c>
      <c r="E1761">
        <v>50</v>
      </c>
      <c r="F1761">
        <v>47.756931305000002</v>
      </c>
      <c r="G1761">
        <v>1337.4538574000001</v>
      </c>
      <c r="H1761">
        <v>1335.6717529</v>
      </c>
      <c r="I1761">
        <v>1327.6765137</v>
      </c>
      <c r="J1761">
        <v>1326.1959228999999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1170.3533640000001</v>
      </c>
      <c r="B1762" s="1">
        <f>DATE(2013,7,14) + TIME(8,28,50)</f>
        <v>41469.353356481479</v>
      </c>
      <c r="C1762">
        <v>80</v>
      </c>
      <c r="D1762">
        <v>79.967536925999994</v>
      </c>
      <c r="E1762">
        <v>50</v>
      </c>
      <c r="F1762">
        <v>47.753753662000001</v>
      </c>
      <c r="G1762">
        <v>1337.4520264</v>
      </c>
      <c r="H1762">
        <v>1335.6713867000001</v>
      </c>
      <c r="I1762">
        <v>1327.6702881000001</v>
      </c>
      <c r="J1762">
        <v>1326.1851807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1172.065439</v>
      </c>
      <c r="B1763" s="1">
        <f>DATE(2013,7,16) + TIME(1,34,13)</f>
        <v>41471.065428240741</v>
      </c>
      <c r="C1763">
        <v>80</v>
      </c>
      <c r="D1763">
        <v>79.967544556000007</v>
      </c>
      <c r="E1763">
        <v>50</v>
      </c>
      <c r="F1763">
        <v>47.751987456999998</v>
      </c>
      <c r="G1763">
        <v>1337.4500731999999</v>
      </c>
      <c r="H1763">
        <v>1335.6710204999999</v>
      </c>
      <c r="I1763">
        <v>1327.6634521000001</v>
      </c>
      <c r="J1763">
        <v>1326.1735839999999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1173.78223</v>
      </c>
      <c r="B1764" s="1">
        <f>DATE(2013,7,17) + TIME(18,46,24)</f>
        <v>41472.782222222224</v>
      </c>
      <c r="C1764">
        <v>80</v>
      </c>
      <c r="D1764">
        <v>79.967529296999999</v>
      </c>
      <c r="E1764">
        <v>50</v>
      </c>
      <c r="F1764">
        <v>47.755416869999998</v>
      </c>
      <c r="G1764">
        <v>1337.4464111</v>
      </c>
      <c r="H1764">
        <v>1335.6702881000001</v>
      </c>
      <c r="I1764">
        <v>1327.6536865</v>
      </c>
      <c r="J1764">
        <v>1326.1566161999999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1175.5961540000001</v>
      </c>
      <c r="B1765" s="1">
        <f>DATE(2013,7,19) + TIME(14,18,27)</f>
        <v>41474.596145833333</v>
      </c>
      <c r="C1765">
        <v>80</v>
      </c>
      <c r="D1765">
        <v>79.967521667</v>
      </c>
      <c r="E1765">
        <v>50</v>
      </c>
      <c r="F1765">
        <v>47.766860962000003</v>
      </c>
      <c r="G1765">
        <v>1337.442749</v>
      </c>
      <c r="H1765">
        <v>1335.6695557</v>
      </c>
      <c r="I1765">
        <v>1327.6430664</v>
      </c>
      <c r="J1765">
        <v>1326.1380615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1176.510489</v>
      </c>
      <c r="B1766" s="1">
        <f>DATE(2013,7,20) + TIME(12,15,6)</f>
        <v>41475.51048611111</v>
      </c>
      <c r="C1766">
        <v>80</v>
      </c>
      <c r="D1766">
        <v>79.967498778999996</v>
      </c>
      <c r="E1766">
        <v>50</v>
      </c>
      <c r="F1766">
        <v>47.783187865999999</v>
      </c>
      <c r="G1766">
        <v>1337.4390868999999</v>
      </c>
      <c r="H1766">
        <v>1335.6687012</v>
      </c>
      <c r="I1766">
        <v>1327.6330565999999</v>
      </c>
      <c r="J1766">
        <v>1326.1201172000001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1177.4248250000001</v>
      </c>
      <c r="B1767" s="1">
        <f>DATE(2013,7,21) + TIME(10,11,44)</f>
        <v>41476.424814814818</v>
      </c>
      <c r="C1767">
        <v>80</v>
      </c>
      <c r="D1767">
        <v>79.967483521000005</v>
      </c>
      <c r="E1767">
        <v>50</v>
      </c>
      <c r="F1767">
        <v>47.802127837999997</v>
      </c>
      <c r="G1767">
        <v>1337.4372559000001</v>
      </c>
      <c r="H1767">
        <v>1335.6683350000001</v>
      </c>
      <c r="I1767">
        <v>1327.6260986</v>
      </c>
      <c r="J1767">
        <v>1326.1079102000001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1178.3391610000001</v>
      </c>
      <c r="B1768" s="1">
        <f>DATE(2013,7,22) + TIME(8,8,23)</f>
        <v>41477.339155092595</v>
      </c>
      <c r="C1768">
        <v>80</v>
      </c>
      <c r="D1768">
        <v>79.967475891000007</v>
      </c>
      <c r="E1768">
        <v>50</v>
      </c>
      <c r="F1768">
        <v>47.824481964</v>
      </c>
      <c r="G1768">
        <v>1337.4354248</v>
      </c>
      <c r="H1768">
        <v>1335.6678466999999</v>
      </c>
      <c r="I1768">
        <v>1327.6199951000001</v>
      </c>
      <c r="J1768">
        <v>1326.0969238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1179.2534969999999</v>
      </c>
      <c r="B1769" s="1">
        <f>DATE(2013,7,23) + TIME(6,5,2)</f>
        <v>41478.253495370373</v>
      </c>
      <c r="C1769">
        <v>80</v>
      </c>
      <c r="D1769">
        <v>79.967468261999997</v>
      </c>
      <c r="E1769">
        <v>50</v>
      </c>
      <c r="F1769">
        <v>47.850849152000002</v>
      </c>
      <c r="G1769">
        <v>1337.4337158000001</v>
      </c>
      <c r="H1769">
        <v>1335.6674805</v>
      </c>
      <c r="I1769">
        <v>1327.6143798999999</v>
      </c>
      <c r="J1769">
        <v>1326.0866699000001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1180.167833</v>
      </c>
      <c r="B1770" s="1">
        <f>DATE(2013,7,24) + TIME(4,1,40)</f>
        <v>41479.167824074073</v>
      </c>
      <c r="C1770">
        <v>80</v>
      </c>
      <c r="D1770">
        <v>79.967460631999998</v>
      </c>
      <c r="E1770">
        <v>50</v>
      </c>
      <c r="F1770">
        <v>47.881694793999998</v>
      </c>
      <c r="G1770">
        <v>1337.4320068</v>
      </c>
      <c r="H1770">
        <v>1335.6671143000001</v>
      </c>
      <c r="I1770">
        <v>1327.6090088000001</v>
      </c>
      <c r="J1770">
        <v>1326.0769043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1181.9965050000001</v>
      </c>
      <c r="B1771" s="1">
        <f>DATE(2013,7,25) + TIME(23,54,58)</f>
        <v>41480.996504629627</v>
      </c>
      <c r="C1771">
        <v>80</v>
      </c>
      <c r="D1771">
        <v>79.967475891000007</v>
      </c>
      <c r="E1771">
        <v>50</v>
      </c>
      <c r="F1771">
        <v>47.930725098000003</v>
      </c>
      <c r="G1771">
        <v>1337.4302978999999</v>
      </c>
      <c r="H1771">
        <v>1335.6667480000001</v>
      </c>
      <c r="I1771">
        <v>1327.6032714999999</v>
      </c>
      <c r="J1771">
        <v>1326.0665283000001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1183.8386969999999</v>
      </c>
      <c r="B1772" s="1">
        <f>DATE(2013,7,27) + TIME(20,7,43)</f>
        <v>41482.838692129626</v>
      </c>
      <c r="C1772">
        <v>80</v>
      </c>
      <c r="D1772">
        <v>79.967468261999997</v>
      </c>
      <c r="E1772">
        <v>50</v>
      </c>
      <c r="F1772">
        <v>48.008533477999997</v>
      </c>
      <c r="G1772">
        <v>1337.4267577999999</v>
      </c>
      <c r="H1772">
        <v>1335.6658935999999</v>
      </c>
      <c r="I1772">
        <v>1327.5957031</v>
      </c>
      <c r="J1772">
        <v>1326.0517577999999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1185.729034</v>
      </c>
      <c r="B1773" s="1">
        <f>DATE(2013,7,29) + TIME(17,29,48)</f>
        <v>41484.729027777779</v>
      </c>
      <c r="C1773">
        <v>80</v>
      </c>
      <c r="D1773">
        <v>79.967460631999998</v>
      </c>
      <c r="E1773">
        <v>50</v>
      </c>
      <c r="F1773">
        <v>48.11390686</v>
      </c>
      <c r="G1773">
        <v>1337.4233397999999</v>
      </c>
      <c r="H1773">
        <v>1335.6650391000001</v>
      </c>
      <c r="I1773">
        <v>1327.5875243999999</v>
      </c>
      <c r="J1773">
        <v>1326.0358887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1186.693246</v>
      </c>
      <c r="B1774" s="1">
        <f>DATE(2013,7,30) + TIME(16,38,16)</f>
        <v>41485.693240740744</v>
      </c>
      <c r="C1774">
        <v>80</v>
      </c>
      <c r="D1774">
        <v>79.967445373999993</v>
      </c>
      <c r="E1774">
        <v>50</v>
      </c>
      <c r="F1774">
        <v>48.214187621999997</v>
      </c>
      <c r="G1774">
        <v>1337.4199219</v>
      </c>
      <c r="H1774">
        <v>1335.6641846</v>
      </c>
      <c r="I1774">
        <v>1327.5808105000001</v>
      </c>
      <c r="J1774">
        <v>1326.0212402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1188</v>
      </c>
      <c r="B1775" s="1">
        <f>DATE(2013,8,1) + TIME(0,0,0)</f>
        <v>41487</v>
      </c>
      <c r="C1775">
        <v>80</v>
      </c>
      <c r="D1775">
        <v>79.967437743999994</v>
      </c>
      <c r="E1775">
        <v>50</v>
      </c>
      <c r="F1775">
        <v>48.326690673999998</v>
      </c>
      <c r="G1775">
        <v>1337.4183350000001</v>
      </c>
      <c r="H1775">
        <v>1335.6636963000001</v>
      </c>
      <c r="I1775">
        <v>1327.5749512</v>
      </c>
      <c r="J1775">
        <v>1326.0109863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1189.8928060000001</v>
      </c>
      <c r="B1776" s="1">
        <f>DATE(2013,8,2) + TIME(21,25,38)</f>
        <v>41488.892800925925</v>
      </c>
      <c r="C1776">
        <v>80</v>
      </c>
      <c r="D1776">
        <v>79.967445373999993</v>
      </c>
      <c r="E1776">
        <v>50</v>
      </c>
      <c r="F1776">
        <v>48.474269866999997</v>
      </c>
      <c r="G1776">
        <v>1337.4160156</v>
      </c>
      <c r="H1776">
        <v>1335.6630858999999</v>
      </c>
      <c r="I1776">
        <v>1327.5692139</v>
      </c>
      <c r="J1776">
        <v>1325.9998779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1191.7868209999999</v>
      </c>
      <c r="B1777" s="1">
        <f>DATE(2013,8,4) + TIME(18,53,1)</f>
        <v>41490.786817129629</v>
      </c>
      <c r="C1777">
        <v>80</v>
      </c>
      <c r="D1777">
        <v>79.967445373999993</v>
      </c>
      <c r="E1777">
        <v>50</v>
      </c>
      <c r="F1777">
        <v>48.674072266000003</v>
      </c>
      <c r="G1777">
        <v>1337.4128418</v>
      </c>
      <c r="H1777">
        <v>1335.6622314000001</v>
      </c>
      <c r="I1777">
        <v>1327.5634766000001</v>
      </c>
      <c r="J1777">
        <v>1325.9871826000001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1193.7210889999999</v>
      </c>
      <c r="B1778" s="1">
        <f>DATE(2013,8,6) + TIME(17,18,22)</f>
        <v>41492.721087962964</v>
      </c>
      <c r="C1778">
        <v>80</v>
      </c>
      <c r="D1778">
        <v>79.967445373999993</v>
      </c>
      <c r="E1778">
        <v>50</v>
      </c>
      <c r="F1778">
        <v>48.917373656999999</v>
      </c>
      <c r="G1778">
        <v>1337.4095459</v>
      </c>
      <c r="H1778">
        <v>1335.6613769999999</v>
      </c>
      <c r="I1778">
        <v>1327.5577393000001</v>
      </c>
      <c r="J1778">
        <v>1325.9748535000001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1194.7129890000001</v>
      </c>
      <c r="B1779" s="1">
        <f>DATE(2013,8,7) + TIME(17,6,42)</f>
        <v>41493.71298611111</v>
      </c>
      <c r="C1779">
        <v>80</v>
      </c>
      <c r="D1779">
        <v>79.967430114999999</v>
      </c>
      <c r="E1779">
        <v>50</v>
      </c>
      <c r="F1779">
        <v>49.131267547999997</v>
      </c>
      <c r="G1779">
        <v>1337.4063721</v>
      </c>
      <c r="H1779">
        <v>1335.6604004000001</v>
      </c>
      <c r="I1779">
        <v>1327.5540771000001</v>
      </c>
      <c r="J1779">
        <v>1325.9643555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1196.5366469999999</v>
      </c>
      <c r="B1780" s="1">
        <f>DATE(2013,8,9) + TIME(12,52,46)</f>
        <v>41495.536643518521</v>
      </c>
      <c r="C1780">
        <v>80</v>
      </c>
      <c r="D1780">
        <v>79.967437743999994</v>
      </c>
      <c r="E1780">
        <v>50</v>
      </c>
      <c r="F1780">
        <v>49.385086059999999</v>
      </c>
      <c r="G1780">
        <v>1337.4049072</v>
      </c>
      <c r="H1780">
        <v>1335.6600341999999</v>
      </c>
      <c r="I1780">
        <v>1327.5491943</v>
      </c>
      <c r="J1780">
        <v>1325.9570312000001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1198.451834</v>
      </c>
      <c r="B1781" s="1">
        <f>DATE(2013,8,11) + TIME(10,50,38)</f>
        <v>41497.451828703706</v>
      </c>
      <c r="C1781">
        <v>80</v>
      </c>
      <c r="D1781">
        <v>79.967445373999993</v>
      </c>
      <c r="E1781">
        <v>50</v>
      </c>
      <c r="F1781">
        <v>49.710350036999998</v>
      </c>
      <c r="G1781">
        <v>1337.4019774999999</v>
      </c>
      <c r="H1781">
        <v>1335.6591797000001</v>
      </c>
      <c r="I1781">
        <v>1327.5455322</v>
      </c>
      <c r="J1781">
        <v>1325.9482422000001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1200.425941</v>
      </c>
      <c r="B1782" s="1">
        <f>DATE(2013,8,13) + TIME(10,13,21)</f>
        <v>41499.425937499997</v>
      </c>
      <c r="C1782">
        <v>80</v>
      </c>
      <c r="D1782">
        <v>79.967445373999993</v>
      </c>
      <c r="E1782">
        <v>50</v>
      </c>
      <c r="F1782">
        <v>50.076873779000003</v>
      </c>
      <c r="G1782">
        <v>1337.3989257999999</v>
      </c>
      <c r="H1782">
        <v>1335.6582031</v>
      </c>
      <c r="I1782">
        <v>1327.5421143000001</v>
      </c>
      <c r="J1782">
        <v>1325.9400635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1202.48892</v>
      </c>
      <c r="B1783" s="1">
        <f>DATE(2013,8,15) + TIME(11,44,2)</f>
        <v>41501.488912037035</v>
      </c>
      <c r="C1783">
        <v>80</v>
      </c>
      <c r="D1783">
        <v>79.967445373999993</v>
      </c>
      <c r="E1783">
        <v>50</v>
      </c>
      <c r="F1783">
        <v>50.490619658999996</v>
      </c>
      <c r="G1783">
        <v>1337.395874</v>
      </c>
      <c r="H1783">
        <v>1335.6572266000001</v>
      </c>
      <c r="I1783">
        <v>1327.5390625</v>
      </c>
      <c r="J1783">
        <v>1325.9327393000001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1204.558972</v>
      </c>
      <c r="B1784" s="1">
        <f>DATE(2013,8,17) + TIME(13,24,55)</f>
        <v>41503.558969907404</v>
      </c>
      <c r="C1784">
        <v>80</v>
      </c>
      <c r="D1784">
        <v>79.967453003000003</v>
      </c>
      <c r="E1784">
        <v>50</v>
      </c>
      <c r="F1784">
        <v>50.952365874999998</v>
      </c>
      <c r="G1784">
        <v>1337.3928223</v>
      </c>
      <c r="H1784">
        <v>1335.6563721</v>
      </c>
      <c r="I1784">
        <v>1327.5366211</v>
      </c>
      <c r="J1784">
        <v>1325.9262695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1206.702873</v>
      </c>
      <c r="B1785" s="1">
        <f>DATE(2013,8,19) + TIME(16,52,8)</f>
        <v>41505.702870370369</v>
      </c>
      <c r="C1785">
        <v>80</v>
      </c>
      <c r="D1785">
        <v>79.967460631999998</v>
      </c>
      <c r="E1785">
        <v>50</v>
      </c>
      <c r="F1785">
        <v>51.455245972</v>
      </c>
      <c r="G1785">
        <v>1337.3897704999999</v>
      </c>
      <c r="H1785">
        <v>1335.6553954999999</v>
      </c>
      <c r="I1785">
        <v>1327.534668</v>
      </c>
      <c r="J1785">
        <v>1325.9211425999999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1208.967991</v>
      </c>
      <c r="B1786" s="1">
        <f>DATE(2013,8,21) + TIME(23,13,54)</f>
        <v>41507.967986111114</v>
      </c>
      <c r="C1786">
        <v>80</v>
      </c>
      <c r="D1786">
        <v>79.967468261999997</v>
      </c>
      <c r="E1786">
        <v>50</v>
      </c>
      <c r="F1786">
        <v>51.999290465999998</v>
      </c>
      <c r="G1786">
        <v>1337.3867187999999</v>
      </c>
      <c r="H1786">
        <v>1335.6544189000001</v>
      </c>
      <c r="I1786">
        <v>1327.5332031</v>
      </c>
      <c r="J1786">
        <v>1325.9169922000001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1211.2757810000001</v>
      </c>
      <c r="B1787" s="1">
        <f>DATE(2013,8,24) + TIME(6,37,7)</f>
        <v>41510.275775462964</v>
      </c>
      <c r="C1787">
        <v>80</v>
      </c>
      <c r="D1787">
        <v>79.967475891000007</v>
      </c>
      <c r="E1787">
        <v>50</v>
      </c>
      <c r="F1787">
        <v>52.578296661000003</v>
      </c>
      <c r="G1787">
        <v>1337.3835449000001</v>
      </c>
      <c r="H1787">
        <v>1335.6533202999999</v>
      </c>
      <c r="I1787">
        <v>1327.5323486</v>
      </c>
      <c r="J1787">
        <v>1325.9138184000001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1213.674141</v>
      </c>
      <c r="B1788" s="1">
        <f>DATE(2013,8,26) + TIME(16,10,45)</f>
        <v>41512.674131944441</v>
      </c>
      <c r="C1788">
        <v>80</v>
      </c>
      <c r="D1788">
        <v>79.967483521000005</v>
      </c>
      <c r="E1788">
        <v>50</v>
      </c>
      <c r="F1788">
        <v>53.179222107000001</v>
      </c>
      <c r="G1788">
        <v>1337.3804932</v>
      </c>
      <c r="H1788">
        <v>1335.6523437999999</v>
      </c>
      <c r="I1788">
        <v>1327.5321045000001</v>
      </c>
      <c r="J1788">
        <v>1325.9118652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1216.154618</v>
      </c>
      <c r="B1789" s="1">
        <f>DATE(2013,8,29) + TIME(3,42,38)</f>
        <v>41515.154606481483</v>
      </c>
      <c r="C1789">
        <v>80</v>
      </c>
      <c r="D1789">
        <v>79.967491150000001</v>
      </c>
      <c r="E1789">
        <v>50</v>
      </c>
      <c r="F1789">
        <v>53.798000336000001</v>
      </c>
      <c r="G1789">
        <v>1337.3773193</v>
      </c>
      <c r="H1789">
        <v>1335.6512451000001</v>
      </c>
      <c r="I1789">
        <v>1327.5323486</v>
      </c>
      <c r="J1789">
        <v>1325.9107666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1218.68977</v>
      </c>
      <c r="B1790" s="1">
        <f>DATE(2013,8,31) + TIME(16,33,16)</f>
        <v>41517.689768518518</v>
      </c>
      <c r="C1790">
        <v>80</v>
      </c>
      <c r="D1790">
        <v>79.967506408999995</v>
      </c>
      <c r="E1790">
        <v>50</v>
      </c>
      <c r="F1790">
        <v>54.425525665000002</v>
      </c>
      <c r="G1790">
        <v>1337.3740233999999</v>
      </c>
      <c r="H1790">
        <v>1335.6502685999999</v>
      </c>
      <c r="I1790">
        <v>1327.5332031</v>
      </c>
      <c r="J1790">
        <v>1325.9106445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1219</v>
      </c>
      <c r="B1791" s="1">
        <f>DATE(2013,9,1) + TIME(0,0,0)</f>
        <v>41518</v>
      </c>
      <c r="C1791">
        <v>80</v>
      </c>
      <c r="D1791">
        <v>79.967498778999996</v>
      </c>
      <c r="E1791">
        <v>50</v>
      </c>
      <c r="F1791">
        <v>54.641525268999999</v>
      </c>
      <c r="G1791">
        <v>1337.3709716999999</v>
      </c>
      <c r="H1791">
        <v>1335.6491699000001</v>
      </c>
      <c r="I1791">
        <v>1327.5404053</v>
      </c>
      <c r="J1791">
        <v>1325.9124756000001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1221.6336679999999</v>
      </c>
      <c r="B1792" s="1">
        <f>DATE(2013,9,3) + TIME(15,12,28)</f>
        <v>41520.633657407408</v>
      </c>
      <c r="C1792">
        <v>80</v>
      </c>
      <c r="D1792">
        <v>79.967521667</v>
      </c>
      <c r="E1792">
        <v>50</v>
      </c>
      <c r="F1792">
        <v>55.162410735999998</v>
      </c>
      <c r="G1792">
        <v>1337.3706055</v>
      </c>
      <c r="H1792">
        <v>1335.6490478999999</v>
      </c>
      <c r="I1792">
        <v>1327.5347899999999</v>
      </c>
      <c r="J1792">
        <v>1325.9127197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1224.3297030000001</v>
      </c>
      <c r="B1793" s="1">
        <f>DATE(2013,9,6) + TIME(7,54,46)</f>
        <v>41523.329699074071</v>
      </c>
      <c r="C1793">
        <v>80</v>
      </c>
      <c r="D1793">
        <v>79.967536925999994</v>
      </c>
      <c r="E1793">
        <v>50</v>
      </c>
      <c r="F1793">
        <v>55.754283905000001</v>
      </c>
      <c r="G1793">
        <v>1337.3674315999999</v>
      </c>
      <c r="H1793">
        <v>1335.6479492000001</v>
      </c>
      <c r="I1793">
        <v>1327.5367432</v>
      </c>
      <c r="J1793">
        <v>1325.9133300999999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1227.0940009999999</v>
      </c>
      <c r="B1794" s="1">
        <f>DATE(2013,9,9) + TIME(2,15,21)</f>
        <v>41526.093993055554</v>
      </c>
      <c r="C1794">
        <v>80</v>
      </c>
      <c r="D1794">
        <v>79.967552185000002</v>
      </c>
      <c r="E1794">
        <v>50</v>
      </c>
      <c r="F1794">
        <v>56.353027343999997</v>
      </c>
      <c r="G1794">
        <v>1337.3642577999999</v>
      </c>
      <c r="H1794">
        <v>1335.6468506000001</v>
      </c>
      <c r="I1794">
        <v>1327.5391846</v>
      </c>
      <c r="J1794">
        <v>1325.9155272999999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1229.955326</v>
      </c>
      <c r="B1795" s="1">
        <f>DATE(2013,9,11) + TIME(22,55,40)</f>
        <v>41528.955324074072</v>
      </c>
      <c r="C1795">
        <v>80</v>
      </c>
      <c r="D1795">
        <v>79.967567443999997</v>
      </c>
      <c r="E1795">
        <v>50</v>
      </c>
      <c r="F1795">
        <v>56.944599152000002</v>
      </c>
      <c r="G1795">
        <v>1337.3610839999999</v>
      </c>
      <c r="H1795">
        <v>1335.645874</v>
      </c>
      <c r="I1795">
        <v>1327.5421143000001</v>
      </c>
      <c r="J1795">
        <v>1325.918457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1232.871345</v>
      </c>
      <c r="B1796" s="1">
        <f>DATE(2013,9,14) + TIME(20,54,44)</f>
        <v>41531.871342592596</v>
      </c>
      <c r="C1796">
        <v>80</v>
      </c>
      <c r="D1796">
        <v>79.967590332</v>
      </c>
      <c r="E1796">
        <v>50</v>
      </c>
      <c r="F1796">
        <v>57.525203705000003</v>
      </c>
      <c r="G1796">
        <v>1337.3580322</v>
      </c>
      <c r="H1796">
        <v>1335.6447754000001</v>
      </c>
      <c r="I1796">
        <v>1327.5454102000001</v>
      </c>
      <c r="J1796">
        <v>1325.921875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1235.8566719999999</v>
      </c>
      <c r="B1797" s="1">
        <f>DATE(2013,9,17) + TIME(20,33,36)</f>
        <v>41534.856666666667</v>
      </c>
      <c r="C1797">
        <v>80</v>
      </c>
      <c r="D1797">
        <v>79.967605590999995</v>
      </c>
      <c r="E1797">
        <v>50</v>
      </c>
      <c r="F1797">
        <v>58.088630676000001</v>
      </c>
      <c r="G1797">
        <v>1337.3548584</v>
      </c>
      <c r="H1797">
        <v>1335.6437988</v>
      </c>
      <c r="I1797">
        <v>1327.5490723</v>
      </c>
      <c r="J1797">
        <v>1325.9259033000001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1238.965864</v>
      </c>
      <c r="B1798" s="1">
        <f>DATE(2013,9,20) + TIME(23,10,50)</f>
        <v>41537.965856481482</v>
      </c>
      <c r="C1798">
        <v>80</v>
      </c>
      <c r="D1798">
        <v>79.967628478999998</v>
      </c>
      <c r="E1798">
        <v>50</v>
      </c>
      <c r="F1798">
        <v>58.635643004999999</v>
      </c>
      <c r="G1798">
        <v>1337.3519286999999</v>
      </c>
      <c r="H1798">
        <v>1335.6428223</v>
      </c>
      <c r="I1798">
        <v>1327.5529785000001</v>
      </c>
      <c r="J1798">
        <v>1325.9301757999999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1242.117248</v>
      </c>
      <c r="B1799" s="1">
        <f>DATE(2013,9,24) + TIME(2,48,50)</f>
        <v>41541.117245370369</v>
      </c>
      <c r="C1799">
        <v>80</v>
      </c>
      <c r="D1799">
        <v>79.967658997000001</v>
      </c>
      <c r="E1799">
        <v>50</v>
      </c>
      <c r="F1799">
        <v>59.165214538999997</v>
      </c>
      <c r="G1799">
        <v>1337.3488769999999</v>
      </c>
      <c r="H1799">
        <v>1335.6417236</v>
      </c>
      <c r="I1799">
        <v>1327.557251</v>
      </c>
      <c r="J1799">
        <v>1325.9348144999999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1245.347759</v>
      </c>
      <c r="B1800" s="1">
        <f>DATE(2013,9,27) + TIME(8,20,46)</f>
        <v>41544.347754629627</v>
      </c>
      <c r="C1800">
        <v>80</v>
      </c>
      <c r="D1800">
        <v>79.967681885000005</v>
      </c>
      <c r="E1800">
        <v>50</v>
      </c>
      <c r="F1800">
        <v>59.673274994000003</v>
      </c>
      <c r="G1800">
        <v>1337.3458252</v>
      </c>
      <c r="H1800">
        <v>1335.6407471</v>
      </c>
      <c r="I1800">
        <v>1327.5615233999999</v>
      </c>
      <c r="J1800">
        <v>1325.9395752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1248.7205690000001</v>
      </c>
      <c r="B1801" s="1">
        <f>DATE(2013,9,30) + TIME(17,17,37)</f>
        <v>41547.720567129632</v>
      </c>
      <c r="C1801">
        <v>80</v>
      </c>
      <c r="D1801">
        <v>79.967704772999994</v>
      </c>
      <c r="E1801">
        <v>50</v>
      </c>
      <c r="F1801">
        <v>60.160717009999999</v>
      </c>
      <c r="G1801">
        <v>1337.3428954999999</v>
      </c>
      <c r="H1801">
        <v>1335.6397704999999</v>
      </c>
      <c r="I1801">
        <v>1327.565918</v>
      </c>
      <c r="J1801">
        <v>1325.9444579999999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1249</v>
      </c>
      <c r="B1802" s="1">
        <f>DATE(2013,10,1) + TIME(0,0,0)</f>
        <v>41548</v>
      </c>
      <c r="C1802">
        <v>80</v>
      </c>
      <c r="D1802">
        <v>79.967697143999999</v>
      </c>
      <c r="E1802">
        <v>50</v>
      </c>
      <c r="F1802">
        <v>60.309715271000002</v>
      </c>
      <c r="G1802">
        <v>1337.3399658000001</v>
      </c>
      <c r="H1802">
        <v>1335.6389160000001</v>
      </c>
      <c r="I1802">
        <v>1327.5750731999999</v>
      </c>
      <c r="J1802">
        <v>1325.9503173999999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1252.4216120000001</v>
      </c>
      <c r="B1803" s="1">
        <f>DATE(2013,10,4) + TIME(10,7,7)</f>
        <v>41551.4216087963</v>
      </c>
      <c r="C1803">
        <v>80</v>
      </c>
      <c r="D1803">
        <v>79.967735290999997</v>
      </c>
      <c r="E1803">
        <v>50</v>
      </c>
      <c r="F1803">
        <v>60.692165375000002</v>
      </c>
      <c r="G1803">
        <v>1337.3397216999999</v>
      </c>
      <c r="H1803">
        <v>1335.6387939000001</v>
      </c>
      <c r="I1803">
        <v>1327.5715332</v>
      </c>
      <c r="J1803">
        <v>1325.9516602000001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1255.9448420000001</v>
      </c>
      <c r="B1804" s="1">
        <f>DATE(2013,10,7) + TIME(22,40,34)</f>
        <v>41554.944837962961</v>
      </c>
      <c r="C1804">
        <v>80</v>
      </c>
      <c r="D1804">
        <v>79.967765807999996</v>
      </c>
      <c r="E1804">
        <v>50</v>
      </c>
      <c r="F1804">
        <v>61.123466491999999</v>
      </c>
      <c r="G1804">
        <v>1337.3367920000001</v>
      </c>
      <c r="H1804">
        <v>1335.6378173999999</v>
      </c>
      <c r="I1804">
        <v>1327.5756836</v>
      </c>
      <c r="J1804">
        <v>1325.9550781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1259.597653</v>
      </c>
      <c r="B1805" s="1">
        <f>DATE(2013,10,11) + TIME(14,20,37)</f>
        <v>41558.597650462965</v>
      </c>
      <c r="C1805">
        <v>80</v>
      </c>
      <c r="D1805">
        <v>79.967803954999994</v>
      </c>
      <c r="E1805">
        <v>50</v>
      </c>
      <c r="F1805">
        <v>61.549819946</v>
      </c>
      <c r="G1805">
        <v>1337.3339844</v>
      </c>
      <c r="H1805">
        <v>1335.6368408000001</v>
      </c>
      <c r="I1805">
        <v>1327.5803223</v>
      </c>
      <c r="J1805">
        <v>1325.9598389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1263.3335360000001</v>
      </c>
      <c r="B1806" s="1">
        <f>DATE(2013,10,15) + TIME(8,0,17)</f>
        <v>41562.33353009259</v>
      </c>
      <c r="C1806">
        <v>80</v>
      </c>
      <c r="D1806">
        <v>79.967834472999996</v>
      </c>
      <c r="E1806">
        <v>50</v>
      </c>
      <c r="F1806">
        <v>61.962100982999999</v>
      </c>
      <c r="G1806">
        <v>1337.3310547000001</v>
      </c>
      <c r="H1806">
        <v>1335.6359863</v>
      </c>
      <c r="I1806">
        <v>1327.5852050999999</v>
      </c>
      <c r="J1806">
        <v>1325.9647216999999</v>
      </c>
      <c r="K1806">
        <v>1650</v>
      </c>
      <c r="L1806">
        <v>0</v>
      </c>
      <c r="M1806">
        <v>0</v>
      </c>
      <c r="N1806">
        <v>1650</v>
      </c>
    </row>
    <row r="1807" spans="1:14" x14ac:dyDescent="0.25">
      <c r="A1807">
        <v>1267.159643</v>
      </c>
      <c r="B1807" s="1">
        <f>DATE(2013,10,19) + TIME(3,49,53)</f>
        <v>41566.159641203703</v>
      </c>
      <c r="C1807">
        <v>80</v>
      </c>
      <c r="D1807">
        <v>79.967872619999994</v>
      </c>
      <c r="E1807">
        <v>50</v>
      </c>
      <c r="F1807">
        <v>62.355747223000002</v>
      </c>
      <c r="G1807">
        <v>1337.3282471</v>
      </c>
      <c r="H1807">
        <v>1335.6350098</v>
      </c>
      <c r="I1807">
        <v>1327.5899658000001</v>
      </c>
      <c r="J1807">
        <v>1325.9697266000001</v>
      </c>
      <c r="K1807">
        <v>1650</v>
      </c>
      <c r="L1807">
        <v>0</v>
      </c>
      <c r="M1807">
        <v>0</v>
      </c>
      <c r="N1807">
        <v>1650</v>
      </c>
    </row>
    <row r="1808" spans="1:14" x14ac:dyDescent="0.25">
      <c r="A1808">
        <v>1271.106284</v>
      </c>
      <c r="B1808" s="1">
        <f>DATE(2013,10,23) + TIME(2,33,2)</f>
        <v>41570.106273148151</v>
      </c>
      <c r="C1808">
        <v>80</v>
      </c>
      <c r="D1808">
        <v>79.967903136999993</v>
      </c>
      <c r="E1808">
        <v>50</v>
      </c>
      <c r="F1808">
        <v>62.730281830000003</v>
      </c>
      <c r="G1808">
        <v>1337.3255615</v>
      </c>
      <c r="H1808">
        <v>1335.6341553</v>
      </c>
      <c r="I1808">
        <v>1327.5948486</v>
      </c>
      <c r="J1808">
        <v>1325.9746094</v>
      </c>
      <c r="K1808">
        <v>1650</v>
      </c>
      <c r="L1808">
        <v>0</v>
      </c>
      <c r="M1808">
        <v>0</v>
      </c>
      <c r="N1808">
        <v>1650</v>
      </c>
    </row>
    <row r="1809" spans="1:14" x14ac:dyDescent="0.25">
      <c r="A1809">
        <v>1275.1846190000001</v>
      </c>
      <c r="B1809" s="1">
        <f>DATE(2013,10,27) + TIME(4,25,51)</f>
        <v>41574.184618055559</v>
      </c>
      <c r="C1809">
        <v>80</v>
      </c>
      <c r="D1809">
        <v>79.967948914000004</v>
      </c>
      <c r="E1809">
        <v>50</v>
      </c>
      <c r="F1809">
        <v>63.091148376</v>
      </c>
      <c r="G1809">
        <v>1337.3227539</v>
      </c>
      <c r="H1809">
        <v>1335.6333007999999</v>
      </c>
      <c r="I1809">
        <v>1327.5997314000001</v>
      </c>
      <c r="J1809">
        <v>1325.9794922000001</v>
      </c>
      <c r="K1809">
        <v>1650</v>
      </c>
      <c r="L1809">
        <v>0</v>
      </c>
      <c r="M1809">
        <v>0</v>
      </c>
      <c r="N1809">
        <v>1650</v>
      </c>
    </row>
    <row r="1810" spans="1:14" x14ac:dyDescent="0.25">
      <c r="A1810">
        <v>1279.3296539999999</v>
      </c>
      <c r="B1810" s="1">
        <f>DATE(2013,10,31) + TIME(7,54,42)</f>
        <v>41578.329652777778</v>
      </c>
      <c r="C1810">
        <v>80</v>
      </c>
      <c r="D1810">
        <v>79.967987061000002</v>
      </c>
      <c r="E1810">
        <v>50</v>
      </c>
      <c r="F1810">
        <v>63.436382293999998</v>
      </c>
      <c r="G1810">
        <v>1337.3200684000001</v>
      </c>
      <c r="H1810">
        <v>1335.6324463000001</v>
      </c>
      <c r="I1810">
        <v>1327.6047363</v>
      </c>
      <c r="J1810">
        <v>1325.9842529</v>
      </c>
      <c r="K1810">
        <v>1650</v>
      </c>
      <c r="L1810">
        <v>0</v>
      </c>
      <c r="M1810">
        <v>0</v>
      </c>
      <c r="N1810">
        <v>1650</v>
      </c>
    </row>
    <row r="1811" spans="1:14" x14ac:dyDescent="0.25">
      <c r="A1811">
        <v>1280</v>
      </c>
      <c r="B1811" s="1">
        <f>DATE(2013,11,1) + TIME(0,0,0)</f>
        <v>41579</v>
      </c>
      <c r="C1811">
        <v>80</v>
      </c>
      <c r="D1811">
        <v>79.967979431000003</v>
      </c>
      <c r="E1811">
        <v>50</v>
      </c>
      <c r="F1811">
        <v>63.616836548000002</v>
      </c>
      <c r="G1811">
        <v>1337.3173827999999</v>
      </c>
      <c r="H1811">
        <v>1335.6317139</v>
      </c>
      <c r="I1811">
        <v>1327.6118164</v>
      </c>
      <c r="J1811">
        <v>1325.9897461</v>
      </c>
      <c r="K1811">
        <v>1650</v>
      </c>
      <c r="L1811">
        <v>0</v>
      </c>
      <c r="M1811">
        <v>0</v>
      </c>
      <c r="N1811">
        <v>1650</v>
      </c>
    </row>
    <row r="1812" spans="1:14" x14ac:dyDescent="0.25">
      <c r="A1812">
        <v>1280.0000010000001</v>
      </c>
      <c r="B1812" s="1">
        <f>DATE(2013,11,1) + TIME(0,0,0)</f>
        <v>41579</v>
      </c>
      <c r="C1812">
        <v>80</v>
      </c>
      <c r="D1812">
        <v>79.967910767000006</v>
      </c>
      <c r="E1812">
        <v>50</v>
      </c>
      <c r="F1812">
        <v>63.616905211999999</v>
      </c>
      <c r="G1812">
        <v>1335.1538086</v>
      </c>
      <c r="H1812">
        <v>1334.7783202999999</v>
      </c>
      <c r="I1812">
        <v>1329.8566894999999</v>
      </c>
      <c r="J1812">
        <v>1328.2575684000001</v>
      </c>
      <c r="K1812">
        <v>0</v>
      </c>
      <c r="L1812">
        <v>1650</v>
      </c>
      <c r="M1812">
        <v>1650</v>
      </c>
      <c r="N1812">
        <v>0</v>
      </c>
    </row>
    <row r="1813" spans="1:14" x14ac:dyDescent="0.25">
      <c r="A1813">
        <v>1280.000004</v>
      </c>
      <c r="B1813" s="1">
        <f>DATE(2013,11,1) + TIME(0,0,0)</f>
        <v>41579</v>
      </c>
      <c r="C1813">
        <v>80</v>
      </c>
      <c r="D1813">
        <v>79.967819214000002</v>
      </c>
      <c r="E1813">
        <v>50</v>
      </c>
      <c r="F1813">
        <v>63.616985321000001</v>
      </c>
      <c r="G1813">
        <v>1334.5197754000001</v>
      </c>
      <c r="H1813">
        <v>1334.1468506000001</v>
      </c>
      <c r="I1813">
        <v>1330.6795654</v>
      </c>
      <c r="J1813">
        <v>1329.1654053</v>
      </c>
      <c r="K1813">
        <v>0</v>
      </c>
      <c r="L1813">
        <v>1650</v>
      </c>
      <c r="M1813">
        <v>1650</v>
      </c>
      <c r="N1813">
        <v>0</v>
      </c>
    </row>
    <row r="1814" spans="1:14" x14ac:dyDescent="0.25">
      <c r="A1814">
        <v>1280.0000130000001</v>
      </c>
      <c r="B1814" s="1">
        <f>DATE(2013,11,1) + TIME(0,0,1)</f>
        <v>41579.000011574077</v>
      </c>
      <c r="C1814">
        <v>80</v>
      </c>
      <c r="D1814">
        <v>79.967720032000003</v>
      </c>
      <c r="E1814">
        <v>50</v>
      </c>
      <c r="F1814">
        <v>63.616966247999997</v>
      </c>
      <c r="G1814">
        <v>1333.8583983999999</v>
      </c>
      <c r="H1814">
        <v>1333.4580077999999</v>
      </c>
      <c r="I1814">
        <v>1331.6641846</v>
      </c>
      <c r="J1814">
        <v>1330.1270752</v>
      </c>
      <c r="K1814">
        <v>0</v>
      </c>
      <c r="L1814">
        <v>1650</v>
      </c>
      <c r="M1814">
        <v>1650</v>
      </c>
      <c r="N1814">
        <v>0</v>
      </c>
    </row>
    <row r="1815" spans="1:14" x14ac:dyDescent="0.25">
      <c r="A1815">
        <v>1280.0000399999999</v>
      </c>
      <c r="B1815" s="1">
        <f>DATE(2013,11,1) + TIME(0,0,3)</f>
        <v>41579.000034722223</v>
      </c>
      <c r="C1815">
        <v>80</v>
      </c>
      <c r="D1815">
        <v>79.967628478999998</v>
      </c>
      <c r="E1815">
        <v>50</v>
      </c>
      <c r="F1815">
        <v>63.616645812999998</v>
      </c>
      <c r="G1815">
        <v>1333.2000731999999</v>
      </c>
      <c r="H1815">
        <v>1332.7628173999999</v>
      </c>
      <c r="I1815">
        <v>1332.6652832</v>
      </c>
      <c r="J1815">
        <v>1331.0942382999999</v>
      </c>
      <c r="K1815">
        <v>0</v>
      </c>
      <c r="L1815">
        <v>1650</v>
      </c>
      <c r="M1815">
        <v>1650</v>
      </c>
      <c r="N1815">
        <v>0</v>
      </c>
    </row>
    <row r="1816" spans="1:14" x14ac:dyDescent="0.25">
      <c r="A1816">
        <v>1280.000121</v>
      </c>
      <c r="B1816" s="1">
        <f>DATE(2013,11,1) + TIME(0,0,10)</f>
        <v>41579.000115740739</v>
      </c>
      <c r="C1816">
        <v>80</v>
      </c>
      <c r="D1816">
        <v>79.967521667</v>
      </c>
      <c r="E1816">
        <v>50</v>
      </c>
      <c r="F1816">
        <v>63.615394592000001</v>
      </c>
      <c r="G1816">
        <v>1332.5228271000001</v>
      </c>
      <c r="H1816">
        <v>1332.0444336</v>
      </c>
      <c r="I1816">
        <v>1333.6490478999999</v>
      </c>
      <c r="J1816">
        <v>1332.0450439000001</v>
      </c>
      <c r="K1816">
        <v>0</v>
      </c>
      <c r="L1816">
        <v>1650</v>
      </c>
      <c r="M1816">
        <v>1650</v>
      </c>
      <c r="N1816">
        <v>0</v>
      </c>
    </row>
    <row r="1817" spans="1:14" x14ac:dyDescent="0.25">
      <c r="A1817">
        <v>1280.000364</v>
      </c>
      <c r="B1817" s="1">
        <f>DATE(2013,11,1) + TIME(0,0,31)</f>
        <v>41579.000358796293</v>
      </c>
      <c r="C1817">
        <v>80</v>
      </c>
      <c r="D1817">
        <v>79.967407226999995</v>
      </c>
      <c r="E1817">
        <v>50</v>
      </c>
      <c r="F1817">
        <v>63.611270904999998</v>
      </c>
      <c r="G1817">
        <v>1331.8420410000001</v>
      </c>
      <c r="H1817">
        <v>1331.3201904</v>
      </c>
      <c r="I1817">
        <v>1334.5897216999999</v>
      </c>
      <c r="J1817">
        <v>1332.9432373</v>
      </c>
      <c r="K1817">
        <v>0</v>
      </c>
      <c r="L1817">
        <v>1650</v>
      </c>
      <c r="M1817">
        <v>1650</v>
      </c>
      <c r="N1817">
        <v>0</v>
      </c>
    </row>
    <row r="1818" spans="1:14" x14ac:dyDescent="0.25">
      <c r="A1818">
        <v>1280.0010930000001</v>
      </c>
      <c r="B1818" s="1">
        <f>DATE(2013,11,1) + TIME(0,1,34)</f>
        <v>41579.001087962963</v>
      </c>
      <c r="C1818">
        <v>80</v>
      </c>
      <c r="D1818">
        <v>79.967247009000005</v>
      </c>
      <c r="E1818">
        <v>50</v>
      </c>
      <c r="F1818">
        <v>63.598308563000003</v>
      </c>
      <c r="G1818">
        <v>1331.2613524999999</v>
      </c>
      <c r="H1818">
        <v>1330.7021483999999</v>
      </c>
      <c r="I1818">
        <v>1335.3734131000001</v>
      </c>
      <c r="J1818">
        <v>1333.6816406</v>
      </c>
      <c r="K1818">
        <v>0</v>
      </c>
      <c r="L1818">
        <v>1650</v>
      </c>
      <c r="M1818">
        <v>1650</v>
      </c>
      <c r="N1818">
        <v>0</v>
      </c>
    </row>
    <row r="1819" spans="1:14" x14ac:dyDescent="0.25">
      <c r="A1819">
        <v>1280.0032799999999</v>
      </c>
      <c r="B1819" s="1">
        <f>DATE(2013,11,1) + TIME(0,4,43)</f>
        <v>41579.003275462965</v>
      </c>
      <c r="C1819">
        <v>80</v>
      </c>
      <c r="D1819">
        <v>79.966964722</v>
      </c>
      <c r="E1819">
        <v>50</v>
      </c>
      <c r="F1819">
        <v>63.558654785000002</v>
      </c>
      <c r="G1819">
        <v>1330.8779297000001</v>
      </c>
      <c r="H1819">
        <v>1330.2989502</v>
      </c>
      <c r="I1819">
        <v>1335.8834228999999</v>
      </c>
      <c r="J1819">
        <v>1334.1632079999999</v>
      </c>
      <c r="K1819">
        <v>0</v>
      </c>
      <c r="L1819">
        <v>1650</v>
      </c>
      <c r="M1819">
        <v>1650</v>
      </c>
      <c r="N1819">
        <v>0</v>
      </c>
    </row>
    <row r="1820" spans="1:14" x14ac:dyDescent="0.25">
      <c r="A1820">
        <v>1280.0098410000001</v>
      </c>
      <c r="B1820" s="1">
        <f>DATE(2013,11,1) + TIME(0,14,10)</f>
        <v>41579.009837962964</v>
      </c>
      <c r="C1820">
        <v>80</v>
      </c>
      <c r="D1820">
        <v>79.966255188000005</v>
      </c>
      <c r="E1820">
        <v>50</v>
      </c>
      <c r="F1820">
        <v>63.440048218000001</v>
      </c>
      <c r="G1820">
        <v>1330.6917725000001</v>
      </c>
      <c r="H1820">
        <v>1330.1069336</v>
      </c>
      <c r="I1820">
        <v>1336.1130370999999</v>
      </c>
      <c r="J1820">
        <v>1334.3819579999999</v>
      </c>
      <c r="K1820">
        <v>0</v>
      </c>
      <c r="L1820">
        <v>1650</v>
      </c>
      <c r="M1820">
        <v>1650</v>
      </c>
      <c r="N1820">
        <v>0</v>
      </c>
    </row>
    <row r="1821" spans="1:14" x14ac:dyDescent="0.25">
      <c r="A1821">
        <v>1280.029524</v>
      </c>
      <c r="B1821" s="1">
        <f>DATE(2013,11,1) + TIME(0,42,30)</f>
        <v>41579.029513888891</v>
      </c>
      <c r="C1821">
        <v>80</v>
      </c>
      <c r="D1821">
        <v>79.964210510000001</v>
      </c>
      <c r="E1821">
        <v>50</v>
      </c>
      <c r="F1821">
        <v>63.094520568999997</v>
      </c>
      <c r="G1821">
        <v>1330.6357422000001</v>
      </c>
      <c r="H1821">
        <v>1330.0491943</v>
      </c>
      <c r="I1821">
        <v>1336.1607666</v>
      </c>
      <c r="J1821">
        <v>1334.4270019999999</v>
      </c>
      <c r="K1821">
        <v>0</v>
      </c>
      <c r="L1821">
        <v>1650</v>
      </c>
      <c r="M1821">
        <v>1650</v>
      </c>
      <c r="N1821">
        <v>0</v>
      </c>
    </row>
    <row r="1822" spans="1:14" x14ac:dyDescent="0.25">
      <c r="A1822">
        <v>1280.084713</v>
      </c>
      <c r="B1822" s="1">
        <f>DATE(2013,11,1) + TIME(2,1,59)</f>
        <v>41579.084710648145</v>
      </c>
      <c r="C1822">
        <v>80</v>
      </c>
      <c r="D1822">
        <v>79.958610535000005</v>
      </c>
      <c r="E1822">
        <v>50</v>
      </c>
      <c r="F1822">
        <v>62.203056334999999</v>
      </c>
      <c r="G1822">
        <v>1330.6240233999999</v>
      </c>
      <c r="H1822">
        <v>1330.0351562000001</v>
      </c>
      <c r="I1822">
        <v>1336.1490478999999</v>
      </c>
      <c r="J1822">
        <v>1334.4141846</v>
      </c>
      <c r="K1822">
        <v>0</v>
      </c>
      <c r="L1822">
        <v>1650</v>
      </c>
      <c r="M1822">
        <v>1650</v>
      </c>
      <c r="N1822">
        <v>0</v>
      </c>
    </row>
    <row r="1823" spans="1:14" x14ac:dyDescent="0.25">
      <c r="A1823">
        <v>1280.1432789999999</v>
      </c>
      <c r="B1823" s="1">
        <f>DATE(2013,11,1) + TIME(3,26,19)</f>
        <v>41579.143275462964</v>
      </c>
      <c r="C1823">
        <v>80</v>
      </c>
      <c r="D1823">
        <v>79.952705382999994</v>
      </c>
      <c r="E1823">
        <v>50</v>
      </c>
      <c r="F1823">
        <v>61.336132050000003</v>
      </c>
      <c r="G1823">
        <v>1330.6158447</v>
      </c>
      <c r="H1823">
        <v>1330.0230713000001</v>
      </c>
      <c r="I1823">
        <v>1336.1326904</v>
      </c>
      <c r="J1823">
        <v>1334.3985596</v>
      </c>
      <c r="K1823">
        <v>0</v>
      </c>
      <c r="L1823">
        <v>1650</v>
      </c>
      <c r="M1823">
        <v>1650</v>
      </c>
      <c r="N1823">
        <v>0</v>
      </c>
    </row>
    <row r="1824" spans="1:14" x14ac:dyDescent="0.25">
      <c r="A1824">
        <v>1280.2055359999999</v>
      </c>
      <c r="B1824" s="1">
        <f>DATE(2013,11,1) + TIME(4,55,58)</f>
        <v>41579.20553240741</v>
      </c>
      <c r="C1824">
        <v>80</v>
      </c>
      <c r="D1824">
        <v>79.946472168</v>
      </c>
      <c r="E1824">
        <v>50</v>
      </c>
      <c r="F1824">
        <v>60.494270325000002</v>
      </c>
      <c r="G1824">
        <v>1330.6080322</v>
      </c>
      <c r="H1824">
        <v>1330.0111084</v>
      </c>
      <c r="I1824">
        <v>1336.1173096</v>
      </c>
      <c r="J1824">
        <v>1334.3836670000001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1280.2718709999999</v>
      </c>
      <c r="B1825" s="1">
        <f>DATE(2013,11,1) + TIME(6,31,29)</f>
        <v>41579.271863425929</v>
      </c>
      <c r="C1825">
        <v>80</v>
      </c>
      <c r="D1825">
        <v>79.939880371000001</v>
      </c>
      <c r="E1825">
        <v>50</v>
      </c>
      <c r="F1825">
        <v>59.677413940000001</v>
      </c>
      <c r="G1825">
        <v>1330.6000977000001</v>
      </c>
      <c r="H1825">
        <v>1329.9989014</v>
      </c>
      <c r="I1825">
        <v>1336.1029053</v>
      </c>
      <c r="J1825">
        <v>1334.369751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1280.341715</v>
      </c>
      <c r="B1826" s="1">
        <f>DATE(2013,11,1) + TIME(8,12,4)</f>
        <v>41579.34171296296</v>
      </c>
      <c r="C1826">
        <v>80</v>
      </c>
      <c r="D1826">
        <v>79.932991028000004</v>
      </c>
      <c r="E1826">
        <v>50</v>
      </c>
      <c r="F1826">
        <v>58.896076202000003</v>
      </c>
      <c r="G1826">
        <v>1330.5917969</v>
      </c>
      <c r="H1826">
        <v>1329.9863281</v>
      </c>
      <c r="I1826">
        <v>1336.0898437999999</v>
      </c>
      <c r="J1826">
        <v>1334.3568115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1280.413941</v>
      </c>
      <c r="B1827" s="1">
        <f>DATE(2013,11,1) + TIME(9,56,4)</f>
        <v>41579.413935185185</v>
      </c>
      <c r="C1827">
        <v>80</v>
      </c>
      <c r="D1827">
        <v>79.925918578999998</v>
      </c>
      <c r="E1827">
        <v>50</v>
      </c>
      <c r="F1827">
        <v>58.163078308000003</v>
      </c>
      <c r="G1827">
        <v>1330.5834961</v>
      </c>
      <c r="H1827">
        <v>1329.9736327999999</v>
      </c>
      <c r="I1827">
        <v>1336.0783690999999</v>
      </c>
      <c r="J1827">
        <v>1334.3452147999999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1280.488787</v>
      </c>
      <c r="B1828" s="1">
        <f>DATE(2013,11,1) + TIME(11,43,51)</f>
        <v>41579.48878472222</v>
      </c>
      <c r="C1828">
        <v>80</v>
      </c>
      <c r="D1828">
        <v>79.918640136999997</v>
      </c>
      <c r="E1828">
        <v>50</v>
      </c>
      <c r="F1828">
        <v>57.474899292000003</v>
      </c>
      <c r="G1828">
        <v>1330.5750731999999</v>
      </c>
      <c r="H1828">
        <v>1329.9609375</v>
      </c>
      <c r="I1828">
        <v>1336.0683594</v>
      </c>
      <c r="J1828">
        <v>1334.3348389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1280.5664999999999</v>
      </c>
      <c r="B1829" s="1">
        <f>DATE(2013,11,1) + TIME(13,35,45)</f>
        <v>41579.566493055558</v>
      </c>
      <c r="C1829">
        <v>80</v>
      </c>
      <c r="D1829">
        <v>79.911148071</v>
      </c>
      <c r="E1829">
        <v>50</v>
      </c>
      <c r="F1829">
        <v>56.828559875000003</v>
      </c>
      <c r="G1829">
        <v>1330.5667725000001</v>
      </c>
      <c r="H1829">
        <v>1329.9482422000001</v>
      </c>
      <c r="I1829">
        <v>1336.0596923999999</v>
      </c>
      <c r="J1829">
        <v>1334.3255615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1280.64734</v>
      </c>
      <c r="B1830" s="1">
        <f>DATE(2013,11,1) + TIME(15,32,10)</f>
        <v>41579.647337962961</v>
      </c>
      <c r="C1830">
        <v>80</v>
      </c>
      <c r="D1830">
        <v>79.903411864999995</v>
      </c>
      <c r="E1830">
        <v>50</v>
      </c>
      <c r="F1830">
        <v>56.221584319999998</v>
      </c>
      <c r="G1830">
        <v>1330.5583495999999</v>
      </c>
      <c r="H1830">
        <v>1329.9354248</v>
      </c>
      <c r="I1830">
        <v>1336.0524902</v>
      </c>
      <c r="J1830">
        <v>1334.3173827999999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1280.731587</v>
      </c>
      <c r="B1831" s="1">
        <f>DATE(2013,11,1) + TIME(17,33,29)</f>
        <v>41579.731585648151</v>
      </c>
      <c r="C1831">
        <v>80</v>
      </c>
      <c r="D1831">
        <v>79.895416260000005</v>
      </c>
      <c r="E1831">
        <v>50</v>
      </c>
      <c r="F1831">
        <v>55.651817321999999</v>
      </c>
      <c r="G1831">
        <v>1330.5498047000001</v>
      </c>
      <c r="H1831">
        <v>1329.9224853999999</v>
      </c>
      <c r="I1831">
        <v>1336.0465088000001</v>
      </c>
      <c r="J1831">
        <v>1334.3101807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1280.81962</v>
      </c>
      <c r="B1832" s="1">
        <f>DATE(2013,11,1) + TIME(19,40,15)</f>
        <v>41579.819618055553</v>
      </c>
      <c r="C1832">
        <v>80</v>
      </c>
      <c r="D1832">
        <v>79.887130737000007</v>
      </c>
      <c r="E1832">
        <v>50</v>
      </c>
      <c r="F1832">
        <v>55.116989136000001</v>
      </c>
      <c r="G1832">
        <v>1330.5411377</v>
      </c>
      <c r="H1832">
        <v>1329.9094238</v>
      </c>
      <c r="I1832">
        <v>1336.041626</v>
      </c>
      <c r="J1832">
        <v>1334.3039550999999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1280.9118229999999</v>
      </c>
      <c r="B1833" s="1">
        <f>DATE(2013,11,1) + TIME(21,53,1)</f>
        <v>41579.911817129629</v>
      </c>
      <c r="C1833">
        <v>80</v>
      </c>
      <c r="D1833">
        <v>79.878532410000005</v>
      </c>
      <c r="E1833">
        <v>50</v>
      </c>
      <c r="F1833">
        <v>54.615356445000003</v>
      </c>
      <c r="G1833">
        <v>1330.5324707</v>
      </c>
      <c r="H1833">
        <v>1329.8962402</v>
      </c>
      <c r="I1833">
        <v>1336.0379639</v>
      </c>
      <c r="J1833">
        <v>1334.2987060999999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1281.008634</v>
      </c>
      <c r="B1834" s="1">
        <f>DATE(2013,11,2) + TIME(0,12,25)</f>
        <v>41580.008622685185</v>
      </c>
      <c r="C1834">
        <v>80</v>
      </c>
      <c r="D1834">
        <v>79.869598389000004</v>
      </c>
      <c r="E1834">
        <v>50</v>
      </c>
      <c r="F1834">
        <v>54.145389557000001</v>
      </c>
      <c r="G1834">
        <v>1330.5235596</v>
      </c>
      <c r="H1834">
        <v>1329.8828125</v>
      </c>
      <c r="I1834">
        <v>1336.0354004000001</v>
      </c>
      <c r="J1834">
        <v>1334.2941894999999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1281.1105439999999</v>
      </c>
      <c r="B1835" s="1">
        <f>DATE(2013,11,2) + TIME(2,39,11)</f>
        <v>41580.110543981478</v>
      </c>
      <c r="C1835">
        <v>80</v>
      </c>
      <c r="D1835">
        <v>79.860275268999999</v>
      </c>
      <c r="E1835">
        <v>50</v>
      </c>
      <c r="F1835">
        <v>53.705764770999998</v>
      </c>
      <c r="G1835">
        <v>1330.5145264</v>
      </c>
      <c r="H1835">
        <v>1329.8691406</v>
      </c>
      <c r="I1835">
        <v>1336.0336914</v>
      </c>
      <c r="J1835">
        <v>1334.2905272999999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1281.2181</v>
      </c>
      <c r="B1836" s="1">
        <f>DATE(2013,11,2) + TIME(5,14,3)</f>
        <v>41580.218090277776</v>
      </c>
      <c r="C1836">
        <v>80</v>
      </c>
      <c r="D1836">
        <v>79.850547790999997</v>
      </c>
      <c r="E1836">
        <v>50</v>
      </c>
      <c r="F1836">
        <v>53.295375823999997</v>
      </c>
      <c r="G1836">
        <v>1330.5053711</v>
      </c>
      <c r="H1836">
        <v>1329.8553466999999</v>
      </c>
      <c r="I1836">
        <v>1336.0330810999999</v>
      </c>
      <c r="J1836">
        <v>1334.2877197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1281.331972</v>
      </c>
      <c r="B1837" s="1">
        <f>DATE(2013,11,2) + TIME(7,58,2)</f>
        <v>41580.331967592596</v>
      </c>
      <c r="C1837">
        <v>80</v>
      </c>
      <c r="D1837">
        <v>79.840354919000006</v>
      </c>
      <c r="E1837">
        <v>50</v>
      </c>
      <c r="F1837">
        <v>52.913124084000003</v>
      </c>
      <c r="G1837">
        <v>1330.4959716999999</v>
      </c>
      <c r="H1837">
        <v>1329.8410644999999</v>
      </c>
      <c r="I1837">
        <v>1336.0332031</v>
      </c>
      <c r="J1837">
        <v>1334.2855225000001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1281.452914</v>
      </c>
      <c r="B1838" s="1">
        <f>DATE(2013,11,2) + TIME(10,52,11)</f>
        <v>41580.452905092592</v>
      </c>
      <c r="C1838">
        <v>80</v>
      </c>
      <c r="D1838">
        <v>79.829650878999999</v>
      </c>
      <c r="E1838">
        <v>50</v>
      </c>
      <c r="F1838">
        <v>52.558109283</v>
      </c>
      <c r="G1838">
        <v>1330.4863281</v>
      </c>
      <c r="H1838">
        <v>1329.8265381000001</v>
      </c>
      <c r="I1838">
        <v>1336.0341797000001</v>
      </c>
      <c r="J1838">
        <v>1334.2839355000001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1281.5818059999999</v>
      </c>
      <c r="B1839" s="1">
        <f>DATE(2013,11,2) + TIME(13,57,48)</f>
        <v>41580.581805555557</v>
      </c>
      <c r="C1839">
        <v>80</v>
      </c>
      <c r="D1839">
        <v>79.818382263000004</v>
      </c>
      <c r="E1839">
        <v>50</v>
      </c>
      <c r="F1839">
        <v>52.229541779000002</v>
      </c>
      <c r="G1839">
        <v>1330.4763184000001</v>
      </c>
      <c r="H1839">
        <v>1329.8116454999999</v>
      </c>
      <c r="I1839">
        <v>1336.0358887</v>
      </c>
      <c r="J1839">
        <v>1334.2830810999999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1281.7196799999999</v>
      </c>
      <c r="B1840" s="1">
        <f>DATE(2013,11,2) + TIME(17,16,20)</f>
        <v>41580.719675925924</v>
      </c>
      <c r="C1840">
        <v>80</v>
      </c>
      <c r="D1840">
        <v>79.806472778</v>
      </c>
      <c r="E1840">
        <v>50</v>
      </c>
      <c r="F1840">
        <v>51.92672348</v>
      </c>
      <c r="G1840">
        <v>1330.4659423999999</v>
      </c>
      <c r="H1840">
        <v>1329.7961425999999</v>
      </c>
      <c r="I1840">
        <v>1336.0383300999999</v>
      </c>
      <c r="J1840">
        <v>1334.2828368999999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1281.8677620000001</v>
      </c>
      <c r="B1841" s="1">
        <f>DATE(2013,11,2) + TIME(20,49,34)</f>
        <v>41580.867754629631</v>
      </c>
      <c r="C1841">
        <v>80</v>
      </c>
      <c r="D1841">
        <v>79.793853760000005</v>
      </c>
      <c r="E1841">
        <v>50</v>
      </c>
      <c r="F1841">
        <v>51.649017334</v>
      </c>
      <c r="G1841">
        <v>1330.4553223</v>
      </c>
      <c r="H1841">
        <v>1329.7801514</v>
      </c>
      <c r="I1841">
        <v>1336.0412598</v>
      </c>
      <c r="J1841">
        <v>1334.2829589999999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1282.027517</v>
      </c>
      <c r="B1842" s="1">
        <f>DATE(2013,11,3) + TIME(0,39,37)</f>
        <v>41581.027511574073</v>
      </c>
      <c r="C1842">
        <v>80</v>
      </c>
      <c r="D1842">
        <v>79.780426024999997</v>
      </c>
      <c r="E1842">
        <v>50</v>
      </c>
      <c r="F1842">
        <v>51.395839690999999</v>
      </c>
      <c r="G1842">
        <v>1330.4442139</v>
      </c>
      <c r="H1842">
        <v>1329.7635498</v>
      </c>
      <c r="I1842">
        <v>1336.0446777</v>
      </c>
      <c r="J1842">
        <v>1334.2836914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1282.1972249999999</v>
      </c>
      <c r="B1843" s="1">
        <f>DATE(2013,11,3) + TIME(4,44,0)</f>
        <v>41581.197222222225</v>
      </c>
      <c r="C1843">
        <v>80</v>
      </c>
      <c r="D1843">
        <v>79.766342163000004</v>
      </c>
      <c r="E1843">
        <v>50</v>
      </c>
      <c r="F1843">
        <v>51.170486449999999</v>
      </c>
      <c r="G1843">
        <v>1330.4326172000001</v>
      </c>
      <c r="H1843">
        <v>1329.7463379000001</v>
      </c>
      <c r="I1843">
        <v>1336.0488281</v>
      </c>
      <c r="J1843">
        <v>1334.2849120999999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1282.374362</v>
      </c>
      <c r="B1844" s="1">
        <f>DATE(2013,11,3) + TIME(8,59,4)</f>
        <v>41581.374351851853</v>
      </c>
      <c r="C1844">
        <v>80</v>
      </c>
      <c r="D1844">
        <v>79.751792907999999</v>
      </c>
      <c r="E1844">
        <v>50</v>
      </c>
      <c r="F1844">
        <v>50.974609375</v>
      </c>
      <c r="G1844">
        <v>1330.4206543</v>
      </c>
      <c r="H1844">
        <v>1329.7286377</v>
      </c>
      <c r="I1844">
        <v>1336.0533447</v>
      </c>
      <c r="J1844">
        <v>1334.2866211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1282.558961</v>
      </c>
      <c r="B1845" s="1">
        <f>DATE(2013,11,3) + TIME(13,24,54)</f>
        <v>41581.558958333335</v>
      </c>
      <c r="C1845">
        <v>80</v>
      </c>
      <c r="D1845">
        <v>79.736801146999994</v>
      </c>
      <c r="E1845">
        <v>50</v>
      </c>
      <c r="F1845">
        <v>50.805667876999998</v>
      </c>
      <c r="G1845">
        <v>1330.4084473</v>
      </c>
      <c r="H1845">
        <v>1329.7105713000001</v>
      </c>
      <c r="I1845">
        <v>1336.0578613</v>
      </c>
      <c r="J1845">
        <v>1334.2885742000001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1282.7515530000001</v>
      </c>
      <c r="B1846" s="1">
        <f>DATE(2013,11,3) + TIME(18,2,14)</f>
        <v>41581.751550925925</v>
      </c>
      <c r="C1846">
        <v>80</v>
      </c>
      <c r="D1846">
        <v>79.721313476999995</v>
      </c>
      <c r="E1846">
        <v>50</v>
      </c>
      <c r="F1846">
        <v>50.66078186</v>
      </c>
      <c r="G1846">
        <v>1330.3961182</v>
      </c>
      <c r="H1846">
        <v>1329.6923827999999</v>
      </c>
      <c r="I1846">
        <v>1336.0622559000001</v>
      </c>
      <c r="J1846">
        <v>1334.2905272999999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1282.9527330000001</v>
      </c>
      <c r="B1847" s="1">
        <f>DATE(2013,11,3) + TIME(22,51,56)</f>
        <v>41581.952731481484</v>
      </c>
      <c r="C1847">
        <v>80</v>
      </c>
      <c r="D1847">
        <v>79.705307007000002</v>
      </c>
      <c r="E1847">
        <v>50</v>
      </c>
      <c r="F1847">
        <v>50.537269592000001</v>
      </c>
      <c r="G1847">
        <v>1330.3836670000001</v>
      </c>
      <c r="H1847">
        <v>1329.6739502</v>
      </c>
      <c r="I1847">
        <v>1336.0665283000001</v>
      </c>
      <c r="J1847">
        <v>1334.2926024999999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1283.163149</v>
      </c>
      <c r="B1848" s="1">
        <f>DATE(2013,11,4) + TIME(3,54,56)</f>
        <v>41582.163148148145</v>
      </c>
      <c r="C1848">
        <v>80</v>
      </c>
      <c r="D1848">
        <v>79.688743591000005</v>
      </c>
      <c r="E1848">
        <v>50</v>
      </c>
      <c r="F1848">
        <v>50.432670592999997</v>
      </c>
      <c r="G1848">
        <v>1330.3708495999999</v>
      </c>
      <c r="H1848">
        <v>1329.6551514</v>
      </c>
      <c r="I1848">
        <v>1336.0705565999999</v>
      </c>
      <c r="J1848">
        <v>1334.2945557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1283.383507</v>
      </c>
      <c r="B1849" s="1">
        <f>DATE(2013,11,4) + TIME(9,12,14)</f>
        <v>41582.38349537037</v>
      </c>
      <c r="C1849">
        <v>80</v>
      </c>
      <c r="D1849">
        <v>79.671569824000002</v>
      </c>
      <c r="E1849">
        <v>50</v>
      </c>
      <c r="F1849">
        <v>50.344711304</v>
      </c>
      <c r="G1849">
        <v>1330.3577881000001</v>
      </c>
      <c r="H1849">
        <v>1329.6359863</v>
      </c>
      <c r="I1849">
        <v>1336.0742187999999</v>
      </c>
      <c r="J1849">
        <v>1334.2965088000001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1283.6145690000001</v>
      </c>
      <c r="B1850" s="1">
        <f>DATE(2013,11,4) + TIME(14,44,58)</f>
        <v>41582.614560185182</v>
      </c>
      <c r="C1850">
        <v>80</v>
      </c>
      <c r="D1850">
        <v>79.653755188000005</v>
      </c>
      <c r="E1850">
        <v>50</v>
      </c>
      <c r="F1850">
        <v>50.271320342999999</v>
      </c>
      <c r="G1850">
        <v>1330.3444824000001</v>
      </c>
      <c r="H1850">
        <v>1329.6164550999999</v>
      </c>
      <c r="I1850">
        <v>1336.0775146000001</v>
      </c>
      <c r="J1850">
        <v>1334.2983397999999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1283.857164</v>
      </c>
      <c r="B1851" s="1">
        <f>DATE(2013,11,4) + TIME(20,34,18)</f>
        <v>41582.857152777775</v>
      </c>
      <c r="C1851">
        <v>80</v>
      </c>
      <c r="D1851">
        <v>79.635246276999993</v>
      </c>
      <c r="E1851">
        <v>50</v>
      </c>
      <c r="F1851">
        <v>50.210582733000003</v>
      </c>
      <c r="G1851">
        <v>1330.3308105000001</v>
      </c>
      <c r="H1851">
        <v>1329.5965576000001</v>
      </c>
      <c r="I1851">
        <v>1336.0804443</v>
      </c>
      <c r="J1851">
        <v>1334.2999268000001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1284.1121989999999</v>
      </c>
      <c r="B1852" s="1">
        <f>DATE(2013,11,5) + TIME(2,41,33)</f>
        <v>41583.112187500003</v>
      </c>
      <c r="C1852">
        <v>80</v>
      </c>
      <c r="D1852">
        <v>79.615989685000002</v>
      </c>
      <c r="E1852">
        <v>50</v>
      </c>
      <c r="F1852">
        <v>50.160758971999996</v>
      </c>
      <c r="G1852">
        <v>1330.3167725000001</v>
      </c>
      <c r="H1852">
        <v>1329.5760498</v>
      </c>
      <c r="I1852">
        <v>1336.0830077999999</v>
      </c>
      <c r="J1852">
        <v>1334.3012695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1284.38067</v>
      </c>
      <c r="B1853" s="1">
        <f>DATE(2013,11,5) + TIME(9,8,9)</f>
        <v>41583.380659722221</v>
      </c>
      <c r="C1853">
        <v>80</v>
      </c>
      <c r="D1853">
        <v>79.595932007000002</v>
      </c>
      <c r="E1853">
        <v>50</v>
      </c>
      <c r="F1853">
        <v>50.120277405000003</v>
      </c>
      <c r="G1853">
        <v>1330.3023682</v>
      </c>
      <c r="H1853">
        <v>1329.5551757999999</v>
      </c>
      <c r="I1853">
        <v>1336.0849608999999</v>
      </c>
      <c r="J1853">
        <v>1334.3024902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1284.6636590000001</v>
      </c>
      <c r="B1854" s="1">
        <f>DATE(2013,11,5) + TIME(15,55,40)</f>
        <v>41583.663657407407</v>
      </c>
      <c r="C1854">
        <v>80</v>
      </c>
      <c r="D1854">
        <v>79.575004578000005</v>
      </c>
      <c r="E1854">
        <v>50</v>
      </c>
      <c r="F1854">
        <v>50.087707520000002</v>
      </c>
      <c r="G1854">
        <v>1330.2875977000001</v>
      </c>
      <c r="H1854">
        <v>1329.5335693</v>
      </c>
      <c r="I1854">
        <v>1336.0865478999999</v>
      </c>
      <c r="J1854">
        <v>1334.3034668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1284.9622420000001</v>
      </c>
      <c r="B1855" s="1">
        <f>DATE(2013,11,5) + TIME(23,5,37)</f>
        <v>41583.962233796294</v>
      </c>
      <c r="C1855">
        <v>80</v>
      </c>
      <c r="D1855">
        <v>79.553161621000001</v>
      </c>
      <c r="E1855">
        <v>50</v>
      </c>
      <c r="F1855">
        <v>50.061790465999998</v>
      </c>
      <c r="G1855">
        <v>1330.2722168</v>
      </c>
      <c r="H1855">
        <v>1329.5114745999999</v>
      </c>
      <c r="I1855">
        <v>1336.0877685999999</v>
      </c>
      <c r="J1855">
        <v>1334.3041992000001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1285.2778499999999</v>
      </c>
      <c r="B1856" s="1">
        <f>DATE(2013,11,6) + TIME(6,40,6)</f>
        <v>41584.27784722222</v>
      </c>
      <c r="C1856">
        <v>80</v>
      </c>
      <c r="D1856">
        <v>79.530311584000003</v>
      </c>
      <c r="E1856">
        <v>50</v>
      </c>
      <c r="F1856">
        <v>50.041381835999999</v>
      </c>
      <c r="G1856">
        <v>1330.2564697</v>
      </c>
      <c r="H1856">
        <v>1329.4885254000001</v>
      </c>
      <c r="I1856">
        <v>1336.0883789</v>
      </c>
      <c r="J1856">
        <v>1334.3046875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1285.6120080000001</v>
      </c>
      <c r="B1857" s="1">
        <f>DATE(2013,11,6) + TIME(14,41,17)</f>
        <v>41584.612002314818</v>
      </c>
      <c r="C1857">
        <v>80</v>
      </c>
      <c r="D1857">
        <v>79.506378174000005</v>
      </c>
      <c r="E1857">
        <v>50</v>
      </c>
      <c r="F1857">
        <v>50.025493621999999</v>
      </c>
      <c r="G1857">
        <v>1330.2401123</v>
      </c>
      <c r="H1857">
        <v>1329.4649658000001</v>
      </c>
      <c r="I1857">
        <v>1336.0886230000001</v>
      </c>
      <c r="J1857">
        <v>1334.3049315999999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1285.966408</v>
      </c>
      <c r="B1858" s="1">
        <f>DATE(2013,11,6) + TIME(23,11,37)</f>
        <v>41584.966400462959</v>
      </c>
      <c r="C1858">
        <v>80</v>
      </c>
      <c r="D1858">
        <v>79.481269835999996</v>
      </c>
      <c r="E1858">
        <v>50</v>
      </c>
      <c r="F1858">
        <v>50.013271332000002</v>
      </c>
      <c r="G1858">
        <v>1330.2231445</v>
      </c>
      <c r="H1858">
        <v>1329.4405518000001</v>
      </c>
      <c r="I1858">
        <v>1336.088501</v>
      </c>
      <c r="J1858">
        <v>1334.3049315999999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1286.3386379999999</v>
      </c>
      <c r="B1859" s="1">
        <f>DATE(2013,11,7) + TIME(8,7,38)</f>
        <v>41585.338634259257</v>
      </c>
      <c r="C1859">
        <v>80</v>
      </c>
      <c r="D1859">
        <v>79.455116271999998</v>
      </c>
      <c r="E1859">
        <v>50</v>
      </c>
      <c r="F1859">
        <v>50.004055022999999</v>
      </c>
      <c r="G1859">
        <v>1330.2055664</v>
      </c>
      <c r="H1859">
        <v>1329.4154053</v>
      </c>
      <c r="I1859">
        <v>1336.0878906</v>
      </c>
      <c r="J1859">
        <v>1334.3046875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1286.7313810000001</v>
      </c>
      <c r="B1860" s="1">
        <f>DATE(2013,11,7) + TIME(17,33,11)</f>
        <v>41585.731377314813</v>
      </c>
      <c r="C1860">
        <v>80</v>
      </c>
      <c r="D1860">
        <v>79.427787781000006</v>
      </c>
      <c r="E1860">
        <v>50</v>
      </c>
      <c r="F1860">
        <v>49.997154236</v>
      </c>
      <c r="G1860">
        <v>1330.1875</v>
      </c>
      <c r="H1860">
        <v>1329.3894043</v>
      </c>
      <c r="I1860">
        <v>1336.0867920000001</v>
      </c>
      <c r="J1860">
        <v>1334.3041992000001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1287.148119</v>
      </c>
      <c r="B1861" s="1">
        <f>DATE(2013,11,8) + TIME(3,33,17)</f>
        <v>41586.148113425923</v>
      </c>
      <c r="C1861">
        <v>80</v>
      </c>
      <c r="D1861">
        <v>79.399101256999998</v>
      </c>
      <c r="E1861">
        <v>50</v>
      </c>
      <c r="F1861">
        <v>49.992015838999997</v>
      </c>
      <c r="G1861">
        <v>1330.1687012</v>
      </c>
      <c r="H1861">
        <v>1329.3626709</v>
      </c>
      <c r="I1861">
        <v>1336.0854492000001</v>
      </c>
      <c r="J1861">
        <v>1334.3033447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1287.5930780000001</v>
      </c>
      <c r="B1862" s="1">
        <f>DATE(2013,11,8) + TIME(14,14,1)</f>
        <v>41586.59306712963</v>
      </c>
      <c r="C1862">
        <v>80</v>
      </c>
      <c r="D1862">
        <v>79.368850707999997</v>
      </c>
      <c r="E1862">
        <v>50</v>
      </c>
      <c r="F1862">
        <v>49.988224029999998</v>
      </c>
      <c r="G1862">
        <v>1330.1492920000001</v>
      </c>
      <c r="H1862">
        <v>1329.3348389</v>
      </c>
      <c r="I1862">
        <v>1336.0837402</v>
      </c>
      <c r="J1862">
        <v>1334.3023682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1288.063562</v>
      </c>
      <c r="B1863" s="1">
        <f>DATE(2013,11,9) + TIME(1,31,31)</f>
        <v>41587.06355324074</v>
      </c>
      <c r="C1863">
        <v>80</v>
      </c>
      <c r="D1863">
        <v>79.337142943999993</v>
      </c>
      <c r="E1863">
        <v>50</v>
      </c>
      <c r="F1863">
        <v>49.985469817999999</v>
      </c>
      <c r="G1863">
        <v>1330.1289062000001</v>
      </c>
      <c r="H1863">
        <v>1329.3059082</v>
      </c>
      <c r="I1863">
        <v>1336.0816649999999</v>
      </c>
      <c r="J1863">
        <v>1334.3012695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1288.5464649999999</v>
      </c>
      <c r="B1864" s="1">
        <f>DATE(2013,11,9) + TIME(13,6,54)</f>
        <v>41587.546458333331</v>
      </c>
      <c r="C1864">
        <v>80</v>
      </c>
      <c r="D1864">
        <v>79.304634093999994</v>
      </c>
      <c r="E1864">
        <v>50</v>
      </c>
      <c r="F1864">
        <v>49.983528137</v>
      </c>
      <c r="G1864">
        <v>1330.1079102000001</v>
      </c>
      <c r="H1864">
        <v>1329.2761230000001</v>
      </c>
      <c r="I1864">
        <v>1336.0793457</v>
      </c>
      <c r="J1864">
        <v>1334.2999268000001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1289.0433459999999</v>
      </c>
      <c r="B1865" s="1">
        <f>DATE(2013,11,10) + TIME(1,2,25)</f>
        <v>41588.043344907404</v>
      </c>
      <c r="C1865">
        <v>80</v>
      </c>
      <c r="D1865">
        <v>79.271293639999996</v>
      </c>
      <c r="E1865">
        <v>50</v>
      </c>
      <c r="F1865">
        <v>49.982147216999998</v>
      </c>
      <c r="G1865">
        <v>1330.0866699000001</v>
      </c>
      <c r="H1865">
        <v>1329.2458495999999</v>
      </c>
      <c r="I1865">
        <v>1336.0769043</v>
      </c>
      <c r="J1865">
        <v>1334.2984618999999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1289.555468</v>
      </c>
      <c r="B1866" s="1">
        <f>DATE(2013,11,10) + TIME(13,19,52)</f>
        <v>41588.555462962962</v>
      </c>
      <c r="C1866">
        <v>80</v>
      </c>
      <c r="D1866">
        <v>79.237113953000005</v>
      </c>
      <c r="E1866">
        <v>50</v>
      </c>
      <c r="F1866">
        <v>49.981163025000001</v>
      </c>
      <c r="G1866">
        <v>1330.0650635</v>
      </c>
      <c r="H1866">
        <v>1329.215332</v>
      </c>
      <c r="I1866">
        <v>1336.0743408000001</v>
      </c>
      <c r="J1866">
        <v>1334.296875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1290.0842130000001</v>
      </c>
      <c r="B1867" s="1">
        <f>DATE(2013,11,11) + TIME(2,1,15)</f>
        <v>41589.084201388891</v>
      </c>
      <c r="C1867">
        <v>80</v>
      </c>
      <c r="D1867">
        <v>79.202041625999996</v>
      </c>
      <c r="E1867">
        <v>50</v>
      </c>
      <c r="F1867">
        <v>49.980453490999999</v>
      </c>
      <c r="G1867">
        <v>1330.0432129000001</v>
      </c>
      <c r="H1867">
        <v>1329.1844481999999</v>
      </c>
      <c r="I1867">
        <v>1336.0715332</v>
      </c>
      <c r="J1867">
        <v>1334.2951660000001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1290.631089</v>
      </c>
      <c r="B1868" s="1">
        <f>DATE(2013,11,11) + TIME(15,8,46)</f>
        <v>41589.63108796296</v>
      </c>
      <c r="C1868">
        <v>80</v>
      </c>
      <c r="D1868">
        <v>79.166038513000004</v>
      </c>
      <c r="E1868">
        <v>50</v>
      </c>
      <c r="F1868">
        <v>49.979934692</v>
      </c>
      <c r="G1868">
        <v>1330.0211182</v>
      </c>
      <c r="H1868">
        <v>1329.1531981999999</v>
      </c>
      <c r="I1868">
        <v>1336.0687256000001</v>
      </c>
      <c r="J1868">
        <v>1334.293457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1291.1977360000001</v>
      </c>
      <c r="B1869" s="1">
        <f>DATE(2013,11,12) + TIME(4,44,44)</f>
        <v>41590.197731481479</v>
      </c>
      <c r="C1869">
        <v>80</v>
      </c>
      <c r="D1869">
        <v>79.129028320000003</v>
      </c>
      <c r="E1869">
        <v>50</v>
      </c>
      <c r="F1869">
        <v>49.979553223000003</v>
      </c>
      <c r="G1869">
        <v>1329.9985352000001</v>
      </c>
      <c r="H1869">
        <v>1329.121582</v>
      </c>
      <c r="I1869">
        <v>1336.0657959</v>
      </c>
      <c r="J1869">
        <v>1334.2917480000001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1291.785932</v>
      </c>
      <c r="B1870" s="1">
        <f>DATE(2013,11,12) + TIME(18,51,44)</f>
        <v>41590.785925925928</v>
      </c>
      <c r="C1870">
        <v>80</v>
      </c>
      <c r="D1870">
        <v>79.090927124000004</v>
      </c>
      <c r="E1870">
        <v>50</v>
      </c>
      <c r="F1870">
        <v>49.979267120000003</v>
      </c>
      <c r="G1870">
        <v>1329.9757079999999</v>
      </c>
      <c r="H1870">
        <v>1329.0893555</v>
      </c>
      <c r="I1870">
        <v>1336.0628661999999</v>
      </c>
      <c r="J1870">
        <v>1334.2899170000001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1292.397655</v>
      </c>
      <c r="B1871" s="1">
        <f>DATE(2013,11,13) + TIME(9,32,37)</f>
        <v>41591.397650462961</v>
      </c>
      <c r="C1871">
        <v>80</v>
      </c>
      <c r="D1871">
        <v>79.051635742000002</v>
      </c>
      <c r="E1871">
        <v>50</v>
      </c>
      <c r="F1871">
        <v>49.979049683</v>
      </c>
      <c r="G1871">
        <v>1329.9523925999999</v>
      </c>
      <c r="H1871">
        <v>1329.0567627</v>
      </c>
      <c r="I1871">
        <v>1336.0598144999999</v>
      </c>
      <c r="J1871">
        <v>1334.2880858999999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1293.0350639999999</v>
      </c>
      <c r="B1872" s="1">
        <f>DATE(2013,11,14) + TIME(0,50,29)</f>
        <v>41592.035057870373</v>
      </c>
      <c r="C1872">
        <v>80</v>
      </c>
      <c r="D1872">
        <v>79.011032103999995</v>
      </c>
      <c r="E1872">
        <v>50</v>
      </c>
      <c r="F1872">
        <v>49.978881835999999</v>
      </c>
      <c r="G1872">
        <v>1329.9287108999999</v>
      </c>
      <c r="H1872">
        <v>1329.0234375</v>
      </c>
      <c r="I1872">
        <v>1336.0567627</v>
      </c>
      <c r="J1872">
        <v>1334.2862548999999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1293.700339</v>
      </c>
      <c r="B1873" s="1">
        <f>DATE(2013,11,14) + TIME(16,48,29)</f>
        <v>41592.700335648151</v>
      </c>
      <c r="C1873">
        <v>80</v>
      </c>
      <c r="D1873">
        <v>78.968994140999996</v>
      </c>
      <c r="E1873">
        <v>50</v>
      </c>
      <c r="F1873">
        <v>49.978752135999997</v>
      </c>
      <c r="G1873">
        <v>1329.9044189000001</v>
      </c>
      <c r="H1873">
        <v>1328.989624</v>
      </c>
      <c r="I1873">
        <v>1336.0535889</v>
      </c>
      <c r="J1873">
        <v>1334.2844238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1294.3962240000001</v>
      </c>
      <c r="B1874" s="1">
        <f>DATE(2013,11,15) + TIME(9,30,33)</f>
        <v>41593.396215277775</v>
      </c>
      <c r="C1874">
        <v>80</v>
      </c>
      <c r="D1874">
        <v>78.925369262999993</v>
      </c>
      <c r="E1874">
        <v>50</v>
      </c>
      <c r="F1874">
        <v>49.978649138999998</v>
      </c>
      <c r="G1874">
        <v>1329.8796387</v>
      </c>
      <c r="H1874">
        <v>1328.9549560999999</v>
      </c>
      <c r="I1874">
        <v>1336.0505370999999</v>
      </c>
      <c r="J1874">
        <v>1334.2824707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1295.1167250000001</v>
      </c>
      <c r="B1875" s="1">
        <f>DATE(2013,11,16) + TIME(2,48,5)</f>
        <v>41594.116724537038</v>
      </c>
      <c r="C1875">
        <v>80</v>
      </c>
      <c r="D1875">
        <v>78.880317688000005</v>
      </c>
      <c r="E1875">
        <v>50</v>
      </c>
      <c r="F1875">
        <v>49.978569030999999</v>
      </c>
      <c r="G1875">
        <v>1329.8542480000001</v>
      </c>
      <c r="H1875">
        <v>1328.9196777</v>
      </c>
      <c r="I1875">
        <v>1336.0473632999999</v>
      </c>
      <c r="J1875">
        <v>1334.2806396000001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1295.8604640000001</v>
      </c>
      <c r="B1876" s="1">
        <f>DATE(2013,11,16) + TIME(20,39,4)</f>
        <v>41594.860462962963</v>
      </c>
      <c r="C1876">
        <v>80</v>
      </c>
      <c r="D1876">
        <v>78.833892821999996</v>
      </c>
      <c r="E1876">
        <v>50</v>
      </c>
      <c r="F1876">
        <v>49.978500365999999</v>
      </c>
      <c r="G1876">
        <v>1329.8283690999999</v>
      </c>
      <c r="H1876">
        <v>1328.8837891000001</v>
      </c>
      <c r="I1876">
        <v>1336.0441894999999</v>
      </c>
      <c r="J1876">
        <v>1334.2786865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1296.6327610000001</v>
      </c>
      <c r="B1877" s="1">
        <f>DATE(2013,11,17) + TIME(15,11,10)</f>
        <v>41595.632754629631</v>
      </c>
      <c r="C1877">
        <v>80</v>
      </c>
      <c r="D1877">
        <v>78.785896300999994</v>
      </c>
      <c r="E1877">
        <v>50</v>
      </c>
      <c r="F1877">
        <v>49.978446959999999</v>
      </c>
      <c r="G1877">
        <v>1329.802124</v>
      </c>
      <c r="H1877">
        <v>1328.8474120999999</v>
      </c>
      <c r="I1877">
        <v>1336.0410156</v>
      </c>
      <c r="J1877">
        <v>1334.2768555</v>
      </c>
      <c r="K1877">
        <v>0</v>
      </c>
      <c r="L1877">
        <v>1650</v>
      </c>
      <c r="M1877">
        <v>1650</v>
      </c>
      <c r="N1877">
        <v>0</v>
      </c>
    </row>
    <row r="1878" spans="1:14" x14ac:dyDescent="0.25">
      <c r="A1878">
        <v>1297.4395139999999</v>
      </c>
      <c r="B1878" s="1">
        <f>DATE(2013,11,18) + TIME(10,32,54)</f>
        <v>41596.439513888887</v>
      </c>
      <c r="C1878">
        <v>80</v>
      </c>
      <c r="D1878">
        <v>78.736061096</v>
      </c>
      <c r="E1878">
        <v>50</v>
      </c>
      <c r="F1878">
        <v>49.978404998999999</v>
      </c>
      <c r="G1878">
        <v>1329.7755127</v>
      </c>
      <c r="H1878">
        <v>1328.8104248</v>
      </c>
      <c r="I1878">
        <v>1336.0378418</v>
      </c>
      <c r="J1878">
        <v>1334.2750243999999</v>
      </c>
      <c r="K1878">
        <v>0</v>
      </c>
      <c r="L1878">
        <v>1650</v>
      </c>
      <c r="M1878">
        <v>1650</v>
      </c>
      <c r="N1878">
        <v>0</v>
      </c>
    </row>
    <row r="1879" spans="1:14" x14ac:dyDescent="0.25">
      <c r="A1879">
        <v>1298.2876060000001</v>
      </c>
      <c r="B1879" s="1">
        <f>DATE(2013,11,19) + TIME(6,54,9)</f>
        <v>41597.287604166668</v>
      </c>
      <c r="C1879">
        <v>80</v>
      </c>
      <c r="D1879">
        <v>78.684028624999996</v>
      </c>
      <c r="E1879">
        <v>50</v>
      </c>
      <c r="F1879">
        <v>49.978366852000001</v>
      </c>
      <c r="G1879">
        <v>1329.7481689000001</v>
      </c>
      <c r="H1879">
        <v>1328.7727050999999</v>
      </c>
      <c r="I1879">
        <v>1336.034668</v>
      </c>
      <c r="J1879">
        <v>1334.2731934000001</v>
      </c>
      <c r="K1879">
        <v>0</v>
      </c>
      <c r="L1879">
        <v>1650</v>
      </c>
      <c r="M1879">
        <v>1650</v>
      </c>
      <c r="N1879">
        <v>0</v>
      </c>
    </row>
    <row r="1880" spans="1:14" x14ac:dyDescent="0.25">
      <c r="A1880">
        <v>1299.17821</v>
      </c>
      <c r="B1880" s="1">
        <f>DATE(2013,11,20) + TIME(4,16,37)</f>
        <v>41598.178206018521</v>
      </c>
      <c r="C1880">
        <v>80</v>
      </c>
      <c r="D1880">
        <v>78.629570006999998</v>
      </c>
      <c r="E1880">
        <v>50</v>
      </c>
      <c r="F1880">
        <v>49.978332520000002</v>
      </c>
      <c r="G1880">
        <v>1329.7200928</v>
      </c>
      <c r="H1880">
        <v>1328.7341309000001</v>
      </c>
      <c r="I1880">
        <v>1336.0314940999999</v>
      </c>
      <c r="J1880">
        <v>1334.2713623</v>
      </c>
      <c r="K1880">
        <v>0</v>
      </c>
      <c r="L1880">
        <v>1650</v>
      </c>
      <c r="M1880">
        <v>1650</v>
      </c>
      <c r="N1880">
        <v>0</v>
      </c>
    </row>
    <row r="1881" spans="1:14" x14ac:dyDescent="0.25">
      <c r="A1881">
        <v>1300.086945</v>
      </c>
      <c r="B1881" s="1">
        <f>DATE(2013,11,21) + TIME(2,5,12)</f>
        <v>41599.086944444447</v>
      </c>
      <c r="C1881">
        <v>80</v>
      </c>
      <c r="D1881">
        <v>78.573348999000004</v>
      </c>
      <c r="E1881">
        <v>50</v>
      </c>
      <c r="F1881">
        <v>49.978305816999999</v>
      </c>
      <c r="G1881">
        <v>1329.6912841999999</v>
      </c>
      <c r="H1881">
        <v>1328.6945800999999</v>
      </c>
      <c r="I1881">
        <v>1336.0283202999999</v>
      </c>
      <c r="J1881">
        <v>1334.2695312000001</v>
      </c>
      <c r="K1881">
        <v>0</v>
      </c>
      <c r="L1881">
        <v>1650</v>
      </c>
      <c r="M1881">
        <v>1650</v>
      </c>
      <c r="N1881">
        <v>0</v>
      </c>
    </row>
    <row r="1882" spans="1:14" x14ac:dyDescent="0.25">
      <c r="A1882">
        <v>1301.0217339999999</v>
      </c>
      <c r="B1882" s="1">
        <f>DATE(2013,11,22) + TIME(0,31,17)</f>
        <v>41600.021724537037</v>
      </c>
      <c r="C1882">
        <v>80</v>
      </c>
      <c r="D1882">
        <v>78.515296935999999</v>
      </c>
      <c r="E1882">
        <v>50</v>
      </c>
      <c r="F1882">
        <v>49.978279114000003</v>
      </c>
      <c r="G1882">
        <v>1329.6623535000001</v>
      </c>
      <c r="H1882">
        <v>1328.6547852000001</v>
      </c>
      <c r="I1882">
        <v>1336.0251464999999</v>
      </c>
      <c r="J1882">
        <v>1334.2677002</v>
      </c>
      <c r="K1882">
        <v>0</v>
      </c>
      <c r="L1882">
        <v>1650</v>
      </c>
      <c r="M1882">
        <v>1650</v>
      </c>
      <c r="N1882">
        <v>0</v>
      </c>
    </row>
    <row r="1883" spans="1:14" x14ac:dyDescent="0.25">
      <c r="A1883">
        <v>1301.990464</v>
      </c>
      <c r="B1883" s="1">
        <f>DATE(2013,11,22) + TIME(23,46,16)</f>
        <v>41600.99046296296</v>
      </c>
      <c r="C1883">
        <v>80</v>
      </c>
      <c r="D1883">
        <v>78.455162048000005</v>
      </c>
      <c r="E1883">
        <v>50</v>
      </c>
      <c r="F1883">
        <v>49.978256225999999</v>
      </c>
      <c r="G1883">
        <v>1329.6330565999999</v>
      </c>
      <c r="H1883">
        <v>1328.614624</v>
      </c>
      <c r="I1883">
        <v>1336.0220947</v>
      </c>
      <c r="J1883">
        <v>1334.2659911999999</v>
      </c>
      <c r="K1883">
        <v>0</v>
      </c>
      <c r="L1883">
        <v>1650</v>
      </c>
      <c r="M1883">
        <v>1650</v>
      </c>
      <c r="N1883">
        <v>0</v>
      </c>
    </row>
    <row r="1884" spans="1:14" x14ac:dyDescent="0.25">
      <c r="A1884">
        <v>1302.9912609999999</v>
      </c>
      <c r="B1884" s="1">
        <f>DATE(2013,11,23) + TIME(23,47,24)</f>
        <v>41601.991249999999</v>
      </c>
      <c r="C1884">
        <v>80</v>
      </c>
      <c r="D1884">
        <v>78.392822265999996</v>
      </c>
      <c r="E1884">
        <v>50</v>
      </c>
      <c r="F1884">
        <v>49.978233336999999</v>
      </c>
      <c r="G1884">
        <v>1329.6033935999999</v>
      </c>
      <c r="H1884">
        <v>1328.5739745999999</v>
      </c>
      <c r="I1884">
        <v>1336.019043</v>
      </c>
      <c r="J1884">
        <v>1334.2642822</v>
      </c>
      <c r="K1884">
        <v>0</v>
      </c>
      <c r="L1884">
        <v>1650</v>
      </c>
      <c r="M1884">
        <v>1650</v>
      </c>
      <c r="N1884">
        <v>0</v>
      </c>
    </row>
    <row r="1885" spans="1:14" x14ac:dyDescent="0.25">
      <c r="A1885">
        <v>1304.0228279999999</v>
      </c>
      <c r="B1885" s="1">
        <f>DATE(2013,11,25) + TIME(0,32,52)</f>
        <v>41603.022824074076</v>
      </c>
      <c r="C1885">
        <v>80</v>
      </c>
      <c r="D1885">
        <v>78.328224182</v>
      </c>
      <c r="E1885">
        <v>50</v>
      </c>
      <c r="F1885">
        <v>49.978214264000002</v>
      </c>
      <c r="G1885">
        <v>1329.5733643000001</v>
      </c>
      <c r="H1885">
        <v>1328.5330810999999</v>
      </c>
      <c r="I1885">
        <v>1336.0159911999999</v>
      </c>
      <c r="J1885">
        <v>1334.2626952999999</v>
      </c>
      <c r="K1885">
        <v>0</v>
      </c>
      <c r="L1885">
        <v>1650</v>
      </c>
      <c r="M1885">
        <v>1650</v>
      </c>
      <c r="N1885">
        <v>0</v>
      </c>
    </row>
    <row r="1886" spans="1:14" x14ac:dyDescent="0.25">
      <c r="A1886">
        <v>1305.0738140000001</v>
      </c>
      <c r="B1886" s="1">
        <f>DATE(2013,11,26) + TIME(1,46,17)</f>
        <v>41604.073807870373</v>
      </c>
      <c r="C1886">
        <v>80</v>
      </c>
      <c r="D1886">
        <v>78.261650084999999</v>
      </c>
      <c r="E1886">
        <v>50</v>
      </c>
      <c r="F1886">
        <v>49.978195190000001</v>
      </c>
      <c r="G1886">
        <v>1329.5429687999999</v>
      </c>
      <c r="H1886">
        <v>1328.4916992000001</v>
      </c>
      <c r="I1886">
        <v>1336.0129394999999</v>
      </c>
      <c r="J1886">
        <v>1334.2611084</v>
      </c>
      <c r="K1886">
        <v>0</v>
      </c>
      <c r="L1886">
        <v>1650</v>
      </c>
      <c r="M1886">
        <v>1650</v>
      </c>
      <c r="N1886">
        <v>0</v>
      </c>
    </row>
    <row r="1887" spans="1:14" x14ac:dyDescent="0.25">
      <c r="A1887">
        <v>1306.151879</v>
      </c>
      <c r="B1887" s="1">
        <f>DATE(2013,11,27) + TIME(3,38,42)</f>
        <v>41605.151875000003</v>
      </c>
      <c r="C1887">
        <v>80</v>
      </c>
      <c r="D1887">
        <v>78.192970275999997</v>
      </c>
      <c r="E1887">
        <v>50</v>
      </c>
      <c r="F1887">
        <v>49.978176116999997</v>
      </c>
      <c r="G1887">
        <v>1329.5126952999999</v>
      </c>
      <c r="H1887">
        <v>1328.4504394999999</v>
      </c>
      <c r="I1887">
        <v>1336.0100098</v>
      </c>
      <c r="J1887">
        <v>1334.2596435999999</v>
      </c>
      <c r="K1887">
        <v>0</v>
      </c>
      <c r="L1887">
        <v>1650</v>
      </c>
      <c r="M1887">
        <v>1650</v>
      </c>
      <c r="N1887">
        <v>0</v>
      </c>
    </row>
    <row r="1888" spans="1:14" x14ac:dyDescent="0.25">
      <c r="A1888">
        <v>1307.265085</v>
      </c>
      <c r="B1888" s="1">
        <f>DATE(2013,11,28) + TIME(6,21,43)</f>
        <v>41606.265081018515</v>
      </c>
      <c r="C1888">
        <v>80</v>
      </c>
      <c r="D1888">
        <v>78.121841431000007</v>
      </c>
      <c r="E1888">
        <v>50</v>
      </c>
      <c r="F1888">
        <v>49.978160858000003</v>
      </c>
      <c r="G1888">
        <v>1329.4821777</v>
      </c>
      <c r="H1888">
        <v>1328.4089355000001</v>
      </c>
      <c r="I1888">
        <v>1336.0072021000001</v>
      </c>
      <c r="J1888">
        <v>1334.2581786999999</v>
      </c>
      <c r="K1888">
        <v>0</v>
      </c>
      <c r="L1888">
        <v>1650</v>
      </c>
      <c r="M1888">
        <v>1650</v>
      </c>
      <c r="N1888">
        <v>0</v>
      </c>
    </row>
    <row r="1889" spans="1:14" x14ac:dyDescent="0.25">
      <c r="A1889">
        <v>1308.4223059999999</v>
      </c>
      <c r="B1889" s="1">
        <f>DATE(2013,11,29) + TIME(10,8,7)</f>
        <v>41607.422303240739</v>
      </c>
      <c r="C1889">
        <v>80</v>
      </c>
      <c r="D1889">
        <v>78.047729492000002</v>
      </c>
      <c r="E1889">
        <v>50</v>
      </c>
      <c r="F1889">
        <v>49.978145599000001</v>
      </c>
      <c r="G1889">
        <v>1329.4514160000001</v>
      </c>
      <c r="H1889">
        <v>1328.3673096</v>
      </c>
      <c r="I1889">
        <v>1336.0042725000001</v>
      </c>
      <c r="J1889">
        <v>1334.2567139</v>
      </c>
      <c r="K1889">
        <v>0</v>
      </c>
      <c r="L1889">
        <v>1650</v>
      </c>
      <c r="M1889">
        <v>1650</v>
      </c>
      <c r="N1889">
        <v>0</v>
      </c>
    </row>
    <row r="1890" spans="1:14" x14ac:dyDescent="0.25">
      <c r="A1890">
        <v>1309.6337129999999</v>
      </c>
      <c r="B1890" s="1">
        <f>DATE(2013,11,30) + TIME(15,12,32)</f>
        <v>41608.633703703701</v>
      </c>
      <c r="C1890">
        <v>80</v>
      </c>
      <c r="D1890">
        <v>77.970008849999999</v>
      </c>
      <c r="E1890">
        <v>50</v>
      </c>
      <c r="F1890">
        <v>49.978126525999997</v>
      </c>
      <c r="G1890">
        <v>1329.4201660000001</v>
      </c>
      <c r="H1890">
        <v>1328.3250731999999</v>
      </c>
      <c r="I1890">
        <v>1336.0014647999999</v>
      </c>
      <c r="J1890">
        <v>1334.2553711</v>
      </c>
      <c r="K1890">
        <v>0</v>
      </c>
      <c r="L1890">
        <v>1650</v>
      </c>
      <c r="M1890">
        <v>1650</v>
      </c>
      <c r="N1890">
        <v>0</v>
      </c>
    </row>
    <row r="1891" spans="1:14" x14ac:dyDescent="0.25">
      <c r="A1891">
        <v>1310</v>
      </c>
      <c r="B1891" s="1">
        <f>DATE(2013,12,1) + TIME(0,0,0)</f>
        <v>41609</v>
      </c>
      <c r="C1891">
        <v>80</v>
      </c>
      <c r="D1891">
        <v>77.930351256999998</v>
      </c>
      <c r="E1891">
        <v>50</v>
      </c>
      <c r="F1891">
        <v>49.978118895999998</v>
      </c>
      <c r="G1891">
        <v>1329.3898925999999</v>
      </c>
      <c r="H1891">
        <v>1328.2854004000001</v>
      </c>
      <c r="I1891">
        <v>1335.9984131000001</v>
      </c>
      <c r="J1891">
        <v>1334.2539062000001</v>
      </c>
      <c r="K1891">
        <v>0</v>
      </c>
      <c r="L1891">
        <v>1650</v>
      </c>
      <c r="M1891">
        <v>1650</v>
      </c>
      <c r="N1891">
        <v>0</v>
      </c>
    </row>
    <row r="1892" spans="1:14" x14ac:dyDescent="0.25">
      <c r="A1892">
        <v>1311.2512589999999</v>
      </c>
      <c r="B1892" s="1">
        <f>DATE(2013,12,2) + TIME(6,1,48)</f>
        <v>41610.251250000001</v>
      </c>
      <c r="C1892">
        <v>80</v>
      </c>
      <c r="D1892">
        <v>77.857192992999998</v>
      </c>
      <c r="E1892">
        <v>50</v>
      </c>
      <c r="F1892">
        <v>49.978103638</v>
      </c>
      <c r="G1892">
        <v>1329.3754882999999</v>
      </c>
      <c r="H1892">
        <v>1328.2635498</v>
      </c>
      <c r="I1892">
        <v>1335.9976807</v>
      </c>
      <c r="J1892">
        <v>1334.2536620999999</v>
      </c>
      <c r="K1892">
        <v>0</v>
      </c>
      <c r="L1892">
        <v>1650</v>
      </c>
      <c r="M1892">
        <v>1650</v>
      </c>
      <c r="N1892">
        <v>0</v>
      </c>
    </row>
    <row r="1893" spans="1:14" x14ac:dyDescent="0.25">
      <c r="A1893">
        <v>1312.544044</v>
      </c>
      <c r="B1893" s="1">
        <f>DATE(2013,12,3) + TIME(13,3,25)</f>
        <v>41611.544039351851</v>
      </c>
      <c r="C1893">
        <v>80</v>
      </c>
      <c r="D1893">
        <v>77.775573730000005</v>
      </c>
      <c r="E1893">
        <v>50</v>
      </c>
      <c r="F1893">
        <v>49.978088378999999</v>
      </c>
      <c r="G1893">
        <v>1329.3452147999999</v>
      </c>
      <c r="H1893">
        <v>1328.2235106999999</v>
      </c>
      <c r="I1893">
        <v>1335.9948730000001</v>
      </c>
      <c r="J1893">
        <v>1334.2523193</v>
      </c>
      <c r="K1893">
        <v>0</v>
      </c>
      <c r="L1893">
        <v>1650</v>
      </c>
      <c r="M1893">
        <v>1650</v>
      </c>
      <c r="N1893">
        <v>0</v>
      </c>
    </row>
    <row r="1894" spans="1:14" x14ac:dyDescent="0.25">
      <c r="A1894">
        <v>1313.8809859999999</v>
      </c>
      <c r="B1894" s="1">
        <f>DATE(2013,12,4) + TIME(21,8,37)</f>
        <v>41612.880983796298</v>
      </c>
      <c r="C1894">
        <v>80</v>
      </c>
      <c r="D1894">
        <v>77.687973021999994</v>
      </c>
      <c r="E1894">
        <v>50</v>
      </c>
      <c r="F1894">
        <v>49.978069304999998</v>
      </c>
      <c r="G1894">
        <v>1329.3134766000001</v>
      </c>
      <c r="H1894">
        <v>1328.1812743999999</v>
      </c>
      <c r="I1894">
        <v>1335.9920654</v>
      </c>
      <c r="J1894">
        <v>1334.2510986</v>
      </c>
      <c r="K1894">
        <v>0</v>
      </c>
      <c r="L1894">
        <v>1650</v>
      </c>
      <c r="M1894">
        <v>1650</v>
      </c>
      <c r="N1894">
        <v>0</v>
      </c>
    </row>
    <row r="1895" spans="1:14" x14ac:dyDescent="0.25">
      <c r="A1895">
        <v>1315.274811</v>
      </c>
      <c r="B1895" s="1">
        <f>DATE(2013,12,6) + TIME(6,35,43)</f>
        <v>41614.27480324074</v>
      </c>
      <c r="C1895">
        <v>80</v>
      </c>
      <c r="D1895">
        <v>77.595077515</v>
      </c>
      <c r="E1895">
        <v>50</v>
      </c>
      <c r="F1895">
        <v>49.978054047000001</v>
      </c>
      <c r="G1895">
        <v>1329.2811279</v>
      </c>
      <c r="H1895">
        <v>1328.1379394999999</v>
      </c>
      <c r="I1895">
        <v>1335.9892577999999</v>
      </c>
      <c r="J1895">
        <v>1334.25</v>
      </c>
      <c r="K1895">
        <v>0</v>
      </c>
      <c r="L1895">
        <v>1650</v>
      </c>
      <c r="M1895">
        <v>1650</v>
      </c>
      <c r="N1895">
        <v>0</v>
      </c>
    </row>
    <row r="1896" spans="1:14" x14ac:dyDescent="0.25">
      <c r="A1896">
        <v>1316.7357159999999</v>
      </c>
      <c r="B1896" s="1">
        <f>DATE(2013,12,7) + TIME(17,39,25)</f>
        <v>41615.735706018517</v>
      </c>
      <c r="C1896">
        <v>80</v>
      </c>
      <c r="D1896">
        <v>77.496696471999996</v>
      </c>
      <c r="E1896">
        <v>50</v>
      </c>
      <c r="F1896">
        <v>49.978034973</v>
      </c>
      <c r="G1896">
        <v>1329.2479248</v>
      </c>
      <c r="H1896">
        <v>1328.09375</v>
      </c>
      <c r="I1896">
        <v>1335.9864502</v>
      </c>
      <c r="J1896">
        <v>1334.2487793</v>
      </c>
      <c r="K1896">
        <v>0</v>
      </c>
      <c r="L1896">
        <v>1650</v>
      </c>
      <c r="M1896">
        <v>1650</v>
      </c>
      <c r="N1896">
        <v>0</v>
      </c>
    </row>
    <row r="1897" spans="1:14" x14ac:dyDescent="0.25">
      <c r="A1897">
        <v>1318.2212669999999</v>
      </c>
      <c r="B1897" s="1">
        <f>DATE(2013,12,9) + TIME(5,18,37)</f>
        <v>41617.221261574072</v>
      </c>
      <c r="C1897">
        <v>80</v>
      </c>
      <c r="D1897">
        <v>77.393608092999997</v>
      </c>
      <c r="E1897">
        <v>50</v>
      </c>
      <c r="F1897">
        <v>49.978015900000003</v>
      </c>
      <c r="G1897">
        <v>1329.2141113</v>
      </c>
      <c r="H1897">
        <v>1328.0485839999999</v>
      </c>
      <c r="I1897">
        <v>1335.9836425999999</v>
      </c>
      <c r="J1897">
        <v>1334.2476807</v>
      </c>
      <c r="K1897">
        <v>0</v>
      </c>
      <c r="L1897">
        <v>1650</v>
      </c>
      <c r="M1897">
        <v>1650</v>
      </c>
      <c r="N1897">
        <v>0</v>
      </c>
    </row>
    <row r="1898" spans="1:14" x14ac:dyDescent="0.25">
      <c r="A1898">
        <v>1319.733798</v>
      </c>
      <c r="B1898" s="1">
        <f>DATE(2013,12,10) + TIME(17,36,40)</f>
        <v>41618.733796296299</v>
      </c>
      <c r="C1898">
        <v>80</v>
      </c>
      <c r="D1898">
        <v>77.286743164000001</v>
      </c>
      <c r="E1898">
        <v>50</v>
      </c>
      <c r="F1898">
        <v>49.977996826000002</v>
      </c>
      <c r="G1898">
        <v>1329.1801757999999</v>
      </c>
      <c r="H1898">
        <v>1328.0032959</v>
      </c>
      <c r="I1898">
        <v>1335.9808350000001</v>
      </c>
      <c r="J1898">
        <v>1334.2467041</v>
      </c>
      <c r="K1898">
        <v>0</v>
      </c>
      <c r="L1898">
        <v>1650</v>
      </c>
      <c r="M1898">
        <v>1650</v>
      </c>
      <c r="N1898">
        <v>0</v>
      </c>
    </row>
    <row r="1899" spans="1:14" x14ac:dyDescent="0.25">
      <c r="A1899">
        <v>1321.2850539999999</v>
      </c>
      <c r="B1899" s="1">
        <f>DATE(2013,12,12) + TIME(6,50,28)</f>
        <v>41620.285046296296</v>
      </c>
      <c r="C1899">
        <v>80</v>
      </c>
      <c r="D1899">
        <v>77.176094054999993</v>
      </c>
      <c r="E1899">
        <v>50</v>
      </c>
      <c r="F1899">
        <v>49.977977752999998</v>
      </c>
      <c r="G1899">
        <v>1329.1462402</v>
      </c>
      <c r="H1899">
        <v>1327.9582519999999</v>
      </c>
      <c r="I1899">
        <v>1335.9781493999999</v>
      </c>
      <c r="J1899">
        <v>1334.2456055</v>
      </c>
      <c r="K1899">
        <v>0</v>
      </c>
      <c r="L1899">
        <v>1650</v>
      </c>
      <c r="M1899">
        <v>1650</v>
      </c>
      <c r="N1899">
        <v>0</v>
      </c>
    </row>
    <row r="1900" spans="1:14" x14ac:dyDescent="0.25">
      <c r="A1900">
        <v>1322.887788</v>
      </c>
      <c r="B1900" s="1">
        <f>DATE(2013,12,13) + TIME(21,18,24)</f>
        <v>41621.887777777774</v>
      </c>
      <c r="C1900">
        <v>80</v>
      </c>
      <c r="D1900">
        <v>77.061073303000001</v>
      </c>
      <c r="E1900">
        <v>50</v>
      </c>
      <c r="F1900">
        <v>49.977958678999997</v>
      </c>
      <c r="G1900">
        <v>1329.1124268000001</v>
      </c>
      <c r="H1900">
        <v>1327.9132079999999</v>
      </c>
      <c r="I1900">
        <v>1335.9754639</v>
      </c>
      <c r="J1900">
        <v>1334.244751</v>
      </c>
      <c r="K1900">
        <v>0</v>
      </c>
      <c r="L1900">
        <v>1650</v>
      </c>
      <c r="M1900">
        <v>1650</v>
      </c>
      <c r="N1900">
        <v>0</v>
      </c>
    </row>
    <row r="1901" spans="1:14" x14ac:dyDescent="0.25">
      <c r="A1901">
        <v>1324.55612</v>
      </c>
      <c r="B1901" s="1">
        <f>DATE(2013,12,15) + TIME(13,20,48)</f>
        <v>41623.556111111109</v>
      </c>
      <c r="C1901">
        <v>80</v>
      </c>
      <c r="D1901">
        <v>76.940788268999995</v>
      </c>
      <c r="E1901">
        <v>50</v>
      </c>
      <c r="F1901">
        <v>49.977939606</v>
      </c>
      <c r="G1901">
        <v>1329.0783690999999</v>
      </c>
      <c r="H1901">
        <v>1327.8680420000001</v>
      </c>
      <c r="I1901">
        <v>1335.9727783000001</v>
      </c>
      <c r="J1901">
        <v>1334.2438964999999</v>
      </c>
      <c r="K1901">
        <v>0</v>
      </c>
      <c r="L1901">
        <v>1650</v>
      </c>
      <c r="M1901">
        <v>1650</v>
      </c>
      <c r="N1901">
        <v>0</v>
      </c>
    </row>
    <row r="1902" spans="1:14" x14ac:dyDescent="0.25">
      <c r="A1902">
        <v>1326.2800890000001</v>
      </c>
      <c r="B1902" s="1">
        <f>DATE(2013,12,17) + TIME(6,43,19)</f>
        <v>41625.280081018522</v>
      </c>
      <c r="C1902">
        <v>80</v>
      </c>
      <c r="D1902">
        <v>76.814781189000001</v>
      </c>
      <c r="E1902">
        <v>50</v>
      </c>
      <c r="F1902">
        <v>49.977920531999999</v>
      </c>
      <c r="G1902">
        <v>1329.0439452999999</v>
      </c>
      <c r="H1902">
        <v>1327.8225098</v>
      </c>
      <c r="I1902">
        <v>1335.9700928</v>
      </c>
      <c r="J1902">
        <v>1334.2430420000001</v>
      </c>
      <c r="K1902">
        <v>0</v>
      </c>
      <c r="L1902">
        <v>1650</v>
      </c>
      <c r="M1902">
        <v>1650</v>
      </c>
      <c r="N1902">
        <v>0</v>
      </c>
    </row>
    <row r="1903" spans="1:14" x14ac:dyDescent="0.25">
      <c r="A1903">
        <v>1328.075386</v>
      </c>
      <c r="B1903" s="1">
        <f>DATE(2013,12,19) + TIME(1,48,33)</f>
        <v>41627.075381944444</v>
      </c>
      <c r="C1903">
        <v>80</v>
      </c>
      <c r="D1903">
        <v>76.682670592999997</v>
      </c>
      <c r="E1903">
        <v>50</v>
      </c>
      <c r="F1903">
        <v>49.977897644000002</v>
      </c>
      <c r="G1903">
        <v>1329.0091553</v>
      </c>
      <c r="H1903">
        <v>1327.7766113</v>
      </c>
      <c r="I1903">
        <v>1335.9674072</v>
      </c>
      <c r="J1903">
        <v>1334.2421875</v>
      </c>
      <c r="K1903">
        <v>0</v>
      </c>
      <c r="L1903">
        <v>1650</v>
      </c>
      <c r="M1903">
        <v>1650</v>
      </c>
      <c r="N1903">
        <v>0</v>
      </c>
    </row>
    <row r="1904" spans="1:14" x14ac:dyDescent="0.25">
      <c r="A1904">
        <v>1329.9616470000001</v>
      </c>
      <c r="B1904" s="1">
        <f>DATE(2013,12,20) + TIME(23,4,46)</f>
        <v>41628.961643518516</v>
      </c>
      <c r="C1904">
        <v>80</v>
      </c>
      <c r="D1904">
        <v>76.543395996000001</v>
      </c>
      <c r="E1904">
        <v>50</v>
      </c>
      <c r="F1904">
        <v>49.977878570999998</v>
      </c>
      <c r="G1904">
        <v>1328.973999</v>
      </c>
      <c r="H1904">
        <v>1327.7302245999999</v>
      </c>
      <c r="I1904">
        <v>1335.9647216999999</v>
      </c>
      <c r="J1904">
        <v>1334.2414550999999</v>
      </c>
      <c r="K1904">
        <v>0</v>
      </c>
      <c r="L1904">
        <v>1650</v>
      </c>
      <c r="M1904">
        <v>1650</v>
      </c>
      <c r="N1904">
        <v>0</v>
      </c>
    </row>
    <row r="1905" spans="1:14" x14ac:dyDescent="0.25">
      <c r="A1905">
        <v>1331.8953730000001</v>
      </c>
      <c r="B1905" s="1">
        <f>DATE(2013,12,22) + TIME(21,29,20)</f>
        <v>41630.895370370374</v>
      </c>
      <c r="C1905">
        <v>80</v>
      </c>
      <c r="D1905">
        <v>76.396980286000002</v>
      </c>
      <c r="E1905">
        <v>50</v>
      </c>
      <c r="F1905">
        <v>49.977855681999998</v>
      </c>
      <c r="G1905">
        <v>1328.9381103999999</v>
      </c>
      <c r="H1905">
        <v>1327.6831055</v>
      </c>
      <c r="I1905">
        <v>1335.9620361</v>
      </c>
      <c r="J1905">
        <v>1334.2407227000001</v>
      </c>
      <c r="K1905">
        <v>0</v>
      </c>
      <c r="L1905">
        <v>1650</v>
      </c>
      <c r="M1905">
        <v>1650</v>
      </c>
      <c r="N1905">
        <v>0</v>
      </c>
    </row>
    <row r="1906" spans="1:14" x14ac:dyDescent="0.25">
      <c r="A1906">
        <v>1333.843247</v>
      </c>
      <c r="B1906" s="1">
        <f>DATE(2013,12,24) + TIME(20,14,16)</f>
        <v>41632.843240740738</v>
      </c>
      <c r="C1906">
        <v>80</v>
      </c>
      <c r="D1906">
        <v>76.24546814</v>
      </c>
      <c r="E1906">
        <v>50</v>
      </c>
      <c r="F1906">
        <v>49.977832794000001</v>
      </c>
      <c r="G1906">
        <v>1328.9020995999999</v>
      </c>
      <c r="H1906">
        <v>1327.6358643000001</v>
      </c>
      <c r="I1906">
        <v>1335.9593506000001</v>
      </c>
      <c r="J1906">
        <v>1334.2399902</v>
      </c>
      <c r="K1906">
        <v>0</v>
      </c>
      <c r="L1906">
        <v>1650</v>
      </c>
      <c r="M1906">
        <v>1650</v>
      </c>
      <c r="N1906">
        <v>0</v>
      </c>
    </row>
    <row r="1907" spans="1:14" x14ac:dyDescent="0.25">
      <c r="A1907">
        <v>1335.8290360000001</v>
      </c>
      <c r="B1907" s="1">
        <f>DATE(2013,12,26) + TIME(19,53,48)</f>
        <v>41634.829027777778</v>
      </c>
      <c r="C1907">
        <v>80</v>
      </c>
      <c r="D1907">
        <v>76.090003967000001</v>
      </c>
      <c r="E1907">
        <v>50</v>
      </c>
      <c r="F1907">
        <v>49.977809905999997</v>
      </c>
      <c r="G1907">
        <v>1328.8664550999999</v>
      </c>
      <c r="H1907">
        <v>1327.5889893000001</v>
      </c>
      <c r="I1907">
        <v>1335.9566649999999</v>
      </c>
      <c r="J1907">
        <v>1334.2393798999999</v>
      </c>
      <c r="K1907">
        <v>0</v>
      </c>
      <c r="L1907">
        <v>1650</v>
      </c>
      <c r="M1907">
        <v>1650</v>
      </c>
      <c r="N1907">
        <v>0</v>
      </c>
    </row>
    <row r="1908" spans="1:14" x14ac:dyDescent="0.25">
      <c r="A1908">
        <v>1337.869817</v>
      </c>
      <c r="B1908" s="1">
        <f>DATE(2013,12,28) + TIME(20,52,32)</f>
        <v>41636.869814814818</v>
      </c>
      <c r="C1908">
        <v>80</v>
      </c>
      <c r="D1908">
        <v>75.929824828999998</v>
      </c>
      <c r="E1908">
        <v>50</v>
      </c>
      <c r="F1908">
        <v>49.977787018000001</v>
      </c>
      <c r="G1908">
        <v>1328.8310547000001</v>
      </c>
      <c r="H1908">
        <v>1327.5426024999999</v>
      </c>
      <c r="I1908">
        <v>1335.9541016000001</v>
      </c>
      <c r="J1908">
        <v>1334.2388916</v>
      </c>
      <c r="K1908">
        <v>0</v>
      </c>
      <c r="L1908">
        <v>1650</v>
      </c>
      <c r="M1908">
        <v>1650</v>
      </c>
      <c r="N1908">
        <v>0</v>
      </c>
    </row>
    <row r="1909" spans="1:14" x14ac:dyDescent="0.25">
      <c r="A1909">
        <v>1339.984197</v>
      </c>
      <c r="B1909" s="1">
        <f>DATE(2013,12,30) + TIME(23,37,14)</f>
        <v>41638.984189814815</v>
      </c>
      <c r="C1909">
        <v>80</v>
      </c>
      <c r="D1909">
        <v>75.763740540000001</v>
      </c>
      <c r="E1909">
        <v>50</v>
      </c>
      <c r="F1909">
        <v>49.977764129999997</v>
      </c>
      <c r="G1909">
        <v>1328.7958983999999</v>
      </c>
      <c r="H1909">
        <v>1327.4964600000001</v>
      </c>
      <c r="I1909">
        <v>1335.9514160000001</v>
      </c>
      <c r="J1909">
        <v>1334.2382812000001</v>
      </c>
      <c r="K1909">
        <v>0</v>
      </c>
      <c r="L1909">
        <v>1650</v>
      </c>
      <c r="M1909">
        <v>1650</v>
      </c>
      <c r="N1909">
        <v>0</v>
      </c>
    </row>
    <row r="1910" spans="1:14" x14ac:dyDescent="0.25">
      <c r="A1910">
        <v>1341</v>
      </c>
      <c r="B1910" s="1">
        <f>DATE(2014,1,1) + TIME(0,0,0)</f>
        <v>41640</v>
      </c>
      <c r="C1910">
        <v>80</v>
      </c>
      <c r="D1910">
        <v>75.632476807000003</v>
      </c>
      <c r="E1910">
        <v>50</v>
      </c>
      <c r="F1910">
        <v>49.977748871000003</v>
      </c>
      <c r="G1910">
        <v>1328.7611084</v>
      </c>
      <c r="H1910">
        <v>1327.4520264</v>
      </c>
      <c r="I1910">
        <v>1335.9487305</v>
      </c>
      <c r="J1910">
        <v>1334.237793</v>
      </c>
      <c r="K1910">
        <v>0</v>
      </c>
      <c r="L1910">
        <v>1650</v>
      </c>
      <c r="M1910">
        <v>1650</v>
      </c>
      <c r="N1910">
        <v>0</v>
      </c>
    </row>
    <row r="1911" spans="1:14" x14ac:dyDescent="0.25">
      <c r="A1911">
        <v>1343.209192</v>
      </c>
      <c r="B1911" s="1">
        <f>DATE(2014,1,3) + TIME(5,1,14)</f>
        <v>41642.209189814814</v>
      </c>
      <c r="C1911">
        <v>80</v>
      </c>
      <c r="D1911">
        <v>75.493293761999993</v>
      </c>
      <c r="E1911">
        <v>50</v>
      </c>
      <c r="F1911">
        <v>49.977729797000002</v>
      </c>
      <c r="G1911">
        <v>1328.7390137</v>
      </c>
      <c r="H1911">
        <v>1327.4197998</v>
      </c>
      <c r="I1911">
        <v>1335.9476318</v>
      </c>
      <c r="J1911">
        <v>1334.2376709</v>
      </c>
      <c r="K1911">
        <v>0</v>
      </c>
      <c r="L1911">
        <v>1650</v>
      </c>
      <c r="M1911">
        <v>1650</v>
      </c>
      <c r="N1911">
        <v>0</v>
      </c>
    </row>
    <row r="1912" spans="1:14" x14ac:dyDescent="0.25">
      <c r="A1912">
        <v>1345.5444580000001</v>
      </c>
      <c r="B1912" s="1">
        <f>DATE(2014,1,5) + TIME(13,4,1)</f>
        <v>41644.544456018521</v>
      </c>
      <c r="C1912">
        <v>80</v>
      </c>
      <c r="D1912">
        <v>75.319404602000006</v>
      </c>
      <c r="E1912">
        <v>50</v>
      </c>
      <c r="F1912">
        <v>49.977706908999998</v>
      </c>
      <c r="G1912">
        <v>1328.7067870999999</v>
      </c>
      <c r="H1912">
        <v>1327.3795166</v>
      </c>
      <c r="I1912">
        <v>1335.9450684000001</v>
      </c>
      <c r="J1912">
        <v>1334.2371826000001</v>
      </c>
      <c r="K1912">
        <v>0</v>
      </c>
      <c r="L1912">
        <v>1650</v>
      </c>
      <c r="M1912">
        <v>1650</v>
      </c>
      <c r="N1912">
        <v>0</v>
      </c>
    </row>
    <row r="1913" spans="1:14" x14ac:dyDescent="0.25">
      <c r="A1913">
        <v>1347.98775</v>
      </c>
      <c r="B1913" s="1">
        <f>DATE(2014,1,7) + TIME(23,42,21)</f>
        <v>41646.987743055557</v>
      </c>
      <c r="C1913">
        <v>80</v>
      </c>
      <c r="D1913">
        <v>75.127922057999996</v>
      </c>
      <c r="E1913">
        <v>50</v>
      </c>
      <c r="F1913">
        <v>49.977684021000002</v>
      </c>
      <c r="G1913">
        <v>1328.6713867000001</v>
      </c>
      <c r="H1913">
        <v>1327.3342285000001</v>
      </c>
      <c r="I1913">
        <v>1335.9422606999999</v>
      </c>
      <c r="J1913">
        <v>1334.2368164</v>
      </c>
      <c r="K1913">
        <v>0</v>
      </c>
      <c r="L1913">
        <v>1650</v>
      </c>
      <c r="M1913">
        <v>1650</v>
      </c>
      <c r="N1913">
        <v>0</v>
      </c>
    </row>
    <row r="1914" spans="1:14" x14ac:dyDescent="0.25">
      <c r="A1914">
        <v>1350.5215989999999</v>
      </c>
      <c r="B1914" s="1">
        <f>DATE(2014,1,10) + TIME(12,31,6)</f>
        <v>41649.521597222221</v>
      </c>
      <c r="C1914">
        <v>80</v>
      </c>
      <c r="D1914">
        <v>74.924522400000001</v>
      </c>
      <c r="E1914">
        <v>50</v>
      </c>
      <c r="F1914">
        <v>49.977657317999999</v>
      </c>
      <c r="G1914">
        <v>1328.6348877</v>
      </c>
      <c r="H1914">
        <v>1327.2869873</v>
      </c>
      <c r="I1914">
        <v>1335.9395752</v>
      </c>
      <c r="J1914">
        <v>1334.2364502</v>
      </c>
      <c r="K1914">
        <v>0</v>
      </c>
      <c r="L1914">
        <v>1650</v>
      </c>
      <c r="M1914">
        <v>1650</v>
      </c>
      <c r="N1914">
        <v>0</v>
      </c>
    </row>
    <row r="1915" spans="1:14" x14ac:dyDescent="0.25">
      <c r="A1915">
        <v>1353.0831020000001</v>
      </c>
      <c r="B1915" s="1">
        <f>DATE(2014,1,13) + TIME(1,59,40)</f>
        <v>41652.083101851851</v>
      </c>
      <c r="C1915">
        <v>80</v>
      </c>
      <c r="D1915">
        <v>74.712623596</v>
      </c>
      <c r="E1915">
        <v>50</v>
      </c>
      <c r="F1915">
        <v>49.977634430000002</v>
      </c>
      <c r="G1915">
        <v>1328.5976562000001</v>
      </c>
      <c r="H1915">
        <v>1327.2388916</v>
      </c>
      <c r="I1915">
        <v>1335.9368896000001</v>
      </c>
      <c r="J1915">
        <v>1334.2360839999999</v>
      </c>
      <c r="K1915">
        <v>0</v>
      </c>
      <c r="L1915">
        <v>1650</v>
      </c>
      <c r="M1915">
        <v>1650</v>
      </c>
      <c r="N1915">
        <v>0</v>
      </c>
    </row>
    <row r="1916" spans="1:14" x14ac:dyDescent="0.25">
      <c r="A1916">
        <v>1355.701497</v>
      </c>
      <c r="B1916" s="1">
        <f>DATE(2014,1,15) + TIME(16,50,9)</f>
        <v>41654.701493055552</v>
      </c>
      <c r="C1916">
        <v>80</v>
      </c>
      <c r="D1916">
        <v>74.495445251000007</v>
      </c>
      <c r="E1916">
        <v>50</v>
      </c>
      <c r="F1916">
        <v>49.977607726999999</v>
      </c>
      <c r="G1916">
        <v>1328.5607910000001</v>
      </c>
      <c r="H1916">
        <v>1327.190918</v>
      </c>
      <c r="I1916">
        <v>1335.934082</v>
      </c>
      <c r="J1916">
        <v>1334.2357178</v>
      </c>
      <c r="K1916">
        <v>0</v>
      </c>
      <c r="L1916">
        <v>1650</v>
      </c>
      <c r="M1916">
        <v>1650</v>
      </c>
      <c r="N1916">
        <v>0</v>
      </c>
    </row>
    <row r="1917" spans="1:14" x14ac:dyDescent="0.25">
      <c r="A1917">
        <v>1358.3990779999999</v>
      </c>
      <c r="B1917" s="1">
        <f>DATE(2014,1,18) + TIME(9,34,40)</f>
        <v>41657.399074074077</v>
      </c>
      <c r="C1917">
        <v>80</v>
      </c>
      <c r="D1917">
        <v>74.272155761999997</v>
      </c>
      <c r="E1917">
        <v>50</v>
      </c>
      <c r="F1917">
        <v>49.977581024000003</v>
      </c>
      <c r="G1917">
        <v>1328.5241699000001</v>
      </c>
      <c r="H1917">
        <v>1327.1434326000001</v>
      </c>
      <c r="I1917">
        <v>1335.9313964999999</v>
      </c>
      <c r="J1917">
        <v>1334.2354736</v>
      </c>
      <c r="K1917">
        <v>0</v>
      </c>
      <c r="L1917">
        <v>1650</v>
      </c>
      <c r="M1917">
        <v>1650</v>
      </c>
      <c r="N1917">
        <v>0</v>
      </c>
    </row>
    <row r="1918" spans="1:14" x14ac:dyDescent="0.25">
      <c r="A1918">
        <v>1361.185199</v>
      </c>
      <c r="B1918" s="1">
        <f>DATE(2014,1,21) + TIME(4,26,41)</f>
        <v>41660.185196759259</v>
      </c>
      <c r="C1918">
        <v>80</v>
      </c>
      <c r="D1918">
        <v>74.041366577000005</v>
      </c>
      <c r="E1918">
        <v>50</v>
      </c>
      <c r="F1918">
        <v>49.977554321</v>
      </c>
      <c r="G1918">
        <v>1328.4876709</v>
      </c>
      <c r="H1918">
        <v>1327.0961914</v>
      </c>
      <c r="I1918">
        <v>1335.9287108999999</v>
      </c>
      <c r="J1918">
        <v>1334.2352295000001</v>
      </c>
      <c r="K1918">
        <v>0</v>
      </c>
      <c r="L1918">
        <v>1650</v>
      </c>
      <c r="M1918">
        <v>1650</v>
      </c>
      <c r="N1918">
        <v>0</v>
      </c>
    </row>
    <row r="1919" spans="1:14" x14ac:dyDescent="0.25">
      <c r="A1919">
        <v>1364.0930410000001</v>
      </c>
      <c r="B1919" s="1">
        <f>DATE(2014,1,24) + TIME(2,13,58)</f>
        <v>41663.093032407407</v>
      </c>
      <c r="C1919">
        <v>80</v>
      </c>
      <c r="D1919">
        <v>73.801765442000004</v>
      </c>
      <c r="E1919">
        <v>50</v>
      </c>
      <c r="F1919">
        <v>49.977527618000003</v>
      </c>
      <c r="G1919">
        <v>1328.4510498</v>
      </c>
      <c r="H1919">
        <v>1327.0490723</v>
      </c>
      <c r="I1919">
        <v>1335.9260254000001</v>
      </c>
      <c r="J1919">
        <v>1334.2349853999999</v>
      </c>
      <c r="K1919">
        <v>0</v>
      </c>
      <c r="L1919">
        <v>1650</v>
      </c>
      <c r="M1919">
        <v>1650</v>
      </c>
      <c r="N1919">
        <v>0</v>
      </c>
    </row>
    <row r="1920" spans="1:14" x14ac:dyDescent="0.25">
      <c r="A1920">
        <v>1367.0510429999999</v>
      </c>
      <c r="B1920" s="1">
        <f>DATE(2014,1,27) + TIME(1,13,30)</f>
        <v>41666.051041666666</v>
      </c>
      <c r="C1920">
        <v>80</v>
      </c>
      <c r="D1920">
        <v>73.552726746000005</v>
      </c>
      <c r="E1920">
        <v>50</v>
      </c>
      <c r="F1920">
        <v>49.977500915999997</v>
      </c>
      <c r="G1920">
        <v>1328.4141846</v>
      </c>
      <c r="H1920">
        <v>1327.0015868999999</v>
      </c>
      <c r="I1920">
        <v>1335.9232178</v>
      </c>
      <c r="J1920">
        <v>1334.2347411999999</v>
      </c>
      <c r="K1920">
        <v>0</v>
      </c>
      <c r="L1920">
        <v>1650</v>
      </c>
      <c r="M1920">
        <v>1650</v>
      </c>
      <c r="N1920">
        <v>0</v>
      </c>
    </row>
    <row r="1921" spans="1:14" x14ac:dyDescent="0.25">
      <c r="A1921">
        <v>1370.1147249999999</v>
      </c>
      <c r="B1921" s="1">
        <f>DATE(2014,1,30) + TIME(2,45,12)</f>
        <v>41669.114722222221</v>
      </c>
      <c r="C1921">
        <v>80</v>
      </c>
      <c r="D1921">
        <v>73.296752929999997</v>
      </c>
      <c r="E1921">
        <v>50</v>
      </c>
      <c r="F1921">
        <v>49.977474213000001</v>
      </c>
      <c r="G1921">
        <v>1328.3775635</v>
      </c>
      <c r="H1921">
        <v>1326.9542236</v>
      </c>
      <c r="I1921">
        <v>1335.9205322</v>
      </c>
      <c r="J1921">
        <v>1334.2346190999999</v>
      </c>
      <c r="K1921">
        <v>0</v>
      </c>
      <c r="L1921">
        <v>1650</v>
      </c>
      <c r="M1921">
        <v>1650</v>
      </c>
      <c r="N1921">
        <v>0</v>
      </c>
    </row>
    <row r="1922" spans="1:14" x14ac:dyDescent="0.25">
      <c r="A1922">
        <v>1372</v>
      </c>
      <c r="B1922" s="1">
        <f>DATE(2014,2,1) + TIME(0,0,0)</f>
        <v>41671</v>
      </c>
      <c r="C1922">
        <v>80</v>
      </c>
      <c r="D1922">
        <v>73.063201903999996</v>
      </c>
      <c r="E1922">
        <v>50</v>
      </c>
      <c r="F1922">
        <v>49.977451324</v>
      </c>
      <c r="G1922">
        <v>1328.3410644999999</v>
      </c>
      <c r="H1922">
        <v>1326.9079589999999</v>
      </c>
      <c r="I1922">
        <v>1335.9177245999999</v>
      </c>
      <c r="J1922">
        <v>1334.234375</v>
      </c>
      <c r="K1922">
        <v>0</v>
      </c>
      <c r="L1922">
        <v>1650</v>
      </c>
      <c r="M1922">
        <v>1650</v>
      </c>
      <c r="N1922">
        <v>0</v>
      </c>
    </row>
    <row r="1923" spans="1:14" x14ac:dyDescent="0.25">
      <c r="A1923">
        <v>1375.213242</v>
      </c>
      <c r="B1923" s="1">
        <f>DATE(2014,2,4) + TIME(5,7,4)</f>
        <v>41674.213240740741</v>
      </c>
      <c r="C1923">
        <v>80</v>
      </c>
      <c r="D1923">
        <v>72.853271484000004</v>
      </c>
      <c r="E1923">
        <v>50</v>
      </c>
      <c r="F1923">
        <v>49.977432251000003</v>
      </c>
      <c r="G1923">
        <v>1328.3143310999999</v>
      </c>
      <c r="H1923">
        <v>1326.8704834</v>
      </c>
      <c r="I1923">
        <v>1335.9160156</v>
      </c>
      <c r="J1923">
        <v>1334.2342529</v>
      </c>
      <c r="K1923">
        <v>0</v>
      </c>
      <c r="L1923">
        <v>1650</v>
      </c>
      <c r="M1923">
        <v>1650</v>
      </c>
      <c r="N1923">
        <v>0</v>
      </c>
    </row>
    <row r="1924" spans="1:14" x14ac:dyDescent="0.25">
      <c r="A1924">
        <v>1378.5477269999999</v>
      </c>
      <c r="B1924" s="1">
        <f>DATE(2014,2,7) + TIME(13,8,43)</f>
        <v>41677.547719907408</v>
      </c>
      <c r="C1924">
        <v>80</v>
      </c>
      <c r="D1924">
        <v>72.585334778000004</v>
      </c>
      <c r="E1924">
        <v>50</v>
      </c>
      <c r="F1924">
        <v>49.977405548</v>
      </c>
      <c r="G1924">
        <v>1328.2811279</v>
      </c>
      <c r="H1924">
        <v>1326.8298339999999</v>
      </c>
      <c r="I1924">
        <v>1335.9132079999999</v>
      </c>
      <c r="J1924">
        <v>1334.2341309000001</v>
      </c>
      <c r="K1924">
        <v>0</v>
      </c>
      <c r="L1924">
        <v>1650</v>
      </c>
      <c r="M1924">
        <v>1650</v>
      </c>
      <c r="N1924">
        <v>0</v>
      </c>
    </row>
    <row r="1925" spans="1:14" x14ac:dyDescent="0.25">
      <c r="A1925">
        <v>1382.0071680000001</v>
      </c>
      <c r="B1925" s="1">
        <f>DATE(2014,2,11) + TIME(0,10,19)</f>
        <v>41681.007164351853</v>
      </c>
      <c r="C1925">
        <v>80</v>
      </c>
      <c r="D1925">
        <v>72.297912597999996</v>
      </c>
      <c r="E1925">
        <v>50</v>
      </c>
      <c r="F1925">
        <v>49.977378844999997</v>
      </c>
      <c r="G1925">
        <v>1328.2451172000001</v>
      </c>
      <c r="H1925">
        <v>1326.7840576000001</v>
      </c>
      <c r="I1925">
        <v>1335.9104004000001</v>
      </c>
      <c r="J1925">
        <v>1334.2340088000001</v>
      </c>
      <c r="K1925">
        <v>0</v>
      </c>
      <c r="L1925">
        <v>1650</v>
      </c>
      <c r="M1925">
        <v>1650</v>
      </c>
      <c r="N1925">
        <v>0</v>
      </c>
    </row>
    <row r="1926" spans="1:14" x14ac:dyDescent="0.25">
      <c r="A1926">
        <v>1385.6173739999999</v>
      </c>
      <c r="B1926" s="1">
        <f>DATE(2014,2,14) + TIME(14,49,1)</f>
        <v>41684.617372685185</v>
      </c>
      <c r="C1926">
        <v>80</v>
      </c>
      <c r="D1926">
        <v>71.997238159000005</v>
      </c>
      <c r="E1926">
        <v>50</v>
      </c>
      <c r="F1926">
        <v>49.977352142000001</v>
      </c>
      <c r="G1926">
        <v>1328.208374</v>
      </c>
      <c r="H1926">
        <v>1326.7370605000001</v>
      </c>
      <c r="I1926">
        <v>1335.9074707</v>
      </c>
      <c r="J1926">
        <v>1334.2338867000001</v>
      </c>
      <c r="K1926">
        <v>0</v>
      </c>
      <c r="L1926">
        <v>1650</v>
      </c>
      <c r="M1926">
        <v>1650</v>
      </c>
      <c r="N1926">
        <v>0</v>
      </c>
    </row>
    <row r="1927" spans="1:14" x14ac:dyDescent="0.25">
      <c r="A1927">
        <v>1389.36195</v>
      </c>
      <c r="B1927" s="1">
        <f>DATE(2014,2,18) + TIME(8,41,12)</f>
        <v>41688.361944444441</v>
      </c>
      <c r="C1927">
        <v>80</v>
      </c>
      <c r="D1927">
        <v>71.683540343999994</v>
      </c>
      <c r="E1927">
        <v>50</v>
      </c>
      <c r="F1927">
        <v>49.977325438999998</v>
      </c>
      <c r="G1927">
        <v>1328.1712646000001</v>
      </c>
      <c r="H1927">
        <v>1326.6894531</v>
      </c>
      <c r="I1927">
        <v>1335.9045410000001</v>
      </c>
      <c r="J1927">
        <v>1334.2337646000001</v>
      </c>
      <c r="K1927">
        <v>0</v>
      </c>
      <c r="L1927">
        <v>1650</v>
      </c>
      <c r="M1927">
        <v>1650</v>
      </c>
      <c r="N1927">
        <v>0</v>
      </c>
    </row>
    <row r="1928" spans="1:14" x14ac:dyDescent="0.25">
      <c r="A1928">
        <v>1393.289876</v>
      </c>
      <c r="B1928" s="1">
        <f>DATE(2014,2,22) + TIME(6,57,25)</f>
        <v>41692.289872685185</v>
      </c>
      <c r="C1928">
        <v>80</v>
      </c>
      <c r="D1928">
        <v>71.357086182000003</v>
      </c>
      <c r="E1928">
        <v>50</v>
      </c>
      <c r="F1928">
        <v>49.977298736999998</v>
      </c>
      <c r="G1928">
        <v>1328.1339111</v>
      </c>
      <c r="H1928">
        <v>1326.6416016000001</v>
      </c>
      <c r="I1928">
        <v>1335.9016113</v>
      </c>
      <c r="J1928">
        <v>1334.2336425999999</v>
      </c>
      <c r="K1928">
        <v>0</v>
      </c>
      <c r="L1928">
        <v>1650</v>
      </c>
      <c r="M1928">
        <v>1650</v>
      </c>
      <c r="N1928">
        <v>0</v>
      </c>
    </row>
    <row r="1929" spans="1:14" x14ac:dyDescent="0.25">
      <c r="A1929">
        <v>1397.2537279999999</v>
      </c>
      <c r="B1929" s="1">
        <f>DATE(2014,2,26) + TIME(6,5,22)</f>
        <v>41696.25372685185</v>
      </c>
      <c r="C1929">
        <v>80</v>
      </c>
      <c r="D1929">
        <v>71.017234802000004</v>
      </c>
      <c r="E1929">
        <v>50</v>
      </c>
      <c r="F1929">
        <v>49.977268219000003</v>
      </c>
      <c r="G1929">
        <v>1328.0960693</v>
      </c>
      <c r="H1929">
        <v>1326.5933838000001</v>
      </c>
      <c r="I1929">
        <v>1335.8984375</v>
      </c>
      <c r="J1929">
        <v>1334.2335204999999</v>
      </c>
      <c r="K1929">
        <v>0</v>
      </c>
      <c r="L1929">
        <v>1650</v>
      </c>
      <c r="M1929">
        <v>1650</v>
      </c>
      <c r="N1929">
        <v>0</v>
      </c>
    </row>
    <row r="1930" spans="1:14" x14ac:dyDescent="0.25">
      <c r="A1930">
        <v>1400</v>
      </c>
      <c r="B1930" s="1">
        <f>DATE(2014,3,1) + TIME(0,0,0)</f>
        <v>41699</v>
      </c>
      <c r="C1930">
        <v>80</v>
      </c>
      <c r="D1930">
        <v>70.696212768999999</v>
      </c>
      <c r="E1930">
        <v>50</v>
      </c>
      <c r="F1930">
        <v>49.977241515999999</v>
      </c>
      <c r="G1930">
        <v>1328.0588379000001</v>
      </c>
      <c r="H1930">
        <v>1326.5460204999999</v>
      </c>
      <c r="I1930">
        <v>1335.8953856999999</v>
      </c>
      <c r="J1930">
        <v>1334.2332764</v>
      </c>
      <c r="K1930">
        <v>0</v>
      </c>
      <c r="L1930">
        <v>1650</v>
      </c>
      <c r="M1930">
        <v>1650</v>
      </c>
      <c r="N1930">
        <v>0</v>
      </c>
    </row>
    <row r="1931" spans="1:14" x14ac:dyDescent="0.25">
      <c r="A1931">
        <v>1404.0280760000001</v>
      </c>
      <c r="B1931" s="1">
        <f>DATE(2014,3,5) + TIME(0,40,25)</f>
        <v>41703.028067129628</v>
      </c>
      <c r="C1931">
        <v>80</v>
      </c>
      <c r="D1931">
        <v>70.419425963999998</v>
      </c>
      <c r="E1931">
        <v>50</v>
      </c>
      <c r="F1931">
        <v>49.977222443000002</v>
      </c>
      <c r="G1931">
        <v>1328.0299072</v>
      </c>
      <c r="H1931">
        <v>1326.5061035000001</v>
      </c>
      <c r="I1931">
        <v>1335.8934326000001</v>
      </c>
      <c r="J1931">
        <v>1334.2332764</v>
      </c>
      <c r="K1931">
        <v>0</v>
      </c>
      <c r="L1931">
        <v>1650</v>
      </c>
      <c r="M1931">
        <v>1650</v>
      </c>
      <c r="N1931">
        <v>0</v>
      </c>
    </row>
    <row r="1932" spans="1:14" x14ac:dyDescent="0.25">
      <c r="A1932">
        <v>1408.288681</v>
      </c>
      <c r="B1932" s="1">
        <f>DATE(2014,3,9) + TIME(6,55,42)</f>
        <v>41707.288680555554</v>
      </c>
      <c r="C1932">
        <v>80</v>
      </c>
      <c r="D1932">
        <v>70.076820373999993</v>
      </c>
      <c r="E1932">
        <v>50</v>
      </c>
      <c r="F1932">
        <v>49.977199554000002</v>
      </c>
      <c r="G1932">
        <v>1327.9970702999999</v>
      </c>
      <c r="H1932">
        <v>1326.4656981999999</v>
      </c>
      <c r="I1932">
        <v>1335.8903809000001</v>
      </c>
      <c r="J1932">
        <v>1334.2330322</v>
      </c>
      <c r="K1932">
        <v>0</v>
      </c>
      <c r="L1932">
        <v>1650</v>
      </c>
      <c r="M1932">
        <v>1650</v>
      </c>
      <c r="N1932">
        <v>0</v>
      </c>
    </row>
    <row r="1933" spans="1:14" x14ac:dyDescent="0.25">
      <c r="A1933">
        <v>1412.765893</v>
      </c>
      <c r="B1933" s="1">
        <f>DATE(2014,3,13) + TIME(18,22,53)</f>
        <v>41711.7658912037</v>
      </c>
      <c r="C1933">
        <v>80</v>
      </c>
      <c r="D1933">
        <v>69.707946777000004</v>
      </c>
      <c r="E1933">
        <v>50</v>
      </c>
      <c r="F1933">
        <v>49.977172852000002</v>
      </c>
      <c r="G1933">
        <v>1327.9614257999999</v>
      </c>
      <c r="H1933">
        <v>1326.4206543</v>
      </c>
      <c r="I1933">
        <v>1335.8873291</v>
      </c>
      <c r="J1933">
        <v>1334.2329102000001</v>
      </c>
      <c r="K1933">
        <v>0</v>
      </c>
      <c r="L1933">
        <v>1650</v>
      </c>
      <c r="M1933">
        <v>1650</v>
      </c>
      <c r="N1933">
        <v>0</v>
      </c>
    </row>
    <row r="1934" spans="1:14" x14ac:dyDescent="0.25">
      <c r="A1934">
        <v>1417.4904570000001</v>
      </c>
      <c r="B1934" s="1">
        <f>DATE(2014,3,18) + TIME(11,46,15)</f>
        <v>41716.490451388891</v>
      </c>
      <c r="C1934">
        <v>80</v>
      </c>
      <c r="D1934">
        <v>69.318656920999999</v>
      </c>
      <c r="E1934">
        <v>50</v>
      </c>
      <c r="F1934">
        <v>49.977149963000002</v>
      </c>
      <c r="G1934">
        <v>1327.9250488</v>
      </c>
      <c r="H1934">
        <v>1326.3742675999999</v>
      </c>
      <c r="I1934">
        <v>1335.8840332</v>
      </c>
      <c r="J1934">
        <v>1334.2326660000001</v>
      </c>
      <c r="K1934">
        <v>0</v>
      </c>
      <c r="L1934">
        <v>1650</v>
      </c>
      <c r="M1934">
        <v>1650</v>
      </c>
      <c r="N1934">
        <v>0</v>
      </c>
    </row>
    <row r="1935" spans="1:14" x14ac:dyDescent="0.25">
      <c r="A1935">
        <v>1422.4184499999999</v>
      </c>
      <c r="B1935" s="1">
        <f>DATE(2014,3,23) + TIME(10,2,34)</f>
        <v>41721.418449074074</v>
      </c>
      <c r="C1935">
        <v>80</v>
      </c>
      <c r="D1935">
        <v>68.909049988000007</v>
      </c>
      <c r="E1935">
        <v>50</v>
      </c>
      <c r="F1935">
        <v>49.977123259999999</v>
      </c>
      <c r="G1935">
        <v>1327.8879394999999</v>
      </c>
      <c r="H1935">
        <v>1326.3270264</v>
      </c>
      <c r="I1935">
        <v>1335.8807373</v>
      </c>
      <c r="J1935">
        <v>1334.2324219</v>
      </c>
      <c r="K1935">
        <v>0</v>
      </c>
      <c r="L1935">
        <v>1650</v>
      </c>
      <c r="M1935">
        <v>1650</v>
      </c>
      <c r="N1935">
        <v>0</v>
      </c>
    </row>
    <row r="1936" spans="1:14" x14ac:dyDescent="0.25">
      <c r="A1936">
        <v>1427.454909</v>
      </c>
      <c r="B1936" s="1">
        <f>DATE(2014,3,28) + TIME(10,55,4)</f>
        <v>41726.454907407409</v>
      </c>
      <c r="C1936">
        <v>80</v>
      </c>
      <c r="D1936">
        <v>68.482757567999997</v>
      </c>
      <c r="E1936">
        <v>50</v>
      </c>
      <c r="F1936">
        <v>49.977096558</v>
      </c>
      <c r="G1936">
        <v>1327.8507079999999</v>
      </c>
      <c r="H1936">
        <v>1326.2792969</v>
      </c>
      <c r="I1936">
        <v>1335.8773193</v>
      </c>
      <c r="J1936">
        <v>1334.2321777</v>
      </c>
      <c r="K1936">
        <v>0</v>
      </c>
      <c r="L1936">
        <v>1650</v>
      </c>
      <c r="M1936">
        <v>1650</v>
      </c>
      <c r="N1936">
        <v>0</v>
      </c>
    </row>
    <row r="1937" spans="1:14" x14ac:dyDescent="0.25">
      <c r="A1937">
        <v>1431</v>
      </c>
      <c r="B1937" s="1">
        <f>DATE(2014,4,1) + TIME(0,0,0)</f>
        <v>41730</v>
      </c>
      <c r="C1937">
        <v>80</v>
      </c>
      <c r="D1937">
        <v>68.070617675999998</v>
      </c>
      <c r="E1937">
        <v>50</v>
      </c>
      <c r="F1937">
        <v>49.977069855000003</v>
      </c>
      <c r="G1937">
        <v>1327.8137207</v>
      </c>
      <c r="H1937">
        <v>1326.2322998</v>
      </c>
      <c r="I1937">
        <v>1335.8739014</v>
      </c>
      <c r="J1937">
        <v>1334.2318115</v>
      </c>
      <c r="K1937">
        <v>0</v>
      </c>
      <c r="L1937">
        <v>1650</v>
      </c>
      <c r="M1937">
        <v>1650</v>
      </c>
      <c r="N1937">
        <v>0</v>
      </c>
    </row>
    <row r="1938" spans="1:14" x14ac:dyDescent="0.25">
      <c r="A1938">
        <v>1436.1040949999999</v>
      </c>
      <c r="B1938" s="1">
        <f>DATE(2014,4,6) + TIME(2,29,53)</f>
        <v>41735.104085648149</v>
      </c>
      <c r="C1938">
        <v>80</v>
      </c>
      <c r="D1938">
        <v>67.724502563000001</v>
      </c>
      <c r="E1938">
        <v>50</v>
      </c>
      <c r="F1938">
        <v>49.977054596000002</v>
      </c>
      <c r="G1938">
        <v>1327.7849120999999</v>
      </c>
      <c r="H1938">
        <v>1326.1923827999999</v>
      </c>
      <c r="I1938">
        <v>1335.871582</v>
      </c>
      <c r="J1938">
        <v>1334.2315673999999</v>
      </c>
      <c r="K1938">
        <v>0</v>
      </c>
      <c r="L1938">
        <v>1650</v>
      </c>
      <c r="M1938">
        <v>1650</v>
      </c>
      <c r="N1938">
        <v>0</v>
      </c>
    </row>
    <row r="1939" spans="1:14" x14ac:dyDescent="0.25">
      <c r="A1939">
        <v>1441.4494460000001</v>
      </c>
      <c r="B1939" s="1">
        <f>DATE(2014,4,11) + TIME(10,47,12)</f>
        <v>41740.449444444443</v>
      </c>
      <c r="C1939">
        <v>80</v>
      </c>
      <c r="D1939">
        <v>67.291473389000004</v>
      </c>
      <c r="E1939">
        <v>50</v>
      </c>
      <c r="F1939">
        <v>49.977035522000001</v>
      </c>
      <c r="G1939">
        <v>1327.7528076000001</v>
      </c>
      <c r="H1939">
        <v>1326.1531981999999</v>
      </c>
      <c r="I1939">
        <v>1335.8681641000001</v>
      </c>
      <c r="J1939">
        <v>1334.2312012</v>
      </c>
      <c r="K1939">
        <v>0</v>
      </c>
      <c r="L1939">
        <v>1650</v>
      </c>
      <c r="M1939">
        <v>1650</v>
      </c>
      <c r="N1939">
        <v>0</v>
      </c>
    </row>
    <row r="1940" spans="1:14" x14ac:dyDescent="0.25">
      <c r="A1940">
        <v>1446.960012</v>
      </c>
      <c r="B1940" s="1">
        <f>DATE(2014,4,16) + TIME(23,2,25)</f>
        <v>41745.960011574076</v>
      </c>
      <c r="C1940">
        <v>80</v>
      </c>
      <c r="D1940">
        <v>66.829727172999995</v>
      </c>
      <c r="E1940">
        <v>50</v>
      </c>
      <c r="F1940">
        <v>49.977012633999998</v>
      </c>
      <c r="G1940">
        <v>1327.7186279</v>
      </c>
      <c r="H1940">
        <v>1326.1094971</v>
      </c>
      <c r="I1940">
        <v>1335.8647461</v>
      </c>
      <c r="J1940">
        <v>1334.2307129000001</v>
      </c>
      <c r="K1940">
        <v>0</v>
      </c>
      <c r="L1940">
        <v>1650</v>
      </c>
      <c r="M1940">
        <v>1650</v>
      </c>
      <c r="N1940">
        <v>0</v>
      </c>
    </row>
    <row r="1941" spans="1:14" x14ac:dyDescent="0.25">
      <c r="A1941">
        <v>1452.7163430000001</v>
      </c>
      <c r="B1941" s="1">
        <f>DATE(2014,4,22) + TIME(17,11,32)</f>
        <v>41751.71634259259</v>
      </c>
      <c r="C1941">
        <v>80</v>
      </c>
      <c r="D1941">
        <v>66.354476929</v>
      </c>
      <c r="E1941">
        <v>50</v>
      </c>
      <c r="F1941">
        <v>49.976993561</v>
      </c>
      <c r="G1941">
        <v>1327.6844481999999</v>
      </c>
      <c r="H1941">
        <v>1326.0656738</v>
      </c>
      <c r="I1941">
        <v>1335.8612060999999</v>
      </c>
      <c r="J1941">
        <v>1334.2302245999999</v>
      </c>
      <c r="K1941">
        <v>0</v>
      </c>
      <c r="L1941">
        <v>1650</v>
      </c>
      <c r="M1941">
        <v>1650</v>
      </c>
      <c r="N1941">
        <v>0</v>
      </c>
    </row>
    <row r="1942" spans="1:14" x14ac:dyDescent="0.25">
      <c r="A1942">
        <v>1458.6686870000001</v>
      </c>
      <c r="B1942" s="1">
        <f>DATE(2014,4,28) + TIME(16,2,54)</f>
        <v>41757.668680555558</v>
      </c>
      <c r="C1942">
        <v>80</v>
      </c>
      <c r="D1942">
        <v>65.855453491000006</v>
      </c>
      <c r="E1942">
        <v>50</v>
      </c>
      <c r="F1942">
        <v>49.976974487</v>
      </c>
      <c r="G1942">
        <v>1327.6505127</v>
      </c>
      <c r="H1942">
        <v>1326.0222168</v>
      </c>
      <c r="I1942">
        <v>1335.8576660000001</v>
      </c>
      <c r="J1942">
        <v>1334.2296143000001</v>
      </c>
      <c r="K1942">
        <v>0</v>
      </c>
      <c r="L1942">
        <v>1650</v>
      </c>
      <c r="M1942">
        <v>1650</v>
      </c>
      <c r="N1942">
        <v>0</v>
      </c>
    </row>
    <row r="1943" spans="1:14" x14ac:dyDescent="0.25">
      <c r="A1943">
        <v>1461</v>
      </c>
      <c r="B1943" s="1">
        <f>DATE(2014,5,1) + TIME(0,0,0)</f>
        <v>41760</v>
      </c>
      <c r="C1943">
        <v>80</v>
      </c>
      <c r="D1943">
        <v>65.422103882000002</v>
      </c>
      <c r="E1943">
        <v>50</v>
      </c>
      <c r="F1943">
        <v>49.976947783999996</v>
      </c>
      <c r="G1943">
        <v>1327.6166992000001</v>
      </c>
      <c r="H1943">
        <v>1325.9803466999999</v>
      </c>
      <c r="I1943">
        <v>1335.8538818</v>
      </c>
      <c r="J1943">
        <v>1334.2290039</v>
      </c>
      <c r="K1943">
        <v>0</v>
      </c>
      <c r="L1943">
        <v>1650</v>
      </c>
      <c r="M1943">
        <v>1650</v>
      </c>
      <c r="N1943">
        <v>0</v>
      </c>
    </row>
    <row r="1944" spans="1:14" x14ac:dyDescent="0.25">
      <c r="A1944">
        <v>1461.0000010000001</v>
      </c>
      <c r="B1944" s="1">
        <f>DATE(2014,5,1) + TIME(0,0,0)</f>
        <v>41760</v>
      </c>
      <c r="C1944">
        <v>80</v>
      </c>
      <c r="D1944">
        <v>65.422210692999997</v>
      </c>
      <c r="E1944">
        <v>50</v>
      </c>
      <c r="F1944">
        <v>49.976890564000001</v>
      </c>
      <c r="G1944">
        <v>1329.8870850000001</v>
      </c>
      <c r="H1944">
        <v>1328.2758789</v>
      </c>
      <c r="I1944">
        <v>1333.7789307</v>
      </c>
      <c r="J1944">
        <v>1332.7672118999999</v>
      </c>
      <c r="K1944">
        <v>1650</v>
      </c>
      <c r="L1944">
        <v>0</v>
      </c>
      <c r="M1944">
        <v>0</v>
      </c>
      <c r="N1944">
        <v>1650</v>
      </c>
    </row>
    <row r="1945" spans="1:14" x14ac:dyDescent="0.25">
      <c r="A1945">
        <v>1461.000004</v>
      </c>
      <c r="B1945" s="1">
        <f>DATE(2014,5,1) + TIME(0,0,0)</f>
        <v>41760</v>
      </c>
      <c r="C1945">
        <v>80</v>
      </c>
      <c r="D1945">
        <v>65.422386169000006</v>
      </c>
      <c r="E1945">
        <v>50</v>
      </c>
      <c r="F1945">
        <v>49.976802825999997</v>
      </c>
      <c r="G1945">
        <v>1330.7165527</v>
      </c>
      <c r="H1945">
        <v>1329.1861572</v>
      </c>
      <c r="I1945">
        <v>1333.0758057</v>
      </c>
      <c r="J1945">
        <v>1332.0640868999999</v>
      </c>
      <c r="K1945">
        <v>1650</v>
      </c>
      <c r="L1945">
        <v>0</v>
      </c>
      <c r="M1945">
        <v>0</v>
      </c>
      <c r="N1945">
        <v>1650</v>
      </c>
    </row>
    <row r="1946" spans="1:14" x14ac:dyDescent="0.25">
      <c r="A1946">
        <v>1461.0000130000001</v>
      </c>
      <c r="B1946" s="1">
        <f>DATE(2014,5,1) + TIME(0,0,1)</f>
        <v>41760.000011574077</v>
      </c>
      <c r="C1946">
        <v>80</v>
      </c>
      <c r="D1946">
        <v>65.422683715999995</v>
      </c>
      <c r="E1946">
        <v>50</v>
      </c>
      <c r="F1946">
        <v>49.976699828999998</v>
      </c>
      <c r="G1946">
        <v>1331.7161865</v>
      </c>
      <c r="H1946">
        <v>1330.1647949000001</v>
      </c>
      <c r="I1946">
        <v>1332.2784423999999</v>
      </c>
      <c r="J1946">
        <v>1331.2664795000001</v>
      </c>
      <c r="K1946">
        <v>1650</v>
      </c>
      <c r="L1946">
        <v>0</v>
      </c>
      <c r="M1946">
        <v>0</v>
      </c>
      <c r="N1946">
        <v>1650</v>
      </c>
    </row>
    <row r="1947" spans="1:14" x14ac:dyDescent="0.25">
      <c r="A1947">
        <v>1461.0000399999999</v>
      </c>
      <c r="B1947" s="1">
        <f>DATE(2014,5,1) + TIME(0,0,3)</f>
        <v>41760.000034722223</v>
      </c>
      <c r="C1947">
        <v>80</v>
      </c>
      <c r="D1947">
        <v>65.423309325999995</v>
      </c>
      <c r="E1947">
        <v>50</v>
      </c>
      <c r="F1947">
        <v>49.976600646999998</v>
      </c>
      <c r="G1947">
        <v>1332.729126</v>
      </c>
      <c r="H1947">
        <v>1331.1324463000001</v>
      </c>
      <c r="I1947">
        <v>1331.4941406</v>
      </c>
      <c r="J1947">
        <v>1330.4780272999999</v>
      </c>
      <c r="K1947">
        <v>1650</v>
      </c>
      <c r="L1947">
        <v>0</v>
      </c>
      <c r="M1947">
        <v>0</v>
      </c>
      <c r="N1947">
        <v>1650</v>
      </c>
    </row>
    <row r="1948" spans="1:14" x14ac:dyDescent="0.25">
      <c r="A1948">
        <v>1461.000121</v>
      </c>
      <c r="B1948" s="1">
        <f>DATE(2014,5,1) + TIME(0,0,10)</f>
        <v>41760.000115740739</v>
      </c>
      <c r="C1948">
        <v>80</v>
      </c>
      <c r="D1948">
        <v>65.424980164000004</v>
      </c>
      <c r="E1948">
        <v>50</v>
      </c>
      <c r="F1948">
        <v>49.976497649999999</v>
      </c>
      <c r="G1948">
        <v>1333.7194824000001</v>
      </c>
      <c r="H1948">
        <v>1332.0809326000001</v>
      </c>
      <c r="I1948">
        <v>1330.7132568</v>
      </c>
      <c r="J1948">
        <v>1329.6816406</v>
      </c>
      <c r="K1948">
        <v>1650</v>
      </c>
      <c r="L1948">
        <v>0</v>
      </c>
      <c r="M1948">
        <v>0</v>
      </c>
      <c r="N1948">
        <v>1650</v>
      </c>
    </row>
    <row r="1949" spans="1:14" x14ac:dyDescent="0.25">
      <c r="A1949">
        <v>1461.000364</v>
      </c>
      <c r="B1949" s="1">
        <f>DATE(2014,5,1) + TIME(0,0,31)</f>
        <v>41760.000358796293</v>
      </c>
      <c r="C1949">
        <v>80</v>
      </c>
      <c r="D1949">
        <v>65.429847717000001</v>
      </c>
      <c r="E1949">
        <v>50</v>
      </c>
      <c r="F1949">
        <v>49.976383208999998</v>
      </c>
      <c r="G1949">
        <v>1334.666626</v>
      </c>
      <c r="H1949">
        <v>1332.9853516000001</v>
      </c>
      <c r="I1949">
        <v>1329.9263916</v>
      </c>
      <c r="J1949">
        <v>1328.8618164</v>
      </c>
      <c r="K1949">
        <v>1650</v>
      </c>
      <c r="L1949">
        <v>0</v>
      </c>
      <c r="M1949">
        <v>0</v>
      </c>
      <c r="N1949">
        <v>1650</v>
      </c>
    </row>
    <row r="1950" spans="1:14" x14ac:dyDescent="0.25">
      <c r="A1950">
        <v>1461.0010930000001</v>
      </c>
      <c r="B1950" s="1">
        <f>DATE(2014,5,1) + TIME(0,1,34)</f>
        <v>41760.001087962963</v>
      </c>
      <c r="C1950">
        <v>80</v>
      </c>
      <c r="D1950">
        <v>65.444496154999996</v>
      </c>
      <c r="E1950">
        <v>50</v>
      </c>
      <c r="F1950">
        <v>49.976242065000001</v>
      </c>
      <c r="G1950">
        <v>1335.4511719</v>
      </c>
      <c r="H1950">
        <v>1333.7314452999999</v>
      </c>
      <c r="I1950">
        <v>1329.2171631000001</v>
      </c>
      <c r="J1950">
        <v>1328.1162108999999</v>
      </c>
      <c r="K1950">
        <v>1650</v>
      </c>
      <c r="L1950">
        <v>0</v>
      </c>
      <c r="M1950">
        <v>0</v>
      </c>
      <c r="N1950">
        <v>1650</v>
      </c>
    </row>
    <row r="1951" spans="1:14" x14ac:dyDescent="0.25">
      <c r="A1951">
        <v>1461.0032799999999</v>
      </c>
      <c r="B1951" s="1">
        <f>DATE(2014,5,1) + TIME(0,4,43)</f>
        <v>41760.003275462965</v>
      </c>
      <c r="C1951">
        <v>80</v>
      </c>
      <c r="D1951">
        <v>65.488616942999997</v>
      </c>
      <c r="E1951">
        <v>50</v>
      </c>
      <c r="F1951">
        <v>49.976024627999998</v>
      </c>
      <c r="G1951">
        <v>1335.9465332</v>
      </c>
      <c r="H1951">
        <v>1334.2059326000001</v>
      </c>
      <c r="I1951">
        <v>1328.7154541</v>
      </c>
      <c r="J1951">
        <v>1327.5950928</v>
      </c>
      <c r="K1951">
        <v>1650</v>
      </c>
      <c r="L1951">
        <v>0</v>
      </c>
      <c r="M1951">
        <v>0</v>
      </c>
      <c r="N1951">
        <v>1650</v>
      </c>
    </row>
    <row r="1952" spans="1:14" x14ac:dyDescent="0.25">
      <c r="A1952">
        <v>1461.0098410000001</v>
      </c>
      <c r="B1952" s="1">
        <f>DATE(2014,5,1) + TIME(0,14,10)</f>
        <v>41760.009837962964</v>
      </c>
      <c r="C1952">
        <v>80</v>
      </c>
      <c r="D1952">
        <v>65.620071410999998</v>
      </c>
      <c r="E1952">
        <v>50</v>
      </c>
      <c r="F1952">
        <v>49.975532532000003</v>
      </c>
      <c r="G1952">
        <v>1336.1689452999999</v>
      </c>
      <c r="H1952">
        <v>1334.4254149999999</v>
      </c>
      <c r="I1952">
        <v>1328.4726562000001</v>
      </c>
      <c r="J1952">
        <v>1327.3466797000001</v>
      </c>
      <c r="K1952">
        <v>1650</v>
      </c>
      <c r="L1952">
        <v>0</v>
      </c>
      <c r="M1952">
        <v>0</v>
      </c>
      <c r="N1952">
        <v>1650</v>
      </c>
    </row>
    <row r="1953" spans="1:14" x14ac:dyDescent="0.25">
      <c r="A1953">
        <v>1461.029524</v>
      </c>
      <c r="B1953" s="1">
        <f>DATE(2014,5,1) + TIME(0,42,30)</f>
        <v>41760.029513888891</v>
      </c>
      <c r="C1953">
        <v>80</v>
      </c>
      <c r="D1953">
        <v>66.003646850999999</v>
      </c>
      <c r="E1953">
        <v>50</v>
      </c>
      <c r="F1953">
        <v>49.974159241000002</v>
      </c>
      <c r="G1953">
        <v>1336.2183838000001</v>
      </c>
      <c r="H1953">
        <v>1334.4844971</v>
      </c>
      <c r="I1953">
        <v>1328.4147949000001</v>
      </c>
      <c r="J1953">
        <v>1327.2878418</v>
      </c>
      <c r="K1953">
        <v>1650</v>
      </c>
      <c r="L1953">
        <v>0</v>
      </c>
      <c r="M1953">
        <v>0</v>
      </c>
      <c r="N1953">
        <v>1650</v>
      </c>
    </row>
    <row r="1954" spans="1:14" x14ac:dyDescent="0.25">
      <c r="A1954">
        <v>1461.0581050000001</v>
      </c>
      <c r="B1954" s="1">
        <f>DATE(2014,5,1) + TIME(1,23,40)</f>
        <v>41760.05810185185</v>
      </c>
      <c r="C1954">
        <v>80</v>
      </c>
      <c r="D1954">
        <v>66.541305542000003</v>
      </c>
      <c r="E1954">
        <v>50</v>
      </c>
      <c r="F1954">
        <v>49.972190857000001</v>
      </c>
      <c r="G1954">
        <v>1336.2265625</v>
      </c>
      <c r="H1954">
        <v>1334.4982910000001</v>
      </c>
      <c r="I1954">
        <v>1328.4108887</v>
      </c>
      <c r="J1954">
        <v>1327.2836914</v>
      </c>
      <c r="K1954">
        <v>1650</v>
      </c>
      <c r="L1954">
        <v>0</v>
      </c>
      <c r="M1954">
        <v>0</v>
      </c>
      <c r="N1954">
        <v>1650</v>
      </c>
    </row>
    <row r="1955" spans="1:14" x14ac:dyDescent="0.25">
      <c r="A1955">
        <v>1461.08727</v>
      </c>
      <c r="B1955" s="1">
        <f>DATE(2014,5,1) + TIME(2,5,40)</f>
        <v>41760.087268518517</v>
      </c>
      <c r="C1955">
        <v>80</v>
      </c>
      <c r="D1955">
        <v>67.072753906000003</v>
      </c>
      <c r="E1955">
        <v>50</v>
      </c>
      <c r="F1955">
        <v>49.970199585000003</v>
      </c>
      <c r="G1955">
        <v>1336.2454834</v>
      </c>
      <c r="H1955">
        <v>1334.5151367000001</v>
      </c>
      <c r="I1955">
        <v>1328.4108887</v>
      </c>
      <c r="J1955">
        <v>1327.2836914</v>
      </c>
      <c r="K1955">
        <v>1650</v>
      </c>
      <c r="L1955">
        <v>0</v>
      </c>
      <c r="M1955">
        <v>0</v>
      </c>
      <c r="N1955">
        <v>1650</v>
      </c>
    </row>
    <row r="1956" spans="1:14" x14ac:dyDescent="0.25">
      <c r="A1956">
        <v>1461.117074</v>
      </c>
      <c r="B1956" s="1">
        <f>DATE(2014,5,1) + TIME(2,48,35)</f>
        <v>41760.117071759261</v>
      </c>
      <c r="C1956">
        <v>80</v>
      </c>
      <c r="D1956">
        <v>67.598342896000005</v>
      </c>
      <c r="E1956">
        <v>50</v>
      </c>
      <c r="F1956">
        <v>49.968177795000003</v>
      </c>
      <c r="G1956">
        <v>1336.2653809000001</v>
      </c>
      <c r="H1956">
        <v>1334.5321045000001</v>
      </c>
      <c r="I1956">
        <v>1328.4110106999999</v>
      </c>
      <c r="J1956">
        <v>1327.2835693</v>
      </c>
      <c r="K1956">
        <v>1650</v>
      </c>
      <c r="L1956">
        <v>0</v>
      </c>
      <c r="M1956">
        <v>0</v>
      </c>
      <c r="N1956">
        <v>1650</v>
      </c>
    </row>
    <row r="1957" spans="1:14" x14ac:dyDescent="0.25">
      <c r="A1957">
        <v>1461.1475459999999</v>
      </c>
      <c r="B1957" s="1">
        <f>DATE(2014,5,1) + TIME(3,32,27)</f>
        <v>41760.147534722222</v>
      </c>
      <c r="C1957">
        <v>80</v>
      </c>
      <c r="D1957">
        <v>68.117904663000004</v>
      </c>
      <c r="E1957">
        <v>50</v>
      </c>
      <c r="F1957">
        <v>49.966121674</v>
      </c>
      <c r="G1957">
        <v>1336.2871094</v>
      </c>
      <c r="H1957">
        <v>1334.5501709</v>
      </c>
      <c r="I1957">
        <v>1328.4110106999999</v>
      </c>
      <c r="J1957">
        <v>1327.2835693</v>
      </c>
      <c r="K1957">
        <v>1650</v>
      </c>
      <c r="L1957">
        <v>0</v>
      </c>
      <c r="M1957">
        <v>0</v>
      </c>
      <c r="N1957">
        <v>1650</v>
      </c>
    </row>
    <row r="1958" spans="1:14" x14ac:dyDescent="0.25">
      <c r="A1958">
        <v>1461.1787200000001</v>
      </c>
      <c r="B1958" s="1">
        <f>DATE(2014,5,1) + TIME(4,17,21)</f>
        <v>41760.178715277776</v>
      </c>
      <c r="C1958">
        <v>80</v>
      </c>
      <c r="D1958">
        <v>68.631240844999994</v>
      </c>
      <c r="E1958">
        <v>50</v>
      </c>
      <c r="F1958">
        <v>49.964035033999998</v>
      </c>
      <c r="G1958">
        <v>1336.3106689000001</v>
      </c>
      <c r="H1958">
        <v>1334.5693358999999</v>
      </c>
      <c r="I1958">
        <v>1328.4111327999999</v>
      </c>
      <c r="J1958">
        <v>1327.2834473</v>
      </c>
      <c r="K1958">
        <v>1650</v>
      </c>
      <c r="L1958">
        <v>0</v>
      </c>
      <c r="M1958">
        <v>0</v>
      </c>
      <c r="N1958">
        <v>1650</v>
      </c>
    </row>
    <row r="1959" spans="1:14" x14ac:dyDescent="0.25">
      <c r="A1959">
        <v>1461.210628</v>
      </c>
      <c r="B1959" s="1">
        <f>DATE(2014,5,1) + TIME(5,3,18)</f>
        <v>41760.210625</v>
      </c>
      <c r="C1959">
        <v>80</v>
      </c>
      <c r="D1959">
        <v>69.138114928999997</v>
      </c>
      <c r="E1959">
        <v>50</v>
      </c>
      <c r="F1959">
        <v>49.961914061999998</v>
      </c>
      <c r="G1959">
        <v>1336.3359375</v>
      </c>
      <c r="H1959">
        <v>1334.5894774999999</v>
      </c>
      <c r="I1959">
        <v>1328.4111327999999</v>
      </c>
      <c r="J1959">
        <v>1327.2832031</v>
      </c>
      <c r="K1959">
        <v>1650</v>
      </c>
      <c r="L1959">
        <v>0</v>
      </c>
      <c r="M1959">
        <v>0</v>
      </c>
      <c r="N1959">
        <v>1650</v>
      </c>
    </row>
    <row r="1960" spans="1:14" x14ac:dyDescent="0.25">
      <c r="A1960">
        <v>1461.243309</v>
      </c>
      <c r="B1960" s="1">
        <f>DATE(2014,5,1) + TIME(5,50,21)</f>
        <v>41760.243298611109</v>
      </c>
      <c r="C1960">
        <v>80</v>
      </c>
      <c r="D1960">
        <v>69.638259887999993</v>
      </c>
      <c r="E1960">
        <v>50</v>
      </c>
      <c r="F1960">
        <v>49.959754943999997</v>
      </c>
      <c r="G1960">
        <v>1336.3630370999999</v>
      </c>
      <c r="H1960">
        <v>1334.6107178</v>
      </c>
      <c r="I1960">
        <v>1328.4111327999999</v>
      </c>
      <c r="J1960">
        <v>1327.2830810999999</v>
      </c>
      <c r="K1960">
        <v>1650</v>
      </c>
      <c r="L1960">
        <v>0</v>
      </c>
      <c r="M1960">
        <v>0</v>
      </c>
      <c r="N1960">
        <v>1650</v>
      </c>
    </row>
    <row r="1961" spans="1:14" x14ac:dyDescent="0.25">
      <c r="A1961">
        <v>1461.276799</v>
      </c>
      <c r="B1961" s="1">
        <f>DATE(2014,5,1) + TIME(6,38,35)</f>
        <v>41760.27679398148</v>
      </c>
      <c r="C1961">
        <v>80</v>
      </c>
      <c r="D1961">
        <v>70.131278992000006</v>
      </c>
      <c r="E1961">
        <v>50</v>
      </c>
      <c r="F1961">
        <v>49.957561493</v>
      </c>
      <c r="G1961">
        <v>1336.3917236</v>
      </c>
      <c r="H1961">
        <v>1334.6329346</v>
      </c>
      <c r="I1961">
        <v>1328.4110106999999</v>
      </c>
      <c r="J1961">
        <v>1327.2828368999999</v>
      </c>
      <c r="K1961">
        <v>1650</v>
      </c>
      <c r="L1961">
        <v>0</v>
      </c>
      <c r="M1961">
        <v>0</v>
      </c>
      <c r="N1961">
        <v>1650</v>
      </c>
    </row>
    <row r="1962" spans="1:14" x14ac:dyDescent="0.25">
      <c r="A1962">
        <v>1461.3111329999999</v>
      </c>
      <c r="B1962" s="1">
        <f>DATE(2014,5,1) + TIME(7,28,1)</f>
        <v>41760.311122685183</v>
      </c>
      <c r="C1962">
        <v>80</v>
      </c>
      <c r="D1962">
        <v>70.616546631000006</v>
      </c>
      <c r="E1962">
        <v>50</v>
      </c>
      <c r="F1962">
        <v>49.955326079999999</v>
      </c>
      <c r="G1962">
        <v>1336.4219971</v>
      </c>
      <c r="H1962">
        <v>1334.6560059000001</v>
      </c>
      <c r="I1962">
        <v>1328.4110106999999</v>
      </c>
      <c r="J1962">
        <v>1327.2827147999999</v>
      </c>
      <c r="K1962">
        <v>1650</v>
      </c>
      <c r="L1962">
        <v>0</v>
      </c>
      <c r="M1962">
        <v>0</v>
      </c>
      <c r="N1962">
        <v>1650</v>
      </c>
    </row>
    <row r="1963" spans="1:14" x14ac:dyDescent="0.25">
      <c r="A1963">
        <v>1461.3463609999999</v>
      </c>
      <c r="B1963" s="1">
        <f>DATE(2014,5,1) + TIME(8,18,45)</f>
        <v>41760.346354166664</v>
      </c>
      <c r="C1963">
        <v>80</v>
      </c>
      <c r="D1963">
        <v>71.094055175999998</v>
      </c>
      <c r="E1963">
        <v>50</v>
      </c>
      <c r="F1963">
        <v>49.953052520999996</v>
      </c>
      <c r="G1963">
        <v>1336.4538574000001</v>
      </c>
      <c r="H1963">
        <v>1334.6800536999999</v>
      </c>
      <c r="I1963">
        <v>1328.4110106999999</v>
      </c>
      <c r="J1963">
        <v>1327.2824707</v>
      </c>
      <c r="K1963">
        <v>1650</v>
      </c>
      <c r="L1963">
        <v>0</v>
      </c>
      <c r="M1963">
        <v>0</v>
      </c>
      <c r="N1963">
        <v>1650</v>
      </c>
    </row>
    <row r="1964" spans="1:14" x14ac:dyDescent="0.25">
      <c r="A1964">
        <v>1461.3825300000001</v>
      </c>
      <c r="B1964" s="1">
        <f>DATE(2014,5,1) + TIME(9,10,50)</f>
        <v>41760.382523148146</v>
      </c>
      <c r="C1964">
        <v>80</v>
      </c>
      <c r="D1964">
        <v>71.563400268999999</v>
      </c>
      <c r="E1964">
        <v>50</v>
      </c>
      <c r="F1964">
        <v>49.950733184999997</v>
      </c>
      <c r="G1964">
        <v>1336.4870605000001</v>
      </c>
      <c r="H1964">
        <v>1334.7049560999999</v>
      </c>
      <c r="I1964">
        <v>1328.4108887</v>
      </c>
      <c r="J1964">
        <v>1327.2822266000001</v>
      </c>
      <c r="K1964">
        <v>1650</v>
      </c>
      <c r="L1964">
        <v>0</v>
      </c>
      <c r="M1964">
        <v>0</v>
      </c>
      <c r="N1964">
        <v>1650</v>
      </c>
    </row>
    <row r="1965" spans="1:14" x14ac:dyDescent="0.25">
      <c r="A1965">
        <v>1461.4196919999999</v>
      </c>
      <c r="B1965" s="1">
        <f>DATE(2014,5,1) + TIME(10,4,21)</f>
        <v>41760.419687499998</v>
      </c>
      <c r="C1965">
        <v>80</v>
      </c>
      <c r="D1965">
        <v>72.024154663000004</v>
      </c>
      <c r="E1965">
        <v>50</v>
      </c>
      <c r="F1965">
        <v>49.948368072999997</v>
      </c>
      <c r="G1965">
        <v>1336.5216064000001</v>
      </c>
      <c r="H1965">
        <v>1334.7305908000001</v>
      </c>
      <c r="I1965">
        <v>1328.4108887</v>
      </c>
      <c r="J1965">
        <v>1327.2819824000001</v>
      </c>
      <c r="K1965">
        <v>1650</v>
      </c>
      <c r="L1965">
        <v>0</v>
      </c>
      <c r="M1965">
        <v>0</v>
      </c>
      <c r="N1965">
        <v>1650</v>
      </c>
    </row>
    <row r="1966" spans="1:14" x14ac:dyDescent="0.25">
      <c r="A1966">
        <v>1461.4579000000001</v>
      </c>
      <c r="B1966" s="1">
        <f>DATE(2014,5,1) + TIME(10,59,22)</f>
        <v>41760.45789351852</v>
      </c>
      <c r="C1966">
        <v>80</v>
      </c>
      <c r="D1966">
        <v>72.475875853999995</v>
      </c>
      <c r="E1966">
        <v>50</v>
      </c>
      <c r="F1966">
        <v>49.945953369000001</v>
      </c>
      <c r="G1966">
        <v>1336.5574951000001</v>
      </c>
      <c r="H1966">
        <v>1334.7570800999999</v>
      </c>
      <c r="I1966">
        <v>1328.4107666</v>
      </c>
      <c r="J1966">
        <v>1327.2816161999999</v>
      </c>
      <c r="K1966">
        <v>1650</v>
      </c>
      <c r="L1966">
        <v>0</v>
      </c>
      <c r="M1966">
        <v>0</v>
      </c>
      <c r="N1966">
        <v>1650</v>
      </c>
    </row>
    <row r="1967" spans="1:14" x14ac:dyDescent="0.25">
      <c r="A1967">
        <v>1461.4972130000001</v>
      </c>
      <c r="B1967" s="1">
        <f>DATE(2014,5,1) + TIME(11,55,59)</f>
        <v>41760.497210648151</v>
      </c>
      <c r="C1967">
        <v>80</v>
      </c>
      <c r="D1967">
        <v>72.918075561999999</v>
      </c>
      <c r="E1967">
        <v>50</v>
      </c>
      <c r="F1967">
        <v>49.943489075000002</v>
      </c>
      <c r="G1967">
        <v>1336.5944824000001</v>
      </c>
      <c r="H1967">
        <v>1334.7843018000001</v>
      </c>
      <c r="I1967">
        <v>1328.4106445</v>
      </c>
      <c r="J1967">
        <v>1327.2813721</v>
      </c>
      <c r="K1967">
        <v>1650</v>
      </c>
      <c r="L1967">
        <v>0</v>
      </c>
      <c r="M1967">
        <v>0</v>
      </c>
      <c r="N1967">
        <v>1650</v>
      </c>
    </row>
    <row r="1968" spans="1:14" x14ac:dyDescent="0.25">
      <c r="A1968">
        <v>1461.5376940000001</v>
      </c>
      <c r="B1968" s="1">
        <f>DATE(2014,5,1) + TIME(12,54,16)</f>
        <v>41760.537685185183</v>
      </c>
      <c r="C1968">
        <v>80</v>
      </c>
      <c r="D1968">
        <v>73.350280761999997</v>
      </c>
      <c r="E1968">
        <v>50</v>
      </c>
      <c r="F1968">
        <v>49.940971374999997</v>
      </c>
      <c r="G1968">
        <v>1336.6326904</v>
      </c>
      <c r="H1968">
        <v>1334.8121338000001</v>
      </c>
      <c r="I1968">
        <v>1328.4105225000001</v>
      </c>
      <c r="J1968">
        <v>1327.2810059000001</v>
      </c>
      <c r="K1968">
        <v>1650</v>
      </c>
      <c r="L1968">
        <v>0</v>
      </c>
      <c r="M1968">
        <v>0</v>
      </c>
      <c r="N1968">
        <v>1650</v>
      </c>
    </row>
    <row r="1969" spans="1:14" x14ac:dyDescent="0.25">
      <c r="A1969">
        <v>1461.579412</v>
      </c>
      <c r="B1969" s="1">
        <f>DATE(2014,5,1) + TIME(13,54,21)</f>
        <v>41760.579409722224</v>
      </c>
      <c r="C1969">
        <v>80</v>
      </c>
      <c r="D1969">
        <v>73.771972656000003</v>
      </c>
      <c r="E1969">
        <v>50</v>
      </c>
      <c r="F1969">
        <v>49.938400268999999</v>
      </c>
      <c r="G1969">
        <v>1336.671875</v>
      </c>
      <c r="H1969">
        <v>1334.8405762</v>
      </c>
      <c r="I1969">
        <v>1328.4104004000001</v>
      </c>
      <c r="J1969">
        <v>1327.2807617000001</v>
      </c>
      <c r="K1969">
        <v>1650</v>
      </c>
      <c r="L1969">
        <v>0</v>
      </c>
      <c r="M1969">
        <v>0</v>
      </c>
      <c r="N1969">
        <v>1650</v>
      </c>
    </row>
    <row r="1970" spans="1:14" x14ac:dyDescent="0.25">
      <c r="A1970">
        <v>1461.6224400000001</v>
      </c>
      <c r="B1970" s="1">
        <f>DATE(2014,5,1) + TIME(14,56,18)</f>
        <v>41760.622430555559</v>
      </c>
      <c r="C1970">
        <v>80</v>
      </c>
      <c r="D1970">
        <v>74.182640075999998</v>
      </c>
      <c r="E1970">
        <v>50</v>
      </c>
      <c r="F1970">
        <v>49.935764313</v>
      </c>
      <c r="G1970">
        <v>1336.7120361</v>
      </c>
      <c r="H1970">
        <v>1334.8695068</v>
      </c>
      <c r="I1970">
        <v>1328.4102783000001</v>
      </c>
      <c r="J1970">
        <v>1327.2803954999999</v>
      </c>
      <c r="K1970">
        <v>1650</v>
      </c>
      <c r="L1970">
        <v>0</v>
      </c>
      <c r="M1970">
        <v>0</v>
      </c>
      <c r="N1970">
        <v>1650</v>
      </c>
    </row>
    <row r="1971" spans="1:14" x14ac:dyDescent="0.25">
      <c r="A1971">
        <v>1461.6668609999999</v>
      </c>
      <c r="B1971" s="1">
        <f>DATE(2014,5,1) + TIME(16,0,16)</f>
        <v>41760.666851851849</v>
      </c>
      <c r="C1971">
        <v>80</v>
      </c>
      <c r="D1971">
        <v>74.581756592000005</v>
      </c>
      <c r="E1971">
        <v>50</v>
      </c>
      <c r="F1971">
        <v>49.933067321999999</v>
      </c>
      <c r="G1971">
        <v>1336.7530518000001</v>
      </c>
      <c r="H1971">
        <v>1334.8990478999999</v>
      </c>
      <c r="I1971">
        <v>1328.4101562000001</v>
      </c>
      <c r="J1971">
        <v>1327.2799072</v>
      </c>
      <c r="K1971">
        <v>1650</v>
      </c>
      <c r="L1971">
        <v>0</v>
      </c>
      <c r="M1971">
        <v>0</v>
      </c>
      <c r="N1971">
        <v>1650</v>
      </c>
    </row>
    <row r="1972" spans="1:14" x14ac:dyDescent="0.25">
      <c r="A1972">
        <v>1461.7127760000001</v>
      </c>
      <c r="B1972" s="1">
        <f>DATE(2014,5,1) + TIME(17,6,23)</f>
        <v>41760.712766203702</v>
      </c>
      <c r="C1972">
        <v>80</v>
      </c>
      <c r="D1972">
        <v>74.968925475999995</v>
      </c>
      <c r="E1972">
        <v>50</v>
      </c>
      <c r="F1972">
        <v>49.930305480999998</v>
      </c>
      <c r="G1972">
        <v>1336.7949219</v>
      </c>
      <c r="H1972">
        <v>1334.9289550999999</v>
      </c>
      <c r="I1972">
        <v>1328.4099120999999</v>
      </c>
      <c r="J1972">
        <v>1327.2795410000001</v>
      </c>
      <c r="K1972">
        <v>1650</v>
      </c>
      <c r="L1972">
        <v>0</v>
      </c>
      <c r="M1972">
        <v>0</v>
      </c>
      <c r="N1972">
        <v>1650</v>
      </c>
    </row>
    <row r="1973" spans="1:14" x14ac:dyDescent="0.25">
      <c r="A1973">
        <v>1461.7602770000001</v>
      </c>
      <c r="B1973" s="1">
        <f>DATE(2014,5,1) + TIME(18,14,47)</f>
        <v>41760.760266203702</v>
      </c>
      <c r="C1973">
        <v>80</v>
      </c>
      <c r="D1973">
        <v>75.343299865999995</v>
      </c>
      <c r="E1973">
        <v>50</v>
      </c>
      <c r="F1973">
        <v>49.927471161</v>
      </c>
      <c r="G1973">
        <v>1336.8374022999999</v>
      </c>
      <c r="H1973">
        <v>1334.9592285000001</v>
      </c>
      <c r="I1973">
        <v>1328.4097899999999</v>
      </c>
      <c r="J1973">
        <v>1327.2791748</v>
      </c>
      <c r="K1973">
        <v>1650</v>
      </c>
      <c r="L1973">
        <v>0</v>
      </c>
      <c r="M1973">
        <v>0</v>
      </c>
      <c r="N1973">
        <v>1650</v>
      </c>
    </row>
    <row r="1974" spans="1:14" x14ac:dyDescent="0.25">
      <c r="A1974">
        <v>1461.8094630000001</v>
      </c>
      <c r="B1974" s="1">
        <f>DATE(2014,5,1) + TIME(19,25,37)</f>
        <v>41760.80945601852</v>
      </c>
      <c r="C1974">
        <v>80</v>
      </c>
      <c r="D1974">
        <v>75.704536438000005</v>
      </c>
      <c r="E1974">
        <v>50</v>
      </c>
      <c r="F1974">
        <v>49.924560546999999</v>
      </c>
      <c r="G1974">
        <v>1336.8804932</v>
      </c>
      <c r="H1974">
        <v>1334.9898682</v>
      </c>
      <c r="I1974">
        <v>1328.409668</v>
      </c>
      <c r="J1974">
        <v>1327.2786865</v>
      </c>
      <c r="K1974">
        <v>1650</v>
      </c>
      <c r="L1974">
        <v>0</v>
      </c>
      <c r="M1974">
        <v>0</v>
      </c>
      <c r="N1974">
        <v>1650</v>
      </c>
    </row>
    <row r="1975" spans="1:14" x14ac:dyDescent="0.25">
      <c r="A1975">
        <v>1461.860451</v>
      </c>
      <c r="B1975" s="1">
        <f>DATE(2014,5,1) + TIME(20,39,2)</f>
        <v>41760.860439814816</v>
      </c>
      <c r="C1975">
        <v>80</v>
      </c>
      <c r="D1975">
        <v>76.052177428999997</v>
      </c>
      <c r="E1975">
        <v>50</v>
      </c>
      <c r="F1975">
        <v>49.921569824000002</v>
      </c>
      <c r="G1975">
        <v>1336.9241943</v>
      </c>
      <c r="H1975">
        <v>1335.020874</v>
      </c>
      <c r="I1975">
        <v>1328.4094238</v>
      </c>
      <c r="J1975">
        <v>1327.2781981999999</v>
      </c>
      <c r="K1975">
        <v>1650</v>
      </c>
      <c r="L1975">
        <v>0</v>
      </c>
      <c r="M1975">
        <v>0</v>
      </c>
      <c r="N1975">
        <v>1650</v>
      </c>
    </row>
    <row r="1976" spans="1:14" x14ac:dyDescent="0.25">
      <c r="A1976">
        <v>1461.91337</v>
      </c>
      <c r="B1976" s="1">
        <f>DATE(2014,5,1) + TIME(21,55,15)</f>
        <v>41760.913368055553</v>
      </c>
      <c r="C1976">
        <v>80</v>
      </c>
      <c r="D1976">
        <v>76.385749817000004</v>
      </c>
      <c r="E1976">
        <v>50</v>
      </c>
      <c r="F1976">
        <v>49.918491363999998</v>
      </c>
      <c r="G1976">
        <v>1336.9681396000001</v>
      </c>
      <c r="H1976">
        <v>1335.0520019999999</v>
      </c>
      <c r="I1976">
        <v>1328.4091797000001</v>
      </c>
      <c r="J1976">
        <v>1327.277832</v>
      </c>
      <c r="K1976">
        <v>1650</v>
      </c>
      <c r="L1976">
        <v>0</v>
      </c>
      <c r="M1976">
        <v>0</v>
      </c>
      <c r="N1976">
        <v>1650</v>
      </c>
    </row>
    <row r="1977" spans="1:14" x14ac:dyDescent="0.25">
      <c r="A1977">
        <v>1461.9683640000001</v>
      </c>
      <c r="B1977" s="1">
        <f>DATE(2014,5,1) + TIME(23,14,26)</f>
        <v>41760.968356481484</v>
      </c>
      <c r="C1977">
        <v>80</v>
      </c>
      <c r="D1977">
        <v>76.704811096</v>
      </c>
      <c r="E1977">
        <v>50</v>
      </c>
      <c r="F1977">
        <v>49.915325164999999</v>
      </c>
      <c r="G1977">
        <v>1337.0125731999999</v>
      </c>
      <c r="H1977">
        <v>1335.0832519999999</v>
      </c>
      <c r="I1977">
        <v>1328.4089355000001</v>
      </c>
      <c r="J1977">
        <v>1327.2772216999999</v>
      </c>
      <c r="K1977">
        <v>1650</v>
      </c>
      <c r="L1977">
        <v>0</v>
      </c>
      <c r="M1977">
        <v>0</v>
      </c>
      <c r="N1977">
        <v>1650</v>
      </c>
    </row>
    <row r="1978" spans="1:14" x14ac:dyDescent="0.25">
      <c r="A1978">
        <v>1462.025592</v>
      </c>
      <c r="B1978" s="1">
        <f>DATE(2014,5,2) + TIME(0,36,51)</f>
        <v>41761.025590277779</v>
      </c>
      <c r="C1978">
        <v>80</v>
      </c>
      <c r="D1978">
        <v>77.008979796999995</v>
      </c>
      <c r="E1978">
        <v>50</v>
      </c>
      <c r="F1978">
        <v>49.912059784</v>
      </c>
      <c r="G1978">
        <v>1337.057251</v>
      </c>
      <c r="H1978">
        <v>1335.114624</v>
      </c>
      <c r="I1978">
        <v>1328.4086914</v>
      </c>
      <c r="J1978">
        <v>1327.2767334</v>
      </c>
      <c r="K1978">
        <v>1650</v>
      </c>
      <c r="L1978">
        <v>0</v>
      </c>
      <c r="M1978">
        <v>0</v>
      </c>
      <c r="N1978">
        <v>1650</v>
      </c>
    </row>
    <row r="1979" spans="1:14" x14ac:dyDescent="0.25">
      <c r="A1979">
        <v>1462.0852339999999</v>
      </c>
      <c r="B1979" s="1">
        <f>DATE(2014,5,2) + TIME(2,2,44)</f>
        <v>41761.085231481484</v>
      </c>
      <c r="C1979">
        <v>80</v>
      </c>
      <c r="D1979">
        <v>77.297889709000003</v>
      </c>
      <c r="E1979">
        <v>50</v>
      </c>
      <c r="F1979">
        <v>49.908687592</v>
      </c>
      <c r="G1979">
        <v>1337.1019286999999</v>
      </c>
      <c r="H1979">
        <v>1335.1459961</v>
      </c>
      <c r="I1979">
        <v>1328.4084473</v>
      </c>
      <c r="J1979">
        <v>1327.2762451000001</v>
      </c>
      <c r="K1979">
        <v>1650</v>
      </c>
      <c r="L1979">
        <v>0</v>
      </c>
      <c r="M1979">
        <v>0</v>
      </c>
      <c r="N1979">
        <v>1650</v>
      </c>
    </row>
    <row r="1980" spans="1:14" x14ac:dyDescent="0.25">
      <c r="A1980">
        <v>1462.1474880000001</v>
      </c>
      <c r="B1980" s="1">
        <f>DATE(2014,5,2) + TIME(3,32,22)</f>
        <v>41761.147476851853</v>
      </c>
      <c r="C1980">
        <v>80</v>
      </c>
      <c r="D1980">
        <v>77.571235657000003</v>
      </c>
      <c r="E1980">
        <v>50</v>
      </c>
      <c r="F1980">
        <v>49.905200958000002</v>
      </c>
      <c r="G1980">
        <v>1337.1467285000001</v>
      </c>
      <c r="H1980">
        <v>1335.1773682</v>
      </c>
      <c r="I1980">
        <v>1328.4082031</v>
      </c>
      <c r="J1980">
        <v>1327.2756348</v>
      </c>
      <c r="K1980">
        <v>1650</v>
      </c>
      <c r="L1980">
        <v>0</v>
      </c>
      <c r="M1980">
        <v>0</v>
      </c>
      <c r="N1980">
        <v>1650</v>
      </c>
    </row>
    <row r="1981" spans="1:14" x14ac:dyDescent="0.25">
      <c r="A1981">
        <v>1462.2125840000001</v>
      </c>
      <c r="B1981" s="1">
        <f>DATE(2014,5,2) + TIME(5,6,7)</f>
        <v>41761.212581018517</v>
      </c>
      <c r="C1981">
        <v>80</v>
      </c>
      <c r="D1981">
        <v>77.828781128000003</v>
      </c>
      <c r="E1981">
        <v>50</v>
      </c>
      <c r="F1981">
        <v>49.901592254999997</v>
      </c>
      <c r="G1981">
        <v>1337.1914062000001</v>
      </c>
      <c r="H1981">
        <v>1335.2086182</v>
      </c>
      <c r="I1981">
        <v>1328.4078368999999</v>
      </c>
      <c r="J1981">
        <v>1327.2750243999999</v>
      </c>
      <c r="K1981">
        <v>1650</v>
      </c>
      <c r="L1981">
        <v>0</v>
      </c>
      <c r="M1981">
        <v>0</v>
      </c>
      <c r="N1981">
        <v>1650</v>
      </c>
    </row>
    <row r="1982" spans="1:14" x14ac:dyDescent="0.25">
      <c r="A1982">
        <v>1462.2807929999999</v>
      </c>
      <c r="B1982" s="1">
        <f>DATE(2014,5,2) + TIME(6,44,20)</f>
        <v>41761.280787037038</v>
      </c>
      <c r="C1982">
        <v>80</v>
      </c>
      <c r="D1982">
        <v>78.070396423000005</v>
      </c>
      <c r="E1982">
        <v>50</v>
      </c>
      <c r="F1982">
        <v>49.897850036999998</v>
      </c>
      <c r="G1982">
        <v>1337.2359618999999</v>
      </c>
      <c r="H1982">
        <v>1335.2397461</v>
      </c>
      <c r="I1982">
        <v>1328.4075928</v>
      </c>
      <c r="J1982">
        <v>1327.2744141000001</v>
      </c>
      <c r="K1982">
        <v>1650</v>
      </c>
      <c r="L1982">
        <v>0</v>
      </c>
      <c r="M1982">
        <v>0</v>
      </c>
      <c r="N1982">
        <v>1650</v>
      </c>
    </row>
    <row r="1983" spans="1:14" x14ac:dyDescent="0.25">
      <c r="A1983">
        <v>1462.352435</v>
      </c>
      <c r="B1983" s="1">
        <f>DATE(2014,5,2) + TIME(8,27,30)</f>
        <v>41761.352430555555</v>
      </c>
      <c r="C1983">
        <v>80</v>
      </c>
      <c r="D1983">
        <v>78.296005249000004</v>
      </c>
      <c r="E1983">
        <v>50</v>
      </c>
      <c r="F1983">
        <v>49.893962860000002</v>
      </c>
      <c r="G1983">
        <v>1337.2802733999999</v>
      </c>
      <c r="H1983">
        <v>1335.2705077999999</v>
      </c>
      <c r="I1983">
        <v>1328.4072266000001</v>
      </c>
      <c r="J1983">
        <v>1327.2736815999999</v>
      </c>
      <c r="K1983">
        <v>1650</v>
      </c>
      <c r="L1983">
        <v>0</v>
      </c>
      <c r="M1983">
        <v>0</v>
      </c>
      <c r="N1983">
        <v>1650</v>
      </c>
    </row>
    <row r="1984" spans="1:14" x14ac:dyDescent="0.25">
      <c r="A1984">
        <v>1462.427809</v>
      </c>
      <c r="B1984" s="1">
        <f>DATE(2014,5,2) + TIME(10,16,2)</f>
        <v>41761.427800925929</v>
      </c>
      <c r="C1984">
        <v>80</v>
      </c>
      <c r="D1984">
        <v>78.505447387999993</v>
      </c>
      <c r="E1984">
        <v>50</v>
      </c>
      <c r="F1984">
        <v>49.889911652000002</v>
      </c>
      <c r="G1984">
        <v>1337.3243408000001</v>
      </c>
      <c r="H1984">
        <v>1335.3011475000001</v>
      </c>
      <c r="I1984">
        <v>1328.4068603999999</v>
      </c>
      <c r="J1984">
        <v>1327.2730713000001</v>
      </c>
      <c r="K1984">
        <v>1650</v>
      </c>
      <c r="L1984">
        <v>0</v>
      </c>
      <c r="M1984">
        <v>0</v>
      </c>
      <c r="N1984">
        <v>1650</v>
      </c>
    </row>
    <row r="1985" spans="1:14" x14ac:dyDescent="0.25">
      <c r="A1985">
        <v>1462.5069020000001</v>
      </c>
      <c r="B1985" s="1">
        <f>DATE(2014,5,2) + TIME(12,9,56)</f>
        <v>41761.506898148145</v>
      </c>
      <c r="C1985">
        <v>80</v>
      </c>
      <c r="D1985">
        <v>78.697914123999993</v>
      </c>
      <c r="E1985">
        <v>50</v>
      </c>
      <c r="F1985">
        <v>49.885711669999999</v>
      </c>
      <c r="G1985">
        <v>1337.3679199000001</v>
      </c>
      <c r="H1985">
        <v>1335.3314209</v>
      </c>
      <c r="I1985">
        <v>1328.4064940999999</v>
      </c>
      <c r="J1985">
        <v>1327.2723389</v>
      </c>
      <c r="K1985">
        <v>1650</v>
      </c>
      <c r="L1985">
        <v>0</v>
      </c>
      <c r="M1985">
        <v>0</v>
      </c>
      <c r="N1985">
        <v>1650</v>
      </c>
    </row>
    <row r="1986" spans="1:14" x14ac:dyDescent="0.25">
      <c r="A1986">
        <v>1462.590027</v>
      </c>
      <c r="B1986" s="1">
        <f>DATE(2014,5,2) + TIME(14,9,38)</f>
        <v>41761.59002314815</v>
      </c>
      <c r="C1986">
        <v>80</v>
      </c>
      <c r="D1986">
        <v>78.873626709000007</v>
      </c>
      <c r="E1986">
        <v>50</v>
      </c>
      <c r="F1986">
        <v>49.881343842</v>
      </c>
      <c r="G1986">
        <v>1337.4106445</v>
      </c>
      <c r="H1986">
        <v>1335.3610839999999</v>
      </c>
      <c r="I1986">
        <v>1328.4060059000001</v>
      </c>
      <c r="J1986">
        <v>1327.2716064000001</v>
      </c>
      <c r="K1986">
        <v>1650</v>
      </c>
      <c r="L1986">
        <v>0</v>
      </c>
      <c r="M1986">
        <v>0</v>
      </c>
      <c r="N1986">
        <v>1650</v>
      </c>
    </row>
    <row r="1987" spans="1:14" x14ac:dyDescent="0.25">
      <c r="A1987">
        <v>1462.677533</v>
      </c>
      <c r="B1987" s="1">
        <f>DATE(2014,5,2) + TIME(16,15,38)</f>
        <v>41761.677523148152</v>
      </c>
      <c r="C1987">
        <v>80</v>
      </c>
      <c r="D1987">
        <v>79.032905579000001</v>
      </c>
      <c r="E1987">
        <v>50</v>
      </c>
      <c r="F1987">
        <v>49.876796722000002</v>
      </c>
      <c r="G1987">
        <v>1337.4526367000001</v>
      </c>
      <c r="H1987">
        <v>1335.3901367000001</v>
      </c>
      <c r="I1987">
        <v>1328.4056396000001</v>
      </c>
      <c r="J1987">
        <v>1327.2707519999999</v>
      </c>
      <c r="K1987">
        <v>1650</v>
      </c>
      <c r="L1987">
        <v>0</v>
      </c>
      <c r="M1987">
        <v>0</v>
      </c>
      <c r="N1987">
        <v>1650</v>
      </c>
    </row>
    <row r="1988" spans="1:14" x14ac:dyDescent="0.25">
      <c r="A1988">
        <v>1462.7698089999999</v>
      </c>
      <c r="B1988" s="1">
        <f>DATE(2014,5,2) + TIME(18,28,31)</f>
        <v>41761.769803240742</v>
      </c>
      <c r="C1988">
        <v>80</v>
      </c>
      <c r="D1988">
        <v>79.176193237000007</v>
      </c>
      <c r="E1988">
        <v>50</v>
      </c>
      <c r="F1988">
        <v>49.872058868000003</v>
      </c>
      <c r="G1988">
        <v>1337.4935303</v>
      </c>
      <c r="H1988">
        <v>1335.4185791</v>
      </c>
      <c r="I1988">
        <v>1328.4051514</v>
      </c>
      <c r="J1988">
        <v>1327.2698975000001</v>
      </c>
      <c r="K1988">
        <v>1650</v>
      </c>
      <c r="L1988">
        <v>0</v>
      </c>
      <c r="M1988">
        <v>0</v>
      </c>
      <c r="N1988">
        <v>1650</v>
      </c>
    </row>
    <row r="1989" spans="1:14" x14ac:dyDescent="0.25">
      <c r="A1989">
        <v>1462.8672979999999</v>
      </c>
      <c r="B1989" s="1">
        <f>DATE(2014,5,2) + TIME(20,48,54)</f>
        <v>41761.867291666669</v>
      </c>
      <c r="C1989">
        <v>80</v>
      </c>
      <c r="D1989">
        <v>79.304046631000006</v>
      </c>
      <c r="E1989">
        <v>50</v>
      </c>
      <c r="F1989">
        <v>49.867107390999998</v>
      </c>
      <c r="G1989">
        <v>1337.5330810999999</v>
      </c>
      <c r="H1989">
        <v>1335.4460449000001</v>
      </c>
      <c r="I1989">
        <v>1328.4046631000001</v>
      </c>
      <c r="J1989">
        <v>1327.269043</v>
      </c>
      <c r="K1989">
        <v>1650</v>
      </c>
      <c r="L1989">
        <v>0</v>
      </c>
      <c r="M1989">
        <v>0</v>
      </c>
      <c r="N1989">
        <v>1650</v>
      </c>
    </row>
    <row r="1990" spans="1:14" x14ac:dyDescent="0.25">
      <c r="A1990">
        <v>1462.97055</v>
      </c>
      <c r="B1990" s="1">
        <f>DATE(2014,5,2) + TIME(23,17,35)</f>
        <v>41761.970543981479</v>
      </c>
      <c r="C1990">
        <v>80</v>
      </c>
      <c r="D1990">
        <v>79.417175293</v>
      </c>
      <c r="E1990">
        <v>50</v>
      </c>
      <c r="F1990">
        <v>49.861930846999996</v>
      </c>
      <c r="G1990">
        <v>1337.5715332</v>
      </c>
      <c r="H1990">
        <v>1335.4727783000001</v>
      </c>
      <c r="I1990">
        <v>1328.4040527</v>
      </c>
      <c r="J1990">
        <v>1327.2680664</v>
      </c>
      <c r="K1990">
        <v>1650</v>
      </c>
      <c r="L1990">
        <v>0</v>
      </c>
      <c r="M1990">
        <v>0</v>
      </c>
      <c r="N1990">
        <v>1650</v>
      </c>
    </row>
    <row r="1991" spans="1:14" x14ac:dyDescent="0.25">
      <c r="A1991">
        <v>1463.0801389999999</v>
      </c>
      <c r="B1991" s="1">
        <f>DATE(2014,5,3) + TIME(1,55,24)</f>
        <v>41762.080138888887</v>
      </c>
      <c r="C1991">
        <v>80</v>
      </c>
      <c r="D1991">
        <v>79.516311646000005</v>
      </c>
      <c r="E1991">
        <v>50</v>
      </c>
      <c r="F1991">
        <v>49.856502532999997</v>
      </c>
      <c r="G1991">
        <v>1337.6085204999999</v>
      </c>
      <c r="H1991">
        <v>1335.4985352000001</v>
      </c>
      <c r="I1991">
        <v>1328.4034423999999</v>
      </c>
      <c r="J1991">
        <v>1327.2670897999999</v>
      </c>
      <c r="K1991">
        <v>1650</v>
      </c>
      <c r="L1991">
        <v>0</v>
      </c>
      <c r="M1991">
        <v>0</v>
      </c>
      <c r="N1991">
        <v>1650</v>
      </c>
    </row>
    <row r="1992" spans="1:14" x14ac:dyDescent="0.25">
      <c r="A1992">
        <v>1463.1918889999999</v>
      </c>
      <c r="B1992" s="1">
        <f>DATE(2014,5,3) + TIME(4,36,19)</f>
        <v>41762.191886574074</v>
      </c>
      <c r="C1992">
        <v>80</v>
      </c>
      <c r="D1992">
        <v>79.599388122999997</v>
      </c>
      <c r="E1992">
        <v>50</v>
      </c>
      <c r="F1992">
        <v>49.851020812999998</v>
      </c>
      <c r="G1992">
        <v>1337.6441649999999</v>
      </c>
      <c r="H1992">
        <v>1335.5234375</v>
      </c>
      <c r="I1992">
        <v>1328.402832</v>
      </c>
      <c r="J1992">
        <v>1327.2659911999999</v>
      </c>
      <c r="K1992">
        <v>1650</v>
      </c>
      <c r="L1992">
        <v>0</v>
      </c>
      <c r="M1992">
        <v>0</v>
      </c>
      <c r="N1992">
        <v>1650</v>
      </c>
    </row>
    <row r="1993" spans="1:14" x14ac:dyDescent="0.25">
      <c r="A1993">
        <v>1463.304627</v>
      </c>
      <c r="B1993" s="1">
        <f>DATE(2014,5,3) + TIME(7,18,39)</f>
        <v>41762.304618055554</v>
      </c>
      <c r="C1993">
        <v>80</v>
      </c>
      <c r="D1993">
        <v>79.668045043999996</v>
      </c>
      <c r="E1993">
        <v>50</v>
      </c>
      <c r="F1993">
        <v>49.845535278</v>
      </c>
      <c r="G1993">
        <v>1337.6766356999999</v>
      </c>
      <c r="H1993">
        <v>1335.5461425999999</v>
      </c>
      <c r="I1993">
        <v>1328.4020995999999</v>
      </c>
      <c r="J1993">
        <v>1327.2648925999999</v>
      </c>
      <c r="K1993">
        <v>1650</v>
      </c>
      <c r="L1993">
        <v>0</v>
      </c>
      <c r="M1993">
        <v>0</v>
      </c>
      <c r="N1993">
        <v>1650</v>
      </c>
    </row>
    <row r="1994" spans="1:14" x14ac:dyDescent="0.25">
      <c r="A1994">
        <v>1463.4188280000001</v>
      </c>
      <c r="B1994" s="1">
        <f>DATE(2014,5,3) + TIME(10,3,6)</f>
        <v>41762.418819444443</v>
      </c>
      <c r="C1994">
        <v>80</v>
      </c>
      <c r="D1994">
        <v>79.724800110000004</v>
      </c>
      <c r="E1994">
        <v>50</v>
      </c>
      <c r="F1994">
        <v>49.840026854999998</v>
      </c>
      <c r="G1994">
        <v>1337.7030029</v>
      </c>
      <c r="H1994">
        <v>1335.5648193</v>
      </c>
      <c r="I1994">
        <v>1328.4014893000001</v>
      </c>
      <c r="J1994">
        <v>1327.2637939000001</v>
      </c>
      <c r="K1994">
        <v>1650</v>
      </c>
      <c r="L1994">
        <v>0</v>
      </c>
      <c r="M1994">
        <v>0</v>
      </c>
      <c r="N1994">
        <v>1650</v>
      </c>
    </row>
    <row r="1995" spans="1:14" x14ac:dyDescent="0.25">
      <c r="A1995">
        <v>1463.5349799999999</v>
      </c>
      <c r="B1995" s="1">
        <f>DATE(2014,5,3) + TIME(12,50,22)</f>
        <v>41762.53497685185</v>
      </c>
      <c r="C1995">
        <v>80</v>
      </c>
      <c r="D1995">
        <v>79.771713257000002</v>
      </c>
      <c r="E1995">
        <v>50</v>
      </c>
      <c r="F1995">
        <v>49.834476471000002</v>
      </c>
      <c r="G1995">
        <v>1337.7268065999999</v>
      </c>
      <c r="H1995">
        <v>1335.5819091999999</v>
      </c>
      <c r="I1995">
        <v>1328.4007568</v>
      </c>
      <c r="J1995">
        <v>1327.2626952999999</v>
      </c>
      <c r="K1995">
        <v>1650</v>
      </c>
      <c r="L1995">
        <v>0</v>
      </c>
      <c r="M1995">
        <v>0</v>
      </c>
      <c r="N1995">
        <v>1650</v>
      </c>
    </row>
    <row r="1996" spans="1:14" x14ac:dyDescent="0.25">
      <c r="A1996">
        <v>1463.6534879999999</v>
      </c>
      <c r="B1996" s="1">
        <f>DATE(2014,5,3) + TIME(15,41,1)</f>
        <v>41762.653483796297</v>
      </c>
      <c r="C1996">
        <v>80</v>
      </c>
      <c r="D1996">
        <v>79.810432434000006</v>
      </c>
      <c r="E1996">
        <v>50</v>
      </c>
      <c r="F1996">
        <v>49.828857421999999</v>
      </c>
      <c r="G1996">
        <v>1337.7484131000001</v>
      </c>
      <c r="H1996">
        <v>1335.5974120999999</v>
      </c>
      <c r="I1996">
        <v>1328.4000243999999</v>
      </c>
      <c r="J1996">
        <v>1327.2614745999999</v>
      </c>
      <c r="K1996">
        <v>1650</v>
      </c>
      <c r="L1996">
        <v>0</v>
      </c>
      <c r="M1996">
        <v>0</v>
      </c>
      <c r="N1996">
        <v>1650</v>
      </c>
    </row>
    <row r="1997" spans="1:14" x14ac:dyDescent="0.25">
      <c r="A1997">
        <v>1463.7749240000001</v>
      </c>
      <c r="B1997" s="1">
        <f>DATE(2014,5,3) + TIME(18,35,53)</f>
        <v>41762.774918981479</v>
      </c>
      <c r="C1997">
        <v>80</v>
      </c>
      <c r="D1997">
        <v>79.842361449999999</v>
      </c>
      <c r="E1997">
        <v>50</v>
      </c>
      <c r="F1997">
        <v>49.823154449</v>
      </c>
      <c r="G1997">
        <v>1337.7679443</v>
      </c>
      <c r="H1997">
        <v>1335.6116943</v>
      </c>
      <c r="I1997">
        <v>1328.3991699000001</v>
      </c>
      <c r="J1997">
        <v>1327.260376</v>
      </c>
      <c r="K1997">
        <v>1650</v>
      </c>
      <c r="L1997">
        <v>0</v>
      </c>
      <c r="M1997">
        <v>0</v>
      </c>
      <c r="N1997">
        <v>1650</v>
      </c>
    </row>
    <row r="1998" spans="1:14" x14ac:dyDescent="0.25">
      <c r="A1998">
        <v>1463.8998730000001</v>
      </c>
      <c r="B1998" s="1">
        <f>DATE(2014,5,3) + TIME(21,35,49)</f>
        <v>41762.899872685186</v>
      </c>
      <c r="C1998">
        <v>80</v>
      </c>
      <c r="D1998">
        <v>79.868637085000003</v>
      </c>
      <c r="E1998">
        <v>50</v>
      </c>
      <c r="F1998">
        <v>49.817337035999998</v>
      </c>
      <c r="G1998">
        <v>1337.7847899999999</v>
      </c>
      <c r="H1998">
        <v>1335.6241454999999</v>
      </c>
      <c r="I1998">
        <v>1328.3984375</v>
      </c>
      <c r="J1998">
        <v>1327.2591553</v>
      </c>
      <c r="K1998">
        <v>1650</v>
      </c>
      <c r="L1998">
        <v>0</v>
      </c>
      <c r="M1998">
        <v>0</v>
      </c>
      <c r="N1998">
        <v>1650</v>
      </c>
    </row>
    <row r="1999" spans="1:14" x14ac:dyDescent="0.25">
      <c r="A1999">
        <v>1464.028988</v>
      </c>
      <c r="B1999" s="1">
        <f>DATE(2014,5,4) + TIME(0,41,44)</f>
        <v>41763.028981481482</v>
      </c>
      <c r="C1999">
        <v>80</v>
      </c>
      <c r="D1999">
        <v>79.890197753999999</v>
      </c>
      <c r="E1999">
        <v>50</v>
      </c>
      <c r="F1999">
        <v>49.811382293999998</v>
      </c>
      <c r="G1999">
        <v>1337.7972411999999</v>
      </c>
      <c r="H1999">
        <v>1335.6337891000001</v>
      </c>
      <c r="I1999">
        <v>1328.3975829999999</v>
      </c>
      <c r="J1999">
        <v>1327.2579346</v>
      </c>
      <c r="K1999">
        <v>1650</v>
      </c>
      <c r="L1999">
        <v>0</v>
      </c>
      <c r="M1999">
        <v>0</v>
      </c>
      <c r="N1999">
        <v>1650</v>
      </c>
    </row>
    <row r="2000" spans="1:14" x14ac:dyDescent="0.25">
      <c r="A2000">
        <v>1464.162423</v>
      </c>
      <c r="B2000" s="1">
        <f>DATE(2014,5,4) + TIME(3,53,53)</f>
        <v>41763.162418981483</v>
      </c>
      <c r="C2000">
        <v>80</v>
      </c>
      <c r="D2000">
        <v>79.907760620000005</v>
      </c>
      <c r="E2000">
        <v>50</v>
      </c>
      <c r="F2000">
        <v>49.805282593000001</v>
      </c>
      <c r="G2000">
        <v>1337.8083495999999</v>
      </c>
      <c r="H2000">
        <v>1335.6425781</v>
      </c>
      <c r="I2000">
        <v>1328.3967285000001</v>
      </c>
      <c r="J2000">
        <v>1327.2565918</v>
      </c>
      <c r="K2000">
        <v>1650</v>
      </c>
      <c r="L2000">
        <v>0</v>
      </c>
      <c r="M2000">
        <v>0</v>
      </c>
      <c r="N2000">
        <v>1650</v>
      </c>
    </row>
    <row r="2001" spans="1:14" x14ac:dyDescent="0.25">
      <c r="A2001">
        <v>1464.2977980000001</v>
      </c>
      <c r="B2001" s="1">
        <f>DATE(2014,5,4) + TIME(7,8,49)</f>
        <v>41763.297789351855</v>
      </c>
      <c r="C2001">
        <v>80</v>
      </c>
      <c r="D2001">
        <v>79.921783446999996</v>
      </c>
      <c r="E2001">
        <v>50</v>
      </c>
      <c r="F2001">
        <v>49.79914093</v>
      </c>
      <c r="G2001">
        <v>1337.8181152</v>
      </c>
      <c r="H2001">
        <v>1335.6505127</v>
      </c>
      <c r="I2001">
        <v>1328.395874</v>
      </c>
      <c r="J2001">
        <v>1327.255249</v>
      </c>
      <c r="K2001">
        <v>1650</v>
      </c>
      <c r="L2001">
        <v>0</v>
      </c>
      <c r="M2001">
        <v>0</v>
      </c>
      <c r="N2001">
        <v>1650</v>
      </c>
    </row>
    <row r="2002" spans="1:14" x14ac:dyDescent="0.25">
      <c r="A2002">
        <v>1464.4354780000001</v>
      </c>
      <c r="B2002" s="1">
        <f>DATE(2014,5,4) + TIME(10,27,5)</f>
        <v>41763.435474537036</v>
      </c>
      <c r="C2002">
        <v>80</v>
      </c>
      <c r="D2002">
        <v>79.932960510000001</v>
      </c>
      <c r="E2002">
        <v>50</v>
      </c>
      <c r="F2002">
        <v>49.792938231999997</v>
      </c>
      <c r="G2002">
        <v>1337.8265381000001</v>
      </c>
      <c r="H2002">
        <v>1335.6575928</v>
      </c>
      <c r="I2002">
        <v>1328.3948975000001</v>
      </c>
      <c r="J2002">
        <v>1327.2539062000001</v>
      </c>
      <c r="K2002">
        <v>1650</v>
      </c>
      <c r="L2002">
        <v>0</v>
      </c>
      <c r="M2002">
        <v>0</v>
      </c>
      <c r="N2002">
        <v>1650</v>
      </c>
    </row>
    <row r="2003" spans="1:14" x14ac:dyDescent="0.25">
      <c r="A2003">
        <v>1464.5757659999999</v>
      </c>
      <c r="B2003" s="1">
        <f>DATE(2014,5,4) + TIME(13,49,6)</f>
        <v>41763.57576388889</v>
      </c>
      <c r="C2003">
        <v>80</v>
      </c>
      <c r="D2003">
        <v>79.941864014000004</v>
      </c>
      <c r="E2003">
        <v>50</v>
      </c>
      <c r="F2003">
        <v>49.786666869999998</v>
      </c>
      <c r="G2003">
        <v>1337.8338623</v>
      </c>
      <c r="H2003">
        <v>1335.6639404</v>
      </c>
      <c r="I2003">
        <v>1328.3939209</v>
      </c>
      <c r="J2003">
        <v>1327.2524414</v>
      </c>
      <c r="K2003">
        <v>1650</v>
      </c>
      <c r="L2003">
        <v>0</v>
      </c>
      <c r="M2003">
        <v>0</v>
      </c>
      <c r="N2003">
        <v>1650</v>
      </c>
    </row>
    <row r="2004" spans="1:14" x14ac:dyDescent="0.25">
      <c r="A2004">
        <v>1464.7189860000001</v>
      </c>
      <c r="B2004" s="1">
        <f>DATE(2014,5,4) + TIME(17,15,20)</f>
        <v>41763.718981481485</v>
      </c>
      <c r="C2004">
        <v>80</v>
      </c>
      <c r="D2004">
        <v>79.948944092000005</v>
      </c>
      <c r="E2004">
        <v>50</v>
      </c>
      <c r="F2004">
        <v>49.780311584000003</v>
      </c>
      <c r="G2004">
        <v>1337.8399658000001</v>
      </c>
      <c r="H2004">
        <v>1335.6696777</v>
      </c>
      <c r="I2004">
        <v>1328.3929443</v>
      </c>
      <c r="J2004">
        <v>1327.2510986</v>
      </c>
      <c r="K2004">
        <v>1650</v>
      </c>
      <c r="L2004">
        <v>0</v>
      </c>
      <c r="M2004">
        <v>0</v>
      </c>
      <c r="N2004">
        <v>1650</v>
      </c>
    </row>
    <row r="2005" spans="1:14" x14ac:dyDescent="0.25">
      <c r="A2005">
        <v>1464.865491</v>
      </c>
      <c r="B2005" s="1">
        <f>DATE(2014,5,4) + TIME(20,46,18)</f>
        <v>41763.865486111114</v>
      </c>
      <c r="C2005">
        <v>80</v>
      </c>
      <c r="D2005">
        <v>79.954551696999999</v>
      </c>
      <c r="E2005">
        <v>50</v>
      </c>
      <c r="F2005">
        <v>49.773860931000002</v>
      </c>
      <c r="G2005">
        <v>1337.8450928</v>
      </c>
      <c r="H2005">
        <v>1335.6748047000001</v>
      </c>
      <c r="I2005">
        <v>1328.3919678</v>
      </c>
      <c r="J2005">
        <v>1327.2495117000001</v>
      </c>
      <c r="K2005">
        <v>1650</v>
      </c>
      <c r="L2005">
        <v>0</v>
      </c>
      <c r="M2005">
        <v>0</v>
      </c>
      <c r="N2005">
        <v>1650</v>
      </c>
    </row>
    <row r="2006" spans="1:14" x14ac:dyDescent="0.25">
      <c r="A2006">
        <v>1465.0156629999999</v>
      </c>
      <c r="B2006" s="1">
        <f>DATE(2014,5,5) + TIME(0,22,33)</f>
        <v>41764.015659722223</v>
      </c>
      <c r="C2006">
        <v>80</v>
      </c>
      <c r="D2006">
        <v>79.958999633999994</v>
      </c>
      <c r="E2006">
        <v>50</v>
      </c>
      <c r="F2006">
        <v>49.767299651999998</v>
      </c>
      <c r="G2006">
        <v>1337.8493652</v>
      </c>
      <c r="H2006">
        <v>1335.6793213000001</v>
      </c>
      <c r="I2006">
        <v>1328.3908690999999</v>
      </c>
      <c r="J2006">
        <v>1327.2480469</v>
      </c>
      <c r="K2006">
        <v>1650</v>
      </c>
      <c r="L2006">
        <v>0</v>
      </c>
      <c r="M2006">
        <v>0</v>
      </c>
      <c r="N2006">
        <v>1650</v>
      </c>
    </row>
    <row r="2007" spans="1:14" x14ac:dyDescent="0.25">
      <c r="A2007">
        <v>1465.1699229999999</v>
      </c>
      <c r="B2007" s="1">
        <f>DATE(2014,5,5) + TIME(4,4,41)</f>
        <v>41764.169918981483</v>
      </c>
      <c r="C2007">
        <v>80</v>
      </c>
      <c r="D2007">
        <v>79.962509155000006</v>
      </c>
      <c r="E2007">
        <v>50</v>
      </c>
      <c r="F2007">
        <v>49.760608673</v>
      </c>
      <c r="G2007">
        <v>1337.8526611</v>
      </c>
      <c r="H2007">
        <v>1335.6833495999999</v>
      </c>
      <c r="I2007">
        <v>1328.3897704999999</v>
      </c>
      <c r="J2007">
        <v>1327.2463379000001</v>
      </c>
      <c r="K2007">
        <v>1650</v>
      </c>
      <c r="L2007">
        <v>0</v>
      </c>
      <c r="M2007">
        <v>0</v>
      </c>
      <c r="N2007">
        <v>1650</v>
      </c>
    </row>
    <row r="2008" spans="1:14" x14ac:dyDescent="0.25">
      <c r="A2008">
        <v>1465.3287330000001</v>
      </c>
      <c r="B2008" s="1">
        <f>DATE(2014,5,5) + TIME(7,53,22)</f>
        <v>41764.328726851854</v>
      </c>
      <c r="C2008">
        <v>80</v>
      </c>
      <c r="D2008">
        <v>79.965270996000001</v>
      </c>
      <c r="E2008">
        <v>50</v>
      </c>
      <c r="F2008">
        <v>49.753772736000002</v>
      </c>
      <c r="G2008">
        <v>1337.8537598</v>
      </c>
      <c r="H2008">
        <v>1335.6859131000001</v>
      </c>
      <c r="I2008">
        <v>1328.3886719</v>
      </c>
      <c r="J2008">
        <v>1327.244751</v>
      </c>
      <c r="K2008">
        <v>1650</v>
      </c>
      <c r="L2008">
        <v>0</v>
      </c>
      <c r="M2008">
        <v>0</v>
      </c>
      <c r="N2008">
        <v>1650</v>
      </c>
    </row>
    <row r="2009" spans="1:14" x14ac:dyDescent="0.25">
      <c r="A2009">
        <v>1465.4927150000001</v>
      </c>
      <c r="B2009" s="1">
        <f>DATE(2014,5,5) + TIME(11,49,30)</f>
        <v>41764.492708333331</v>
      </c>
      <c r="C2009">
        <v>80</v>
      </c>
      <c r="D2009">
        <v>79.967445373999993</v>
      </c>
      <c r="E2009">
        <v>50</v>
      </c>
      <c r="F2009">
        <v>49.746768951</v>
      </c>
      <c r="G2009">
        <v>1337.8535156</v>
      </c>
      <c r="H2009">
        <v>1335.6876221</v>
      </c>
      <c r="I2009">
        <v>1328.3874512</v>
      </c>
      <c r="J2009">
        <v>1327.2430420000001</v>
      </c>
      <c r="K2009">
        <v>1650</v>
      </c>
      <c r="L2009">
        <v>0</v>
      </c>
      <c r="M2009">
        <v>0</v>
      </c>
      <c r="N2009">
        <v>1650</v>
      </c>
    </row>
    <row r="2010" spans="1:14" x14ac:dyDescent="0.25">
      <c r="A2010">
        <v>1465.663024</v>
      </c>
      <c r="B2010" s="1">
        <f>DATE(2014,5,5) + TIME(15,54,45)</f>
        <v>41764.66302083333</v>
      </c>
      <c r="C2010">
        <v>80</v>
      </c>
      <c r="D2010">
        <v>79.969146729000002</v>
      </c>
      <c r="E2010">
        <v>50</v>
      </c>
      <c r="F2010">
        <v>49.739559174</v>
      </c>
      <c r="G2010">
        <v>1337.8527832</v>
      </c>
      <c r="H2010">
        <v>1335.6890868999999</v>
      </c>
      <c r="I2010">
        <v>1328.3862305</v>
      </c>
      <c r="J2010">
        <v>1327.2412108999999</v>
      </c>
      <c r="K2010">
        <v>1650</v>
      </c>
      <c r="L2010">
        <v>0</v>
      </c>
      <c r="M2010">
        <v>0</v>
      </c>
      <c r="N2010">
        <v>1650</v>
      </c>
    </row>
    <row r="2011" spans="1:14" x14ac:dyDescent="0.25">
      <c r="A2011">
        <v>1465.840095</v>
      </c>
      <c r="B2011" s="1">
        <f>DATE(2014,5,5) + TIME(20,9,44)</f>
        <v>41764.840092592596</v>
      </c>
      <c r="C2011">
        <v>80</v>
      </c>
      <c r="D2011">
        <v>79.970474242999998</v>
      </c>
      <c r="E2011">
        <v>50</v>
      </c>
      <c r="F2011">
        <v>49.732124329000001</v>
      </c>
      <c r="G2011">
        <v>1337.8515625</v>
      </c>
      <c r="H2011">
        <v>1335.6903076000001</v>
      </c>
      <c r="I2011">
        <v>1328.3848877</v>
      </c>
      <c r="J2011">
        <v>1327.2393798999999</v>
      </c>
      <c r="K2011">
        <v>1650</v>
      </c>
      <c r="L2011">
        <v>0</v>
      </c>
      <c r="M2011">
        <v>0</v>
      </c>
      <c r="N2011">
        <v>1650</v>
      </c>
    </row>
    <row r="2012" spans="1:14" x14ac:dyDescent="0.25">
      <c r="A2012">
        <v>1466.0221529999999</v>
      </c>
      <c r="B2012" s="1">
        <f>DATE(2014,5,6) + TIME(0,31,54)</f>
        <v>41765.022152777776</v>
      </c>
      <c r="C2012">
        <v>80</v>
      </c>
      <c r="D2012">
        <v>79.971504210999996</v>
      </c>
      <c r="E2012">
        <v>50</v>
      </c>
      <c r="F2012">
        <v>49.724536895999996</v>
      </c>
      <c r="G2012">
        <v>1337.8499756000001</v>
      </c>
      <c r="H2012">
        <v>1335.6912841999999</v>
      </c>
      <c r="I2012">
        <v>1328.3835449000001</v>
      </c>
      <c r="J2012">
        <v>1327.2374268000001</v>
      </c>
      <c r="K2012">
        <v>1650</v>
      </c>
      <c r="L2012">
        <v>0</v>
      </c>
      <c r="M2012">
        <v>0</v>
      </c>
      <c r="N2012">
        <v>1650</v>
      </c>
    </row>
    <row r="2013" spans="1:14" x14ac:dyDescent="0.25">
      <c r="A2013">
        <v>1466.2098120000001</v>
      </c>
      <c r="B2013" s="1">
        <f>DATE(2014,5,6) + TIME(5,2,7)</f>
        <v>41765.209803240738</v>
      </c>
      <c r="C2013">
        <v>80</v>
      </c>
      <c r="D2013">
        <v>79.972290039000001</v>
      </c>
      <c r="E2013">
        <v>50</v>
      </c>
      <c r="F2013">
        <v>49.716770171999997</v>
      </c>
      <c r="G2013">
        <v>1337.8480225000001</v>
      </c>
      <c r="H2013">
        <v>1335.6921387</v>
      </c>
      <c r="I2013">
        <v>1328.3820800999999</v>
      </c>
      <c r="J2013">
        <v>1327.2353516000001</v>
      </c>
      <c r="K2013">
        <v>1650</v>
      </c>
      <c r="L2013">
        <v>0</v>
      </c>
      <c r="M2013">
        <v>0</v>
      </c>
      <c r="N2013">
        <v>1650</v>
      </c>
    </row>
    <row r="2014" spans="1:14" x14ac:dyDescent="0.25">
      <c r="A2014">
        <v>1466.4036530000001</v>
      </c>
      <c r="B2014" s="1">
        <f>DATE(2014,5,6) + TIME(9,41,15)</f>
        <v>41765.403645833336</v>
      </c>
      <c r="C2014">
        <v>80</v>
      </c>
      <c r="D2014">
        <v>79.972885132000002</v>
      </c>
      <c r="E2014">
        <v>50</v>
      </c>
      <c r="F2014">
        <v>49.708808898999997</v>
      </c>
      <c r="G2014">
        <v>1337.8457031</v>
      </c>
      <c r="H2014">
        <v>1335.692749</v>
      </c>
      <c r="I2014">
        <v>1328.3806152</v>
      </c>
      <c r="J2014">
        <v>1327.2331543</v>
      </c>
      <c r="K2014">
        <v>1650</v>
      </c>
      <c r="L2014">
        <v>0</v>
      </c>
      <c r="M2014">
        <v>0</v>
      </c>
      <c r="N2014">
        <v>1650</v>
      </c>
    </row>
    <row r="2015" spans="1:14" x14ac:dyDescent="0.25">
      <c r="A2015">
        <v>1466.6043380000001</v>
      </c>
      <c r="B2015" s="1">
        <f>DATE(2014,5,6) + TIME(14,30,14)</f>
        <v>41765.604328703703</v>
      </c>
      <c r="C2015">
        <v>80</v>
      </c>
      <c r="D2015">
        <v>79.973350525000001</v>
      </c>
      <c r="E2015">
        <v>50</v>
      </c>
      <c r="F2015">
        <v>49.700630187999998</v>
      </c>
      <c r="G2015">
        <v>1337.8430175999999</v>
      </c>
      <c r="H2015">
        <v>1335.6932373</v>
      </c>
      <c r="I2015">
        <v>1328.3791504000001</v>
      </c>
      <c r="J2015">
        <v>1327.230957</v>
      </c>
      <c r="K2015">
        <v>1650</v>
      </c>
      <c r="L2015">
        <v>0</v>
      </c>
      <c r="M2015">
        <v>0</v>
      </c>
      <c r="N2015">
        <v>1650</v>
      </c>
    </row>
    <row r="2016" spans="1:14" x14ac:dyDescent="0.25">
      <c r="A2016">
        <v>1466.8127489999999</v>
      </c>
      <c r="B2016" s="1">
        <f>DATE(2014,5,6) + TIME(19,30,21)</f>
        <v>41765.812743055554</v>
      </c>
      <c r="C2016">
        <v>80</v>
      </c>
      <c r="D2016">
        <v>79.973701477000006</v>
      </c>
      <c r="E2016">
        <v>50</v>
      </c>
      <c r="F2016">
        <v>49.692203522</v>
      </c>
      <c r="G2016">
        <v>1337.8399658000001</v>
      </c>
      <c r="H2016">
        <v>1335.6936035000001</v>
      </c>
      <c r="I2016">
        <v>1328.3774414</v>
      </c>
      <c r="J2016">
        <v>1327.2286377</v>
      </c>
      <c r="K2016">
        <v>1650</v>
      </c>
      <c r="L2016">
        <v>0</v>
      </c>
      <c r="M2016">
        <v>0</v>
      </c>
      <c r="N2016">
        <v>1650</v>
      </c>
    </row>
    <row r="2017" spans="1:14" x14ac:dyDescent="0.25">
      <c r="A2017">
        <v>1467.02961</v>
      </c>
      <c r="B2017" s="1">
        <f>DATE(2014,5,7) + TIME(0,42,38)</f>
        <v>41766.029606481483</v>
      </c>
      <c r="C2017">
        <v>80</v>
      </c>
      <c r="D2017">
        <v>79.973960876000007</v>
      </c>
      <c r="E2017">
        <v>50</v>
      </c>
      <c r="F2017">
        <v>49.683509827000002</v>
      </c>
      <c r="G2017">
        <v>1337.8366699000001</v>
      </c>
      <c r="H2017">
        <v>1335.6938477000001</v>
      </c>
      <c r="I2017">
        <v>1328.3758545000001</v>
      </c>
      <c r="J2017">
        <v>1327.2261963000001</v>
      </c>
      <c r="K2017">
        <v>1650</v>
      </c>
      <c r="L2017">
        <v>0</v>
      </c>
      <c r="M2017">
        <v>0</v>
      </c>
      <c r="N2017">
        <v>1650</v>
      </c>
    </row>
    <row r="2018" spans="1:14" x14ac:dyDescent="0.25">
      <c r="A2018">
        <v>1467.2569619999999</v>
      </c>
      <c r="B2018" s="1">
        <f>DATE(2014,5,7) + TIME(6,10,1)</f>
        <v>41766.256956018522</v>
      </c>
      <c r="C2018">
        <v>80</v>
      </c>
      <c r="D2018">
        <v>79.974159240999995</v>
      </c>
      <c r="E2018">
        <v>50</v>
      </c>
      <c r="F2018">
        <v>49.674476624</v>
      </c>
      <c r="G2018">
        <v>1337.8331298999999</v>
      </c>
      <c r="H2018">
        <v>1335.6939697</v>
      </c>
      <c r="I2018">
        <v>1328.3740233999999</v>
      </c>
      <c r="J2018">
        <v>1327.2236327999999</v>
      </c>
      <c r="K2018">
        <v>1650</v>
      </c>
      <c r="L2018">
        <v>0</v>
      </c>
      <c r="M2018">
        <v>0</v>
      </c>
      <c r="N2018">
        <v>1650</v>
      </c>
    </row>
    <row r="2019" spans="1:14" x14ac:dyDescent="0.25">
      <c r="A2019">
        <v>1467.4929970000001</v>
      </c>
      <c r="B2019" s="1">
        <f>DATE(2014,5,7) + TIME(11,49,54)</f>
        <v>41766.492986111109</v>
      </c>
      <c r="C2019">
        <v>80</v>
      </c>
      <c r="D2019">
        <v>79.974304199000002</v>
      </c>
      <c r="E2019">
        <v>50</v>
      </c>
      <c r="F2019">
        <v>49.665168762</v>
      </c>
      <c r="G2019">
        <v>1337.8292236</v>
      </c>
      <c r="H2019">
        <v>1335.6939697</v>
      </c>
      <c r="I2019">
        <v>1328.3721923999999</v>
      </c>
      <c r="J2019">
        <v>1327.2208252</v>
      </c>
      <c r="K2019">
        <v>1650</v>
      </c>
      <c r="L2019">
        <v>0</v>
      </c>
      <c r="M2019">
        <v>0</v>
      </c>
      <c r="N2019">
        <v>1650</v>
      </c>
    </row>
    <row r="2020" spans="1:14" x14ac:dyDescent="0.25">
      <c r="A2020">
        <v>1467.734393</v>
      </c>
      <c r="B2020" s="1">
        <f>DATE(2014,5,7) + TIME(17,37,31)</f>
        <v>41766.734386574077</v>
      </c>
      <c r="C2020">
        <v>80</v>
      </c>
      <c r="D2020">
        <v>79.974411011000001</v>
      </c>
      <c r="E2020">
        <v>50</v>
      </c>
      <c r="F2020">
        <v>49.655704497999999</v>
      </c>
      <c r="G2020">
        <v>1337.8250731999999</v>
      </c>
      <c r="H2020">
        <v>1335.6938477000001</v>
      </c>
      <c r="I2020">
        <v>1328.3701172000001</v>
      </c>
      <c r="J2020">
        <v>1327.2180175999999</v>
      </c>
      <c r="K2020">
        <v>1650</v>
      </c>
      <c r="L2020">
        <v>0</v>
      </c>
      <c r="M2020">
        <v>0</v>
      </c>
      <c r="N2020">
        <v>1650</v>
      </c>
    </row>
    <row r="2021" spans="1:14" x14ac:dyDescent="0.25">
      <c r="A2021">
        <v>1467.982274</v>
      </c>
      <c r="B2021" s="1">
        <f>DATE(2014,5,7) + TIME(23,34,28)</f>
        <v>41766.982268518521</v>
      </c>
      <c r="C2021">
        <v>80</v>
      </c>
      <c r="D2021">
        <v>79.974479674999998</v>
      </c>
      <c r="E2021">
        <v>50</v>
      </c>
      <c r="F2021">
        <v>49.646041869999998</v>
      </c>
      <c r="G2021">
        <v>1337.8208007999999</v>
      </c>
      <c r="H2021">
        <v>1335.6937256000001</v>
      </c>
      <c r="I2021">
        <v>1328.3681641000001</v>
      </c>
      <c r="J2021">
        <v>1327.2150879000001</v>
      </c>
      <c r="K2021">
        <v>1650</v>
      </c>
      <c r="L2021">
        <v>0</v>
      </c>
      <c r="M2021">
        <v>0</v>
      </c>
      <c r="N2021">
        <v>1650</v>
      </c>
    </row>
    <row r="2022" spans="1:14" x14ac:dyDescent="0.25">
      <c r="A2022">
        <v>1468.238241</v>
      </c>
      <c r="B2022" s="1">
        <f>DATE(2014,5,8) + TIME(5,43,3)</f>
        <v>41767.238229166665</v>
      </c>
      <c r="C2022">
        <v>80</v>
      </c>
      <c r="D2022">
        <v>79.974525451999995</v>
      </c>
      <c r="E2022">
        <v>50</v>
      </c>
      <c r="F2022">
        <v>49.636138916</v>
      </c>
      <c r="G2022">
        <v>1337.8164062000001</v>
      </c>
      <c r="H2022">
        <v>1335.6934814000001</v>
      </c>
      <c r="I2022">
        <v>1328.3659668</v>
      </c>
      <c r="J2022">
        <v>1327.2119141000001</v>
      </c>
      <c r="K2022">
        <v>1650</v>
      </c>
      <c r="L2022">
        <v>0</v>
      </c>
      <c r="M2022">
        <v>0</v>
      </c>
      <c r="N2022">
        <v>1650</v>
      </c>
    </row>
    <row r="2023" spans="1:14" x14ac:dyDescent="0.25">
      <c r="A2023">
        <v>1468.498977</v>
      </c>
      <c r="B2023" s="1">
        <f>DATE(2014,5,8) + TIME(11,58,31)</f>
        <v>41767.498969907407</v>
      </c>
      <c r="C2023">
        <v>80</v>
      </c>
      <c r="D2023">
        <v>79.974548339999998</v>
      </c>
      <c r="E2023">
        <v>50</v>
      </c>
      <c r="F2023">
        <v>49.626098632999998</v>
      </c>
      <c r="G2023">
        <v>1337.8117675999999</v>
      </c>
      <c r="H2023">
        <v>1335.6931152</v>
      </c>
      <c r="I2023">
        <v>1328.3637695</v>
      </c>
      <c r="J2023">
        <v>1327.2087402</v>
      </c>
      <c r="K2023">
        <v>1650</v>
      </c>
      <c r="L2023">
        <v>0</v>
      </c>
      <c r="M2023">
        <v>0</v>
      </c>
      <c r="N2023">
        <v>1650</v>
      </c>
    </row>
    <row r="2024" spans="1:14" x14ac:dyDescent="0.25">
      <c r="A2024">
        <v>1468.762144</v>
      </c>
      <c r="B2024" s="1">
        <f>DATE(2014,5,8) + TIME(18,17,29)</f>
        <v>41767.762141203704</v>
      </c>
      <c r="C2024">
        <v>80</v>
      </c>
      <c r="D2024">
        <v>79.974563599000007</v>
      </c>
      <c r="E2024">
        <v>50</v>
      </c>
      <c r="F2024">
        <v>49.616004943999997</v>
      </c>
      <c r="G2024">
        <v>1337.8070068</v>
      </c>
      <c r="H2024">
        <v>1335.692749</v>
      </c>
      <c r="I2024">
        <v>1328.3615723</v>
      </c>
      <c r="J2024">
        <v>1327.2054443</v>
      </c>
      <c r="K2024">
        <v>1650</v>
      </c>
      <c r="L2024">
        <v>0</v>
      </c>
      <c r="M2024">
        <v>0</v>
      </c>
      <c r="N2024">
        <v>1650</v>
      </c>
    </row>
    <row r="2025" spans="1:14" x14ac:dyDescent="0.25">
      <c r="A2025">
        <v>1469.028552</v>
      </c>
      <c r="B2025" s="1">
        <f>DATE(2014,5,9) + TIME(0,41,6)</f>
        <v>41768.028541666667</v>
      </c>
      <c r="C2025">
        <v>80</v>
      </c>
      <c r="D2025">
        <v>79.974555968999994</v>
      </c>
      <c r="E2025">
        <v>50</v>
      </c>
      <c r="F2025">
        <v>49.605834960999999</v>
      </c>
      <c r="G2025">
        <v>1337.8022461</v>
      </c>
      <c r="H2025">
        <v>1335.6923827999999</v>
      </c>
      <c r="I2025">
        <v>1328.3592529</v>
      </c>
      <c r="J2025">
        <v>1327.2021483999999</v>
      </c>
      <c r="K2025">
        <v>1650</v>
      </c>
      <c r="L2025">
        <v>0</v>
      </c>
      <c r="M2025">
        <v>0</v>
      </c>
      <c r="N2025">
        <v>1650</v>
      </c>
    </row>
    <row r="2026" spans="1:14" x14ac:dyDescent="0.25">
      <c r="A2026">
        <v>1469.2989950000001</v>
      </c>
      <c r="B2026" s="1">
        <f>DATE(2014,5,9) + TIME(7,10,33)</f>
        <v>41768.298993055556</v>
      </c>
      <c r="C2026">
        <v>80</v>
      </c>
      <c r="D2026">
        <v>79.974548339999998</v>
      </c>
      <c r="E2026">
        <v>50</v>
      </c>
      <c r="F2026">
        <v>49.595569611000002</v>
      </c>
      <c r="G2026">
        <v>1337.7974853999999</v>
      </c>
      <c r="H2026">
        <v>1335.6920166</v>
      </c>
      <c r="I2026">
        <v>1328.3569336</v>
      </c>
      <c r="J2026">
        <v>1327.1987305</v>
      </c>
      <c r="K2026">
        <v>1650</v>
      </c>
      <c r="L2026">
        <v>0</v>
      </c>
      <c r="M2026">
        <v>0</v>
      </c>
      <c r="N2026">
        <v>1650</v>
      </c>
    </row>
    <row r="2027" spans="1:14" x14ac:dyDescent="0.25">
      <c r="A2027">
        <v>1469.574292</v>
      </c>
      <c r="B2027" s="1">
        <f>DATE(2014,5,9) + TIME(13,46,58)</f>
        <v>41768.574282407404</v>
      </c>
      <c r="C2027">
        <v>80</v>
      </c>
      <c r="D2027">
        <v>79.974525451999995</v>
      </c>
      <c r="E2027">
        <v>50</v>
      </c>
      <c r="F2027">
        <v>49.585178374999998</v>
      </c>
      <c r="G2027">
        <v>1337.7927245999999</v>
      </c>
      <c r="H2027">
        <v>1335.6915283000001</v>
      </c>
      <c r="I2027">
        <v>1328.3544922000001</v>
      </c>
      <c r="J2027">
        <v>1327.1951904</v>
      </c>
      <c r="K2027">
        <v>1650</v>
      </c>
      <c r="L2027">
        <v>0</v>
      </c>
      <c r="M2027">
        <v>0</v>
      </c>
      <c r="N2027">
        <v>1650</v>
      </c>
    </row>
    <row r="2028" spans="1:14" x14ac:dyDescent="0.25">
      <c r="A2028">
        <v>1469.8552999999999</v>
      </c>
      <c r="B2028" s="1">
        <f>DATE(2014,5,9) + TIME(20,31,37)</f>
        <v>41768.85528935185</v>
      </c>
      <c r="C2028">
        <v>80</v>
      </c>
      <c r="D2028">
        <v>79.974502563000001</v>
      </c>
      <c r="E2028">
        <v>50</v>
      </c>
      <c r="F2028">
        <v>49.574645996000001</v>
      </c>
      <c r="G2028">
        <v>1337.7878418</v>
      </c>
      <c r="H2028">
        <v>1335.6911620999999</v>
      </c>
      <c r="I2028">
        <v>1328.3520507999999</v>
      </c>
      <c r="J2028">
        <v>1327.1915283000001</v>
      </c>
      <c r="K2028">
        <v>1650</v>
      </c>
      <c r="L2028">
        <v>0</v>
      </c>
      <c r="M2028">
        <v>0</v>
      </c>
      <c r="N2028">
        <v>1650</v>
      </c>
    </row>
    <row r="2029" spans="1:14" x14ac:dyDescent="0.25">
      <c r="A2029">
        <v>1470.1429290000001</v>
      </c>
      <c r="B2029" s="1">
        <f>DATE(2014,5,10) + TIME(3,25,49)</f>
        <v>41769.142928240741</v>
      </c>
      <c r="C2029">
        <v>80</v>
      </c>
      <c r="D2029">
        <v>79.974472046000002</v>
      </c>
      <c r="E2029">
        <v>50</v>
      </c>
      <c r="F2029">
        <v>49.563938141000001</v>
      </c>
      <c r="G2029">
        <v>1337.7830810999999</v>
      </c>
      <c r="H2029">
        <v>1335.6906738</v>
      </c>
      <c r="I2029">
        <v>1328.3494873</v>
      </c>
      <c r="J2029">
        <v>1327.1878661999999</v>
      </c>
      <c r="K2029">
        <v>1650</v>
      </c>
      <c r="L2029">
        <v>0</v>
      </c>
      <c r="M2029">
        <v>0</v>
      </c>
      <c r="N2029">
        <v>1650</v>
      </c>
    </row>
    <row r="2030" spans="1:14" x14ac:dyDescent="0.25">
      <c r="A2030">
        <v>1470.4381679999999</v>
      </c>
      <c r="B2030" s="1">
        <f>DATE(2014,5,10) + TIME(10,30,57)</f>
        <v>41769.438159722224</v>
      </c>
      <c r="C2030">
        <v>80</v>
      </c>
      <c r="D2030">
        <v>79.974433899000005</v>
      </c>
      <c r="E2030">
        <v>50</v>
      </c>
      <c r="F2030">
        <v>49.553035735999998</v>
      </c>
      <c r="G2030">
        <v>1337.7780762</v>
      </c>
      <c r="H2030">
        <v>1335.6901855000001</v>
      </c>
      <c r="I2030">
        <v>1328.3468018000001</v>
      </c>
      <c r="J2030">
        <v>1327.1839600000001</v>
      </c>
      <c r="K2030">
        <v>1650</v>
      </c>
      <c r="L2030">
        <v>0</v>
      </c>
      <c r="M2030">
        <v>0</v>
      </c>
      <c r="N2030">
        <v>1650</v>
      </c>
    </row>
    <row r="2031" spans="1:14" x14ac:dyDescent="0.25">
      <c r="A2031">
        <v>1470.738693</v>
      </c>
      <c r="B2031" s="1">
        <f>DATE(2014,5,10) + TIME(17,43,43)</f>
        <v>41769.738692129627</v>
      </c>
      <c r="C2031">
        <v>80</v>
      </c>
      <c r="D2031">
        <v>79.974395752000007</v>
      </c>
      <c r="E2031">
        <v>50</v>
      </c>
      <c r="F2031">
        <v>49.541999816999997</v>
      </c>
      <c r="G2031">
        <v>1337.7731934000001</v>
      </c>
      <c r="H2031">
        <v>1335.6898193</v>
      </c>
      <c r="I2031">
        <v>1328.3441161999999</v>
      </c>
      <c r="J2031">
        <v>1327.1800536999999</v>
      </c>
      <c r="K2031">
        <v>1650</v>
      </c>
      <c r="L2031">
        <v>0</v>
      </c>
      <c r="M2031">
        <v>0</v>
      </c>
      <c r="N2031">
        <v>1650</v>
      </c>
    </row>
    <row r="2032" spans="1:14" x14ac:dyDescent="0.25">
      <c r="A2032">
        <v>1471.0445729999999</v>
      </c>
      <c r="B2032" s="1">
        <f>DATE(2014,5,11) + TIME(1,4,11)</f>
        <v>41770.044571759259</v>
      </c>
      <c r="C2032">
        <v>80</v>
      </c>
      <c r="D2032">
        <v>79.974357604999994</v>
      </c>
      <c r="E2032">
        <v>50</v>
      </c>
      <c r="F2032">
        <v>49.530841827000003</v>
      </c>
      <c r="G2032">
        <v>1337.7683105000001</v>
      </c>
      <c r="H2032">
        <v>1335.6893310999999</v>
      </c>
      <c r="I2032">
        <v>1328.3413086</v>
      </c>
      <c r="J2032">
        <v>1327.1759033000001</v>
      </c>
      <c r="K2032">
        <v>1650</v>
      </c>
      <c r="L2032">
        <v>0</v>
      </c>
      <c r="M2032">
        <v>0</v>
      </c>
      <c r="N2032">
        <v>1650</v>
      </c>
    </row>
    <row r="2033" spans="1:14" x14ac:dyDescent="0.25">
      <c r="A2033">
        <v>1471.3566840000001</v>
      </c>
      <c r="B2033" s="1">
        <f>DATE(2014,5,11) + TIME(8,33,37)</f>
        <v>41770.356678240743</v>
      </c>
      <c r="C2033">
        <v>80</v>
      </c>
      <c r="D2033">
        <v>79.974319457999997</v>
      </c>
      <c r="E2033">
        <v>50</v>
      </c>
      <c r="F2033">
        <v>49.51953125</v>
      </c>
      <c r="G2033">
        <v>1337.7633057</v>
      </c>
      <c r="H2033">
        <v>1335.6888428</v>
      </c>
      <c r="I2033">
        <v>1328.338501</v>
      </c>
      <c r="J2033">
        <v>1327.1717529</v>
      </c>
      <c r="K2033">
        <v>1650</v>
      </c>
      <c r="L2033">
        <v>0</v>
      </c>
      <c r="M2033">
        <v>0</v>
      </c>
      <c r="N2033">
        <v>1650</v>
      </c>
    </row>
    <row r="2034" spans="1:14" x14ac:dyDescent="0.25">
      <c r="A2034">
        <v>1471.6759509999999</v>
      </c>
      <c r="B2034" s="1">
        <f>DATE(2014,5,11) + TIME(16,13,22)</f>
        <v>41770.675949074073</v>
      </c>
      <c r="C2034">
        <v>80</v>
      </c>
      <c r="D2034">
        <v>79.974273682000003</v>
      </c>
      <c r="E2034">
        <v>50</v>
      </c>
      <c r="F2034">
        <v>49.508045197000001</v>
      </c>
      <c r="G2034">
        <v>1337.7584228999999</v>
      </c>
      <c r="H2034">
        <v>1335.6884766000001</v>
      </c>
      <c r="I2034">
        <v>1328.3355713000001</v>
      </c>
      <c r="J2034">
        <v>1327.1674805</v>
      </c>
      <c r="K2034">
        <v>1650</v>
      </c>
      <c r="L2034">
        <v>0</v>
      </c>
      <c r="M2034">
        <v>0</v>
      </c>
      <c r="N2034">
        <v>1650</v>
      </c>
    </row>
    <row r="2035" spans="1:14" x14ac:dyDescent="0.25">
      <c r="A2035">
        <v>1472.003348</v>
      </c>
      <c r="B2035" s="1">
        <f>DATE(2014,5,12) + TIME(0,4,49)</f>
        <v>41771.003344907411</v>
      </c>
      <c r="C2035">
        <v>80</v>
      </c>
      <c r="D2035">
        <v>79.974227905000006</v>
      </c>
      <c r="E2035">
        <v>50</v>
      </c>
      <c r="F2035">
        <v>49.496360779</v>
      </c>
      <c r="G2035">
        <v>1337.7535399999999</v>
      </c>
      <c r="H2035">
        <v>1335.6881103999999</v>
      </c>
      <c r="I2035">
        <v>1328.3325195</v>
      </c>
      <c r="J2035">
        <v>1327.1630858999999</v>
      </c>
      <c r="K2035">
        <v>1650</v>
      </c>
      <c r="L2035">
        <v>0</v>
      </c>
      <c r="M2035">
        <v>0</v>
      </c>
      <c r="N2035">
        <v>1650</v>
      </c>
    </row>
    <row r="2036" spans="1:14" x14ac:dyDescent="0.25">
      <c r="A2036">
        <v>1472.3399589999999</v>
      </c>
      <c r="B2036" s="1">
        <f>DATE(2014,5,12) + TIME(8,9,32)</f>
        <v>41771.339953703704</v>
      </c>
      <c r="C2036">
        <v>80</v>
      </c>
      <c r="D2036">
        <v>79.974174500000004</v>
      </c>
      <c r="E2036">
        <v>50</v>
      </c>
      <c r="F2036">
        <v>49.484447479000004</v>
      </c>
      <c r="G2036">
        <v>1337.7485352000001</v>
      </c>
      <c r="H2036">
        <v>1335.6876221</v>
      </c>
      <c r="I2036">
        <v>1328.3294678</v>
      </c>
      <c r="J2036">
        <v>1327.1584473</v>
      </c>
      <c r="K2036">
        <v>1650</v>
      </c>
      <c r="L2036">
        <v>0</v>
      </c>
      <c r="M2036">
        <v>0</v>
      </c>
      <c r="N2036">
        <v>1650</v>
      </c>
    </row>
    <row r="2037" spans="1:14" x14ac:dyDescent="0.25">
      <c r="A2037">
        <v>1472.686989</v>
      </c>
      <c r="B2037" s="1">
        <f>DATE(2014,5,12) + TIME(16,29,15)</f>
        <v>41771.686979166669</v>
      </c>
      <c r="C2037">
        <v>80</v>
      </c>
      <c r="D2037">
        <v>79.974128723000007</v>
      </c>
      <c r="E2037">
        <v>50</v>
      </c>
      <c r="F2037">
        <v>49.472270966000004</v>
      </c>
      <c r="G2037">
        <v>1337.7435303</v>
      </c>
      <c r="H2037">
        <v>1335.6872559000001</v>
      </c>
      <c r="I2037">
        <v>1328.3261719</v>
      </c>
      <c r="J2037">
        <v>1327.1538086</v>
      </c>
      <c r="K2037">
        <v>1650</v>
      </c>
      <c r="L2037">
        <v>0</v>
      </c>
      <c r="M2037">
        <v>0</v>
      </c>
      <c r="N2037">
        <v>1650</v>
      </c>
    </row>
    <row r="2038" spans="1:14" x14ac:dyDescent="0.25">
      <c r="A2038">
        <v>1473.0459510000001</v>
      </c>
      <c r="B2038" s="1">
        <f>DATE(2014,5,13) + TIME(1,6,10)</f>
        <v>41772.045949074076</v>
      </c>
      <c r="C2038">
        <v>80</v>
      </c>
      <c r="D2038">
        <v>79.974075317</v>
      </c>
      <c r="E2038">
        <v>50</v>
      </c>
      <c r="F2038">
        <v>49.459789276000002</v>
      </c>
      <c r="G2038">
        <v>1337.7385254000001</v>
      </c>
      <c r="H2038">
        <v>1335.6868896000001</v>
      </c>
      <c r="I2038">
        <v>1328.322876</v>
      </c>
      <c r="J2038">
        <v>1327.1489257999999</v>
      </c>
      <c r="K2038">
        <v>1650</v>
      </c>
      <c r="L2038">
        <v>0</v>
      </c>
      <c r="M2038">
        <v>0</v>
      </c>
      <c r="N2038">
        <v>1650</v>
      </c>
    </row>
    <row r="2039" spans="1:14" x14ac:dyDescent="0.25">
      <c r="A2039">
        <v>1473.418866</v>
      </c>
      <c r="B2039" s="1">
        <f>DATE(2014,5,13) + TIME(10,3,10)</f>
        <v>41772.418865740743</v>
      </c>
      <c r="C2039">
        <v>80</v>
      </c>
      <c r="D2039">
        <v>79.974021911999998</v>
      </c>
      <c r="E2039">
        <v>50</v>
      </c>
      <c r="F2039">
        <v>49.44695282</v>
      </c>
      <c r="G2039">
        <v>1337.7335204999999</v>
      </c>
      <c r="H2039">
        <v>1335.6865233999999</v>
      </c>
      <c r="I2039">
        <v>1328.3194579999999</v>
      </c>
      <c r="J2039">
        <v>1327.1437988</v>
      </c>
      <c r="K2039">
        <v>1650</v>
      </c>
      <c r="L2039">
        <v>0</v>
      </c>
      <c r="M2039">
        <v>0</v>
      </c>
      <c r="N2039">
        <v>1650</v>
      </c>
    </row>
    <row r="2040" spans="1:14" x14ac:dyDescent="0.25">
      <c r="A2040">
        <v>1473.8110340000001</v>
      </c>
      <c r="B2040" s="1">
        <f>DATE(2014,5,13) + TIME(19,27,53)</f>
        <v>41772.811030092591</v>
      </c>
      <c r="C2040">
        <v>80</v>
      </c>
      <c r="D2040">
        <v>79.973968506000006</v>
      </c>
      <c r="E2040">
        <v>50</v>
      </c>
      <c r="F2040">
        <v>49.433620453000003</v>
      </c>
      <c r="G2040">
        <v>1337.7283935999999</v>
      </c>
      <c r="H2040">
        <v>1335.6862793</v>
      </c>
      <c r="I2040">
        <v>1328.3157959</v>
      </c>
      <c r="J2040">
        <v>1327.1384277</v>
      </c>
      <c r="K2040">
        <v>1650</v>
      </c>
      <c r="L2040">
        <v>0</v>
      </c>
      <c r="M2040">
        <v>0</v>
      </c>
      <c r="N2040">
        <v>1650</v>
      </c>
    </row>
    <row r="2041" spans="1:14" x14ac:dyDescent="0.25">
      <c r="A2041">
        <v>1474.2153370000001</v>
      </c>
      <c r="B2041" s="1">
        <f>DATE(2014,5,14) + TIME(5,10,5)</f>
        <v>41773.21533564815</v>
      </c>
      <c r="C2041">
        <v>80</v>
      </c>
      <c r="D2041">
        <v>79.973907471000004</v>
      </c>
      <c r="E2041">
        <v>50</v>
      </c>
      <c r="F2041">
        <v>49.419971466</v>
      </c>
      <c r="G2041">
        <v>1337.7232666</v>
      </c>
      <c r="H2041">
        <v>1335.6859131000001</v>
      </c>
      <c r="I2041">
        <v>1328.3120117000001</v>
      </c>
      <c r="J2041">
        <v>1327.1328125</v>
      </c>
      <c r="K2041">
        <v>1650</v>
      </c>
      <c r="L2041">
        <v>0</v>
      </c>
      <c r="M2041">
        <v>0</v>
      </c>
      <c r="N2041">
        <v>1650</v>
      </c>
    </row>
    <row r="2042" spans="1:14" x14ac:dyDescent="0.25">
      <c r="A2042">
        <v>1474.635745</v>
      </c>
      <c r="B2042" s="1">
        <f>DATE(2014,5,14) + TIME(15,15,28)</f>
        <v>41773.635740740741</v>
      </c>
      <c r="C2042">
        <v>80</v>
      </c>
      <c r="D2042">
        <v>79.973854064999998</v>
      </c>
      <c r="E2042">
        <v>50</v>
      </c>
      <c r="F2042">
        <v>49.405914307000003</v>
      </c>
      <c r="G2042">
        <v>1337.7180175999999</v>
      </c>
      <c r="H2042">
        <v>1335.6855469</v>
      </c>
      <c r="I2042">
        <v>1328.3081055</v>
      </c>
      <c r="J2042">
        <v>1327.1270752</v>
      </c>
      <c r="K2042">
        <v>1650</v>
      </c>
      <c r="L2042">
        <v>0</v>
      </c>
      <c r="M2042">
        <v>0</v>
      </c>
      <c r="N2042">
        <v>1650</v>
      </c>
    </row>
    <row r="2043" spans="1:14" x14ac:dyDescent="0.25">
      <c r="A2043">
        <v>1475.065347</v>
      </c>
      <c r="B2043" s="1">
        <f>DATE(2014,5,15) + TIME(1,34,5)</f>
        <v>41774.065335648149</v>
      </c>
      <c r="C2043">
        <v>80</v>
      </c>
      <c r="D2043">
        <v>79.973793029999996</v>
      </c>
      <c r="E2043">
        <v>50</v>
      </c>
      <c r="F2043">
        <v>49.391624450999998</v>
      </c>
      <c r="G2043">
        <v>1337.7127685999999</v>
      </c>
      <c r="H2043">
        <v>1335.6853027</v>
      </c>
      <c r="I2043">
        <v>1328.3039550999999</v>
      </c>
      <c r="J2043">
        <v>1327.1209716999999</v>
      </c>
      <c r="K2043">
        <v>1650</v>
      </c>
      <c r="L2043">
        <v>0</v>
      </c>
      <c r="M2043">
        <v>0</v>
      </c>
      <c r="N2043">
        <v>1650</v>
      </c>
    </row>
    <row r="2044" spans="1:14" x14ac:dyDescent="0.25">
      <c r="A2044">
        <v>1475.5000239999999</v>
      </c>
      <c r="B2044" s="1">
        <f>DATE(2014,5,15) + TIME(12,0,2)</f>
        <v>41774.500023148146</v>
      </c>
      <c r="C2044">
        <v>80</v>
      </c>
      <c r="D2044">
        <v>79.973731994999994</v>
      </c>
      <c r="E2044">
        <v>50</v>
      </c>
      <c r="F2044">
        <v>49.377220154</v>
      </c>
      <c r="G2044">
        <v>1337.7075195</v>
      </c>
      <c r="H2044">
        <v>1335.6850586</v>
      </c>
      <c r="I2044">
        <v>1328.2996826000001</v>
      </c>
      <c r="J2044">
        <v>1327.1147461</v>
      </c>
      <c r="K2044">
        <v>1650</v>
      </c>
      <c r="L2044">
        <v>0</v>
      </c>
      <c r="M2044">
        <v>0</v>
      </c>
      <c r="N2044">
        <v>1650</v>
      </c>
    </row>
    <row r="2045" spans="1:14" x14ac:dyDescent="0.25">
      <c r="A2045">
        <v>1475.941448</v>
      </c>
      <c r="B2045" s="1">
        <f>DATE(2014,5,15) + TIME(22,35,41)</f>
        <v>41774.941446759258</v>
      </c>
      <c r="C2045">
        <v>80</v>
      </c>
      <c r="D2045">
        <v>79.973678589000002</v>
      </c>
      <c r="E2045">
        <v>50</v>
      </c>
      <c r="F2045">
        <v>49.362670897999998</v>
      </c>
      <c r="G2045">
        <v>1337.7023925999999</v>
      </c>
      <c r="H2045">
        <v>1335.6848144999999</v>
      </c>
      <c r="I2045">
        <v>1328.2954102000001</v>
      </c>
      <c r="J2045">
        <v>1327.1083983999999</v>
      </c>
      <c r="K2045">
        <v>1650</v>
      </c>
      <c r="L2045">
        <v>0</v>
      </c>
      <c r="M2045">
        <v>0</v>
      </c>
      <c r="N2045">
        <v>1650</v>
      </c>
    </row>
    <row r="2046" spans="1:14" x14ac:dyDescent="0.25">
      <c r="A2046">
        <v>1476.39129</v>
      </c>
      <c r="B2046" s="1">
        <f>DATE(2014,5,16) + TIME(9,23,27)</f>
        <v>41775.391284722224</v>
      </c>
      <c r="C2046">
        <v>80</v>
      </c>
      <c r="D2046">
        <v>79.973617554</v>
      </c>
      <c r="E2046">
        <v>50</v>
      </c>
      <c r="F2046">
        <v>49.347946167000003</v>
      </c>
      <c r="G2046">
        <v>1337.6973877</v>
      </c>
      <c r="H2046">
        <v>1335.6846923999999</v>
      </c>
      <c r="I2046">
        <v>1328.2910156</v>
      </c>
      <c r="J2046">
        <v>1327.1019286999999</v>
      </c>
      <c r="K2046">
        <v>1650</v>
      </c>
      <c r="L2046">
        <v>0</v>
      </c>
      <c r="M2046">
        <v>0</v>
      </c>
      <c r="N2046">
        <v>1650</v>
      </c>
    </row>
    <row r="2047" spans="1:14" x14ac:dyDescent="0.25">
      <c r="A2047">
        <v>1476.8503949999999</v>
      </c>
      <c r="B2047" s="1">
        <f>DATE(2014,5,16) + TIME(20,24,34)</f>
        <v>41775.850393518522</v>
      </c>
      <c r="C2047">
        <v>80</v>
      </c>
      <c r="D2047">
        <v>79.973564147999994</v>
      </c>
      <c r="E2047">
        <v>50</v>
      </c>
      <c r="F2047">
        <v>49.333042145</v>
      </c>
      <c r="G2047">
        <v>1337.6923827999999</v>
      </c>
      <c r="H2047">
        <v>1335.6844481999999</v>
      </c>
      <c r="I2047">
        <v>1328.286499</v>
      </c>
      <c r="J2047">
        <v>1327.0953368999999</v>
      </c>
      <c r="K2047">
        <v>1650</v>
      </c>
      <c r="L2047">
        <v>0</v>
      </c>
      <c r="M2047">
        <v>0</v>
      </c>
      <c r="N2047">
        <v>1650</v>
      </c>
    </row>
    <row r="2048" spans="1:14" x14ac:dyDescent="0.25">
      <c r="A2048">
        <v>1477.3196499999999</v>
      </c>
      <c r="B2048" s="1">
        <f>DATE(2014,5,17) + TIME(7,40,17)</f>
        <v>41776.319641203707</v>
      </c>
      <c r="C2048">
        <v>80</v>
      </c>
      <c r="D2048">
        <v>79.973503113000007</v>
      </c>
      <c r="E2048">
        <v>50</v>
      </c>
      <c r="F2048">
        <v>49.317932128999999</v>
      </c>
      <c r="G2048">
        <v>1337.6873779</v>
      </c>
      <c r="H2048">
        <v>1335.6843262</v>
      </c>
      <c r="I2048">
        <v>1328.2819824000001</v>
      </c>
      <c r="J2048">
        <v>1327.088501</v>
      </c>
      <c r="K2048">
        <v>1650</v>
      </c>
      <c r="L2048">
        <v>0</v>
      </c>
      <c r="M2048">
        <v>0</v>
      </c>
      <c r="N2048">
        <v>1650</v>
      </c>
    </row>
    <row r="2049" spans="1:14" x14ac:dyDescent="0.25">
      <c r="A2049">
        <v>1477.8009520000001</v>
      </c>
      <c r="B2049" s="1">
        <f>DATE(2014,5,17) + TIME(19,13,22)</f>
        <v>41776.800949074073</v>
      </c>
      <c r="C2049">
        <v>80</v>
      </c>
      <c r="D2049">
        <v>79.973442078000005</v>
      </c>
      <c r="E2049">
        <v>50</v>
      </c>
      <c r="F2049">
        <v>49.302581787000001</v>
      </c>
      <c r="G2049">
        <v>1337.6824951000001</v>
      </c>
      <c r="H2049">
        <v>1335.6842041</v>
      </c>
      <c r="I2049">
        <v>1328.2772216999999</v>
      </c>
      <c r="J2049">
        <v>1327.081543</v>
      </c>
      <c r="K2049">
        <v>1650</v>
      </c>
      <c r="L2049">
        <v>0</v>
      </c>
      <c r="M2049">
        <v>0</v>
      </c>
      <c r="N2049">
        <v>1650</v>
      </c>
    </row>
    <row r="2050" spans="1:14" x14ac:dyDescent="0.25">
      <c r="A2050">
        <v>1478.3017460000001</v>
      </c>
      <c r="B2050" s="1">
        <f>DATE(2014,5,18) + TIME(7,14,30)</f>
        <v>41777.301736111112</v>
      </c>
      <c r="C2050">
        <v>80</v>
      </c>
      <c r="D2050">
        <v>79.973388671999999</v>
      </c>
      <c r="E2050">
        <v>50</v>
      </c>
      <c r="F2050">
        <v>49.286815642999997</v>
      </c>
      <c r="G2050">
        <v>1337.6776123</v>
      </c>
      <c r="H2050">
        <v>1335.684082</v>
      </c>
      <c r="I2050">
        <v>1328.2723389</v>
      </c>
      <c r="J2050">
        <v>1327.0743408000001</v>
      </c>
      <c r="K2050">
        <v>1650</v>
      </c>
      <c r="L2050">
        <v>0</v>
      </c>
      <c r="M2050">
        <v>0</v>
      </c>
      <c r="N2050">
        <v>1650</v>
      </c>
    </row>
    <row r="2051" spans="1:14" x14ac:dyDescent="0.25">
      <c r="A2051">
        <v>1478.806971</v>
      </c>
      <c r="B2051" s="1">
        <f>DATE(2014,5,18) + TIME(19,22,2)</f>
        <v>41777.806967592594</v>
      </c>
      <c r="C2051">
        <v>80</v>
      </c>
      <c r="D2051">
        <v>79.973327636999997</v>
      </c>
      <c r="E2051">
        <v>50</v>
      </c>
      <c r="F2051">
        <v>49.270977019999997</v>
      </c>
      <c r="G2051">
        <v>1337.6726074000001</v>
      </c>
      <c r="H2051">
        <v>1335.684082</v>
      </c>
      <c r="I2051">
        <v>1328.2673339999999</v>
      </c>
      <c r="J2051">
        <v>1327.0668945</v>
      </c>
      <c r="K2051">
        <v>1650</v>
      </c>
      <c r="L2051">
        <v>0</v>
      </c>
      <c r="M2051">
        <v>0</v>
      </c>
      <c r="N2051">
        <v>1650</v>
      </c>
    </row>
    <row r="2052" spans="1:14" x14ac:dyDescent="0.25">
      <c r="A2052">
        <v>1479.317845</v>
      </c>
      <c r="B2052" s="1">
        <f>DATE(2014,5,19) + TIME(7,37,41)</f>
        <v>41778.317835648151</v>
      </c>
      <c r="C2052">
        <v>80</v>
      </c>
      <c r="D2052">
        <v>79.973266601999995</v>
      </c>
      <c r="E2052">
        <v>50</v>
      </c>
      <c r="F2052">
        <v>49.255050658999998</v>
      </c>
      <c r="G2052">
        <v>1337.6678466999999</v>
      </c>
      <c r="H2052">
        <v>1335.684082</v>
      </c>
      <c r="I2052">
        <v>1328.262207</v>
      </c>
      <c r="J2052">
        <v>1327.0592041</v>
      </c>
      <c r="K2052">
        <v>1650</v>
      </c>
      <c r="L2052">
        <v>0</v>
      </c>
      <c r="M2052">
        <v>0</v>
      </c>
      <c r="N2052">
        <v>1650</v>
      </c>
    </row>
    <row r="2053" spans="1:14" x14ac:dyDescent="0.25">
      <c r="A2053">
        <v>1479.836033</v>
      </c>
      <c r="B2053" s="1">
        <f>DATE(2014,5,19) + TIME(20,3,53)</f>
        <v>41778.836030092592</v>
      </c>
      <c r="C2053">
        <v>80</v>
      </c>
      <c r="D2053">
        <v>79.973213196000003</v>
      </c>
      <c r="E2053">
        <v>50</v>
      </c>
      <c r="F2053">
        <v>49.239017486999998</v>
      </c>
      <c r="G2053">
        <v>1337.6630858999999</v>
      </c>
      <c r="H2053">
        <v>1335.684082</v>
      </c>
      <c r="I2053">
        <v>1328.2570800999999</v>
      </c>
      <c r="J2053">
        <v>1327.0515137</v>
      </c>
      <c r="K2053">
        <v>1650</v>
      </c>
      <c r="L2053">
        <v>0</v>
      </c>
      <c r="M2053">
        <v>0</v>
      </c>
      <c r="N2053">
        <v>1650</v>
      </c>
    </row>
    <row r="2054" spans="1:14" x14ac:dyDescent="0.25">
      <c r="A2054">
        <v>1480.3632620000001</v>
      </c>
      <c r="B2054" s="1">
        <f>DATE(2014,5,20) + TIME(8,43,5)</f>
        <v>41779.363252314812</v>
      </c>
      <c r="C2054">
        <v>80</v>
      </c>
      <c r="D2054">
        <v>79.973152161000002</v>
      </c>
      <c r="E2054">
        <v>50</v>
      </c>
      <c r="F2054">
        <v>49.222850800000003</v>
      </c>
      <c r="G2054">
        <v>1337.6584473</v>
      </c>
      <c r="H2054">
        <v>1335.684082</v>
      </c>
      <c r="I2054">
        <v>1328.2517089999999</v>
      </c>
      <c r="J2054">
        <v>1327.0437012</v>
      </c>
      <c r="K2054">
        <v>1650</v>
      </c>
      <c r="L2054">
        <v>0</v>
      </c>
      <c r="M2054">
        <v>0</v>
      </c>
      <c r="N2054">
        <v>1650</v>
      </c>
    </row>
    <row r="2055" spans="1:14" x14ac:dyDescent="0.25">
      <c r="A2055">
        <v>1480.90139</v>
      </c>
      <c r="B2055" s="1">
        <f>DATE(2014,5,20) + TIME(21,38,0)</f>
        <v>41779.901388888888</v>
      </c>
      <c r="C2055">
        <v>80</v>
      </c>
      <c r="D2055">
        <v>79.973098754999995</v>
      </c>
      <c r="E2055">
        <v>50</v>
      </c>
      <c r="F2055">
        <v>49.206508636000002</v>
      </c>
      <c r="G2055">
        <v>1337.6538086</v>
      </c>
      <c r="H2055">
        <v>1335.684082</v>
      </c>
      <c r="I2055">
        <v>1328.2463379000001</v>
      </c>
      <c r="J2055">
        <v>1327.0357666</v>
      </c>
      <c r="K2055">
        <v>1650</v>
      </c>
      <c r="L2055">
        <v>0</v>
      </c>
      <c r="M2055">
        <v>0</v>
      </c>
      <c r="N2055">
        <v>1650</v>
      </c>
    </row>
    <row r="2056" spans="1:14" x14ac:dyDescent="0.25">
      <c r="A2056">
        <v>1481.4525490000001</v>
      </c>
      <c r="B2056" s="1">
        <f>DATE(2014,5,21) + TIME(10,51,40)</f>
        <v>41780.452546296299</v>
      </c>
      <c r="C2056">
        <v>80</v>
      </c>
      <c r="D2056">
        <v>79.973045349000003</v>
      </c>
      <c r="E2056">
        <v>50</v>
      </c>
      <c r="F2056">
        <v>49.189952849999997</v>
      </c>
      <c r="G2056">
        <v>1337.6492920000001</v>
      </c>
      <c r="H2056">
        <v>1335.684082</v>
      </c>
      <c r="I2056">
        <v>1328.2408447</v>
      </c>
      <c r="J2056">
        <v>1327.0275879000001</v>
      </c>
      <c r="K2056">
        <v>1650</v>
      </c>
      <c r="L2056">
        <v>0</v>
      </c>
      <c r="M2056">
        <v>0</v>
      </c>
      <c r="N2056">
        <v>1650</v>
      </c>
    </row>
    <row r="2057" spans="1:14" x14ac:dyDescent="0.25">
      <c r="A2057">
        <v>1482.0189640000001</v>
      </c>
      <c r="B2057" s="1">
        <f>DATE(2014,5,22) + TIME(0,27,18)</f>
        <v>41781.018958333334</v>
      </c>
      <c r="C2057">
        <v>80</v>
      </c>
      <c r="D2057">
        <v>79.972984314000001</v>
      </c>
      <c r="E2057">
        <v>50</v>
      </c>
      <c r="F2057">
        <v>49.173130035</v>
      </c>
      <c r="G2057">
        <v>1337.6447754000001</v>
      </c>
      <c r="H2057">
        <v>1335.684082</v>
      </c>
      <c r="I2057">
        <v>1328.2352295000001</v>
      </c>
      <c r="J2057">
        <v>1327.0191649999999</v>
      </c>
      <c r="K2057">
        <v>1650</v>
      </c>
      <c r="L2057">
        <v>0</v>
      </c>
      <c r="M2057">
        <v>0</v>
      </c>
      <c r="N2057">
        <v>1650</v>
      </c>
    </row>
    <row r="2058" spans="1:14" x14ac:dyDescent="0.25">
      <c r="A2058">
        <v>1482.603253</v>
      </c>
      <c r="B2058" s="1">
        <f>DATE(2014,5,22) + TIME(14,28,41)</f>
        <v>41781.603252314817</v>
      </c>
      <c r="C2058">
        <v>80</v>
      </c>
      <c r="D2058">
        <v>79.972930907999995</v>
      </c>
      <c r="E2058">
        <v>50</v>
      </c>
      <c r="F2058">
        <v>49.155982971</v>
      </c>
      <c r="G2058">
        <v>1337.6402588000001</v>
      </c>
      <c r="H2058">
        <v>1335.6842041</v>
      </c>
      <c r="I2058">
        <v>1328.2293701000001</v>
      </c>
      <c r="J2058">
        <v>1327.0104980000001</v>
      </c>
      <c r="K2058">
        <v>1650</v>
      </c>
      <c r="L2058">
        <v>0</v>
      </c>
      <c r="M2058">
        <v>0</v>
      </c>
      <c r="N2058">
        <v>1650</v>
      </c>
    </row>
    <row r="2059" spans="1:14" x14ac:dyDescent="0.25">
      <c r="A2059">
        <v>1483.208169</v>
      </c>
      <c r="B2059" s="1">
        <f>DATE(2014,5,23) + TIME(4,59,45)</f>
        <v>41782.20815972222</v>
      </c>
      <c r="C2059">
        <v>80</v>
      </c>
      <c r="D2059">
        <v>79.972877502000003</v>
      </c>
      <c r="E2059">
        <v>50</v>
      </c>
      <c r="F2059">
        <v>49.138458252</v>
      </c>
      <c r="G2059">
        <v>1337.6357422000001</v>
      </c>
      <c r="H2059">
        <v>1335.6843262</v>
      </c>
      <c r="I2059">
        <v>1328.2233887</v>
      </c>
      <c r="J2059">
        <v>1327.0015868999999</v>
      </c>
      <c r="K2059">
        <v>1650</v>
      </c>
      <c r="L2059">
        <v>0</v>
      </c>
      <c r="M2059">
        <v>0</v>
      </c>
      <c r="N2059">
        <v>1650</v>
      </c>
    </row>
    <row r="2060" spans="1:14" x14ac:dyDescent="0.25">
      <c r="A2060">
        <v>1483.8430920000001</v>
      </c>
      <c r="B2060" s="1">
        <f>DATE(2014,5,23) + TIME(20,14,3)</f>
        <v>41782.843090277776</v>
      </c>
      <c r="C2060">
        <v>80</v>
      </c>
      <c r="D2060">
        <v>79.972816467000001</v>
      </c>
      <c r="E2060">
        <v>50</v>
      </c>
      <c r="F2060">
        <v>49.120365143000001</v>
      </c>
      <c r="G2060">
        <v>1337.6312256000001</v>
      </c>
      <c r="H2060">
        <v>1335.6844481999999</v>
      </c>
      <c r="I2060">
        <v>1328.2172852000001</v>
      </c>
      <c r="J2060">
        <v>1326.9923096</v>
      </c>
      <c r="K2060">
        <v>1650</v>
      </c>
      <c r="L2060">
        <v>0</v>
      </c>
      <c r="M2060">
        <v>0</v>
      </c>
      <c r="N2060">
        <v>1650</v>
      </c>
    </row>
    <row r="2061" spans="1:14" x14ac:dyDescent="0.25">
      <c r="A2061">
        <v>1484.4880949999999</v>
      </c>
      <c r="B2061" s="1">
        <f>DATE(2014,5,24) + TIME(11,42,51)</f>
        <v>41783.48809027778</v>
      </c>
      <c r="C2061">
        <v>80</v>
      </c>
      <c r="D2061">
        <v>79.972763061999999</v>
      </c>
      <c r="E2061">
        <v>50</v>
      </c>
      <c r="F2061">
        <v>49.102054596000002</v>
      </c>
      <c r="G2061">
        <v>1337.6265868999999</v>
      </c>
      <c r="H2061">
        <v>1335.6845702999999</v>
      </c>
      <c r="I2061">
        <v>1328.2108154</v>
      </c>
      <c r="J2061">
        <v>1326.9826660000001</v>
      </c>
      <c r="K2061">
        <v>1650</v>
      </c>
      <c r="L2061">
        <v>0</v>
      </c>
      <c r="M2061">
        <v>0</v>
      </c>
      <c r="N2061">
        <v>1650</v>
      </c>
    </row>
    <row r="2062" spans="1:14" x14ac:dyDescent="0.25">
      <c r="A2062">
        <v>1485.1457559999999</v>
      </c>
      <c r="B2062" s="1">
        <f>DATE(2014,5,25) + TIME(3,29,53)</f>
        <v>41784.145752314813</v>
      </c>
      <c r="C2062">
        <v>80</v>
      </c>
      <c r="D2062">
        <v>79.972702025999993</v>
      </c>
      <c r="E2062">
        <v>50</v>
      </c>
      <c r="F2062">
        <v>49.083526611000003</v>
      </c>
      <c r="G2062">
        <v>1337.6220702999999</v>
      </c>
      <c r="H2062">
        <v>1335.6846923999999</v>
      </c>
      <c r="I2062">
        <v>1328.2042236</v>
      </c>
      <c r="J2062">
        <v>1326.9729004000001</v>
      </c>
      <c r="K2062">
        <v>1650</v>
      </c>
      <c r="L2062">
        <v>0</v>
      </c>
      <c r="M2062">
        <v>0</v>
      </c>
      <c r="N2062">
        <v>1650</v>
      </c>
    </row>
    <row r="2063" spans="1:14" x14ac:dyDescent="0.25">
      <c r="A2063">
        <v>1485.8195539999999</v>
      </c>
      <c r="B2063" s="1">
        <f>DATE(2014,5,25) + TIME(19,40,9)</f>
        <v>41784.819548611114</v>
      </c>
      <c r="C2063">
        <v>80</v>
      </c>
      <c r="D2063">
        <v>79.972648621000005</v>
      </c>
      <c r="E2063">
        <v>50</v>
      </c>
      <c r="F2063">
        <v>49.064731598000002</v>
      </c>
      <c r="G2063">
        <v>1337.6175536999999</v>
      </c>
      <c r="H2063">
        <v>1335.6848144999999</v>
      </c>
      <c r="I2063">
        <v>1328.1975098</v>
      </c>
      <c r="J2063">
        <v>1326.9627685999999</v>
      </c>
      <c r="K2063">
        <v>1650</v>
      </c>
      <c r="L2063">
        <v>0</v>
      </c>
      <c r="M2063">
        <v>0</v>
      </c>
      <c r="N2063">
        <v>1650</v>
      </c>
    </row>
    <row r="2064" spans="1:14" x14ac:dyDescent="0.25">
      <c r="A2064">
        <v>1486.5196370000001</v>
      </c>
      <c r="B2064" s="1">
        <f>DATE(2014,5,26) + TIME(12,28,16)</f>
        <v>41785.519629629627</v>
      </c>
      <c r="C2064">
        <v>80</v>
      </c>
      <c r="D2064">
        <v>79.972595214999998</v>
      </c>
      <c r="E2064">
        <v>50</v>
      </c>
      <c r="F2064">
        <v>49.045494079999997</v>
      </c>
      <c r="G2064">
        <v>1337.6130370999999</v>
      </c>
      <c r="H2064">
        <v>1335.6849365</v>
      </c>
      <c r="I2064">
        <v>1328.1905518000001</v>
      </c>
      <c r="J2064">
        <v>1326.9525146000001</v>
      </c>
      <c r="K2064">
        <v>1650</v>
      </c>
      <c r="L2064">
        <v>0</v>
      </c>
      <c r="M2064">
        <v>0</v>
      </c>
      <c r="N2064">
        <v>1650</v>
      </c>
    </row>
    <row r="2065" spans="1:14" x14ac:dyDescent="0.25">
      <c r="A2065">
        <v>1487.254758</v>
      </c>
      <c r="B2065" s="1">
        <f>DATE(2014,5,27) + TIME(6,6,51)</f>
        <v>41786.254756944443</v>
      </c>
      <c r="C2065">
        <v>80</v>
      </c>
      <c r="D2065">
        <v>79.972534179999997</v>
      </c>
      <c r="E2065">
        <v>50</v>
      </c>
      <c r="F2065">
        <v>49.025653839</v>
      </c>
      <c r="G2065">
        <v>1337.6085204999999</v>
      </c>
      <c r="H2065">
        <v>1335.6850586</v>
      </c>
      <c r="I2065">
        <v>1328.1833495999999</v>
      </c>
      <c r="J2065">
        <v>1326.9417725000001</v>
      </c>
      <c r="K2065">
        <v>1650</v>
      </c>
      <c r="L2065">
        <v>0</v>
      </c>
      <c r="M2065">
        <v>0</v>
      </c>
      <c r="N2065">
        <v>1650</v>
      </c>
    </row>
    <row r="2066" spans="1:14" x14ac:dyDescent="0.25">
      <c r="A2066">
        <v>1488.0318689999999</v>
      </c>
      <c r="B2066" s="1">
        <f>DATE(2014,5,28) + TIME(0,45,53)</f>
        <v>41787.031863425924</v>
      </c>
      <c r="C2066">
        <v>80</v>
      </c>
      <c r="D2066">
        <v>79.972480774000005</v>
      </c>
      <c r="E2066">
        <v>50</v>
      </c>
      <c r="F2066">
        <v>49.005062103</v>
      </c>
      <c r="G2066">
        <v>1337.6040039</v>
      </c>
      <c r="H2066">
        <v>1335.6851807</v>
      </c>
      <c r="I2066">
        <v>1328.1759033000001</v>
      </c>
      <c r="J2066">
        <v>1326.9305420000001</v>
      </c>
      <c r="K2066">
        <v>1650</v>
      </c>
      <c r="L2066">
        <v>0</v>
      </c>
      <c r="M2066">
        <v>0</v>
      </c>
      <c r="N2066">
        <v>1650</v>
      </c>
    </row>
    <row r="2067" spans="1:14" x14ac:dyDescent="0.25">
      <c r="A2067">
        <v>1488.8102799999999</v>
      </c>
      <c r="B2067" s="1">
        <f>DATE(2014,5,28) + TIME(19,26,48)</f>
        <v>41787.810277777775</v>
      </c>
      <c r="C2067">
        <v>80</v>
      </c>
      <c r="D2067">
        <v>79.972419739000003</v>
      </c>
      <c r="E2067">
        <v>50</v>
      </c>
      <c r="F2067">
        <v>48.984352112000003</v>
      </c>
      <c r="G2067">
        <v>1337.5992432</v>
      </c>
      <c r="H2067">
        <v>1335.6853027</v>
      </c>
      <c r="I2067">
        <v>1328.1680908000001</v>
      </c>
      <c r="J2067">
        <v>1326.9188231999999</v>
      </c>
      <c r="K2067">
        <v>1650</v>
      </c>
      <c r="L2067">
        <v>0</v>
      </c>
      <c r="M2067">
        <v>0</v>
      </c>
      <c r="N2067">
        <v>1650</v>
      </c>
    </row>
    <row r="2068" spans="1:14" x14ac:dyDescent="0.25">
      <c r="A2068">
        <v>1489.5902619999999</v>
      </c>
      <c r="B2068" s="1">
        <f>DATE(2014,5,29) + TIME(14,9,58)</f>
        <v>41788.590254629627</v>
      </c>
      <c r="C2068">
        <v>80</v>
      </c>
      <c r="D2068">
        <v>79.972366332999997</v>
      </c>
      <c r="E2068">
        <v>50</v>
      </c>
      <c r="F2068">
        <v>48.963645935000002</v>
      </c>
      <c r="G2068">
        <v>1337.5946045000001</v>
      </c>
      <c r="H2068">
        <v>1335.6855469</v>
      </c>
      <c r="I2068">
        <v>1328.1601562000001</v>
      </c>
      <c r="J2068">
        <v>1326.9069824000001</v>
      </c>
      <c r="K2068">
        <v>1650</v>
      </c>
      <c r="L2068">
        <v>0</v>
      </c>
      <c r="M2068">
        <v>0</v>
      </c>
      <c r="N2068">
        <v>1650</v>
      </c>
    </row>
    <row r="2069" spans="1:14" x14ac:dyDescent="0.25">
      <c r="A2069">
        <v>1490.3755679999999</v>
      </c>
      <c r="B2069" s="1">
        <f>DATE(2014,5,30) + TIME(9,0,49)</f>
        <v>41789.375567129631</v>
      </c>
      <c r="C2069">
        <v>80</v>
      </c>
      <c r="D2069">
        <v>79.972312927000004</v>
      </c>
      <c r="E2069">
        <v>50</v>
      </c>
      <c r="F2069">
        <v>48.942951202000003</v>
      </c>
      <c r="G2069">
        <v>1337.5902100000001</v>
      </c>
      <c r="H2069">
        <v>1335.6856689000001</v>
      </c>
      <c r="I2069">
        <v>1328.1523437999999</v>
      </c>
      <c r="J2069">
        <v>1326.8951416</v>
      </c>
      <c r="K2069">
        <v>1650</v>
      </c>
      <c r="L2069">
        <v>0</v>
      </c>
      <c r="M2069">
        <v>0</v>
      </c>
      <c r="N2069">
        <v>1650</v>
      </c>
    </row>
    <row r="2070" spans="1:14" x14ac:dyDescent="0.25">
      <c r="A2070">
        <v>1491.169279</v>
      </c>
      <c r="B2070" s="1">
        <f>DATE(2014,5,31) + TIME(4,3,45)</f>
        <v>41790.169270833336</v>
      </c>
      <c r="C2070">
        <v>80</v>
      </c>
      <c r="D2070">
        <v>79.972259520999998</v>
      </c>
      <c r="E2070">
        <v>50</v>
      </c>
      <c r="F2070">
        <v>48.922256470000001</v>
      </c>
      <c r="G2070">
        <v>1337.5858154</v>
      </c>
      <c r="H2070">
        <v>1335.6857910000001</v>
      </c>
      <c r="I2070">
        <v>1328.1442870999999</v>
      </c>
      <c r="J2070">
        <v>1326.8830565999999</v>
      </c>
      <c r="K2070">
        <v>1650</v>
      </c>
      <c r="L2070">
        <v>0</v>
      </c>
      <c r="M2070">
        <v>0</v>
      </c>
      <c r="N2070">
        <v>1650</v>
      </c>
    </row>
    <row r="2071" spans="1:14" x14ac:dyDescent="0.25">
      <c r="A2071">
        <v>1491.5846389999999</v>
      </c>
      <c r="B2071" s="1">
        <f>DATE(2014,5,31) + TIME(14,1,52)</f>
        <v>41790.584629629629</v>
      </c>
      <c r="C2071">
        <v>80</v>
      </c>
      <c r="D2071">
        <v>79.972213745000005</v>
      </c>
      <c r="E2071">
        <v>50</v>
      </c>
      <c r="F2071">
        <v>48.909118651999997</v>
      </c>
      <c r="G2071">
        <v>1337.5816649999999</v>
      </c>
      <c r="H2071">
        <v>1335.6860352000001</v>
      </c>
      <c r="I2071">
        <v>1328.1368408000001</v>
      </c>
      <c r="J2071">
        <v>1326.8720702999999</v>
      </c>
      <c r="K2071">
        <v>1650</v>
      </c>
      <c r="L2071">
        <v>0</v>
      </c>
      <c r="M2071">
        <v>0</v>
      </c>
      <c r="N2071">
        <v>1650</v>
      </c>
    </row>
    <row r="2072" spans="1:14" x14ac:dyDescent="0.25">
      <c r="A2072">
        <v>1492</v>
      </c>
      <c r="B2072" s="1">
        <f>DATE(2014,6,1) + TIME(0,0,0)</f>
        <v>41791</v>
      </c>
      <c r="C2072">
        <v>80</v>
      </c>
      <c r="D2072">
        <v>79.972183228000006</v>
      </c>
      <c r="E2072">
        <v>50</v>
      </c>
      <c r="F2072">
        <v>48.896617888999998</v>
      </c>
      <c r="G2072">
        <v>1337.5794678</v>
      </c>
      <c r="H2072">
        <v>1335.6860352000001</v>
      </c>
      <c r="I2072">
        <v>1328.1322021000001</v>
      </c>
      <c r="J2072">
        <v>1326.8649902</v>
      </c>
      <c r="K2072">
        <v>1650</v>
      </c>
      <c r="L2072">
        <v>0</v>
      </c>
      <c r="M2072">
        <v>0</v>
      </c>
      <c r="N2072">
        <v>1650</v>
      </c>
    </row>
    <row r="2073" spans="1:14" x14ac:dyDescent="0.25">
      <c r="A2073">
        <v>1492.830721</v>
      </c>
      <c r="B2073" s="1">
        <f>DATE(2014,6,1) + TIME(19,56,14)</f>
        <v>41791.830717592595</v>
      </c>
      <c r="C2073">
        <v>80</v>
      </c>
      <c r="D2073">
        <v>79.972145080999994</v>
      </c>
      <c r="E2073">
        <v>50</v>
      </c>
      <c r="F2073">
        <v>48.877323150999999</v>
      </c>
      <c r="G2073">
        <v>1337.5772704999999</v>
      </c>
      <c r="H2073">
        <v>1335.6861572</v>
      </c>
      <c r="I2073">
        <v>1328.1269531</v>
      </c>
      <c r="J2073">
        <v>1326.8569336</v>
      </c>
      <c r="K2073">
        <v>1650</v>
      </c>
      <c r="L2073">
        <v>0</v>
      </c>
      <c r="M2073">
        <v>0</v>
      </c>
      <c r="N2073">
        <v>1650</v>
      </c>
    </row>
    <row r="2074" spans="1:14" x14ac:dyDescent="0.25">
      <c r="A2074">
        <v>1493.6730110000001</v>
      </c>
      <c r="B2074" s="1">
        <f>DATE(2014,6,2) + TIME(16,9,8)</f>
        <v>41792.673009259262</v>
      </c>
      <c r="C2074">
        <v>80</v>
      </c>
      <c r="D2074">
        <v>79.972099303999997</v>
      </c>
      <c r="E2074">
        <v>50</v>
      </c>
      <c r="F2074">
        <v>48.857292174999998</v>
      </c>
      <c r="G2074">
        <v>1337.5731201000001</v>
      </c>
      <c r="H2074">
        <v>1335.6862793</v>
      </c>
      <c r="I2074">
        <v>1328.1190185999999</v>
      </c>
      <c r="J2074">
        <v>1326.8448486</v>
      </c>
      <c r="K2074">
        <v>1650</v>
      </c>
      <c r="L2074">
        <v>0</v>
      </c>
      <c r="M2074">
        <v>0</v>
      </c>
      <c r="N2074">
        <v>1650</v>
      </c>
    </row>
    <row r="2075" spans="1:14" x14ac:dyDescent="0.25">
      <c r="A2075">
        <v>1494.539264</v>
      </c>
      <c r="B2075" s="1">
        <f>DATE(2014,6,3) + TIME(12,56,32)</f>
        <v>41793.539259259262</v>
      </c>
      <c r="C2075">
        <v>80</v>
      </c>
      <c r="D2075">
        <v>79.972053528000004</v>
      </c>
      <c r="E2075">
        <v>50</v>
      </c>
      <c r="F2075">
        <v>48.836620330999999</v>
      </c>
      <c r="G2075">
        <v>1337.5689697</v>
      </c>
      <c r="H2075">
        <v>1335.6864014</v>
      </c>
      <c r="I2075">
        <v>1328.1107178</v>
      </c>
      <c r="J2075">
        <v>1326.8323975000001</v>
      </c>
      <c r="K2075">
        <v>1650</v>
      </c>
      <c r="L2075">
        <v>0</v>
      </c>
      <c r="M2075">
        <v>0</v>
      </c>
      <c r="N2075">
        <v>1650</v>
      </c>
    </row>
    <row r="2076" spans="1:14" x14ac:dyDescent="0.25">
      <c r="A2076">
        <v>1495.4336860000001</v>
      </c>
      <c r="B2076" s="1">
        <f>DATE(2014,6,4) + TIME(10,24,30)</f>
        <v>41794.433680555558</v>
      </c>
      <c r="C2076">
        <v>80</v>
      </c>
      <c r="D2076">
        <v>79.972000121999997</v>
      </c>
      <c r="E2076">
        <v>50</v>
      </c>
      <c r="F2076">
        <v>48.815380095999998</v>
      </c>
      <c r="G2076">
        <v>1337.5648193</v>
      </c>
      <c r="H2076">
        <v>1335.6865233999999</v>
      </c>
      <c r="I2076">
        <v>1328.1022949000001</v>
      </c>
      <c r="J2076">
        <v>1326.8195800999999</v>
      </c>
      <c r="K2076">
        <v>1650</v>
      </c>
      <c r="L2076">
        <v>0</v>
      </c>
      <c r="M2076">
        <v>0</v>
      </c>
      <c r="N2076">
        <v>1650</v>
      </c>
    </row>
    <row r="2077" spans="1:14" x14ac:dyDescent="0.25">
      <c r="A2077">
        <v>1496.3671159999999</v>
      </c>
      <c r="B2077" s="1">
        <f>DATE(2014,6,5) + TIME(8,48,38)</f>
        <v>41795.367106481484</v>
      </c>
      <c r="C2077">
        <v>80</v>
      </c>
      <c r="D2077">
        <v>79.971954346000004</v>
      </c>
      <c r="E2077">
        <v>50</v>
      </c>
      <c r="F2077">
        <v>48.793495178000001</v>
      </c>
      <c r="G2077">
        <v>1337.5606689000001</v>
      </c>
      <c r="H2077">
        <v>1335.6866454999999</v>
      </c>
      <c r="I2077">
        <v>1328.0935059000001</v>
      </c>
      <c r="J2077">
        <v>1326.8062743999999</v>
      </c>
      <c r="K2077">
        <v>1650</v>
      </c>
      <c r="L2077">
        <v>0</v>
      </c>
      <c r="M2077">
        <v>0</v>
      </c>
      <c r="N2077">
        <v>1650</v>
      </c>
    </row>
    <row r="2078" spans="1:14" x14ac:dyDescent="0.25">
      <c r="A2078">
        <v>1497.343742</v>
      </c>
      <c r="B2078" s="1">
        <f>DATE(2014,6,6) + TIME(8,14,59)</f>
        <v>41796.343738425923</v>
      </c>
      <c r="C2078">
        <v>80</v>
      </c>
      <c r="D2078">
        <v>79.971900939999998</v>
      </c>
      <c r="E2078">
        <v>50</v>
      </c>
      <c r="F2078">
        <v>48.770935059000003</v>
      </c>
      <c r="G2078">
        <v>1337.5563964999999</v>
      </c>
      <c r="H2078">
        <v>1335.6867675999999</v>
      </c>
      <c r="I2078">
        <v>1328.0843506000001</v>
      </c>
      <c r="J2078">
        <v>1326.7923584</v>
      </c>
      <c r="K2078">
        <v>1650</v>
      </c>
      <c r="L2078">
        <v>0</v>
      </c>
      <c r="M2078">
        <v>0</v>
      </c>
      <c r="N2078">
        <v>1650</v>
      </c>
    </row>
    <row r="2079" spans="1:14" x14ac:dyDescent="0.25">
      <c r="A2079">
        <v>1498.3522370000001</v>
      </c>
      <c r="B2079" s="1">
        <f>DATE(2014,6,7) + TIME(8,27,13)</f>
        <v>41797.352233796293</v>
      </c>
      <c r="C2079">
        <v>80</v>
      </c>
      <c r="D2079">
        <v>79.971855164000004</v>
      </c>
      <c r="E2079">
        <v>50</v>
      </c>
      <c r="F2079">
        <v>48.747848511000001</v>
      </c>
      <c r="G2079">
        <v>1337.552124</v>
      </c>
      <c r="H2079">
        <v>1335.6868896000001</v>
      </c>
      <c r="I2079">
        <v>1328.0748291</v>
      </c>
      <c r="J2079">
        <v>1326.7779541</v>
      </c>
      <c r="K2079">
        <v>1650</v>
      </c>
      <c r="L2079">
        <v>0</v>
      </c>
      <c r="M2079">
        <v>0</v>
      </c>
      <c r="N2079">
        <v>1650</v>
      </c>
    </row>
    <row r="2080" spans="1:14" x14ac:dyDescent="0.25">
      <c r="A2080">
        <v>1499.417404</v>
      </c>
      <c r="B2080" s="1">
        <f>DATE(2014,6,8) + TIME(10,1,3)</f>
        <v>41798.417395833334</v>
      </c>
      <c r="C2080">
        <v>80</v>
      </c>
      <c r="D2080">
        <v>79.971801757999998</v>
      </c>
      <c r="E2080">
        <v>50</v>
      </c>
      <c r="F2080">
        <v>48.724002837999997</v>
      </c>
      <c r="G2080">
        <v>1337.5478516000001</v>
      </c>
      <c r="H2080">
        <v>1335.6870117000001</v>
      </c>
      <c r="I2080">
        <v>1328.0649414</v>
      </c>
      <c r="J2080">
        <v>1326.7630615</v>
      </c>
      <c r="K2080">
        <v>1650</v>
      </c>
      <c r="L2080">
        <v>0</v>
      </c>
      <c r="M2080">
        <v>0</v>
      </c>
      <c r="N2080">
        <v>1650</v>
      </c>
    </row>
    <row r="2081" spans="1:14" x14ac:dyDescent="0.25">
      <c r="A2081">
        <v>1500.5308090000001</v>
      </c>
      <c r="B2081" s="1">
        <f>DATE(2014,6,9) + TIME(12,44,21)</f>
        <v>41799.530798611115</v>
      </c>
      <c r="C2081">
        <v>80</v>
      </c>
      <c r="D2081">
        <v>79.971755981000001</v>
      </c>
      <c r="E2081">
        <v>50</v>
      </c>
      <c r="F2081">
        <v>48.699455260999997</v>
      </c>
      <c r="G2081">
        <v>1337.543457</v>
      </c>
      <c r="H2081">
        <v>1335.6871338000001</v>
      </c>
      <c r="I2081">
        <v>1328.0546875</v>
      </c>
      <c r="J2081">
        <v>1326.7474365</v>
      </c>
      <c r="K2081">
        <v>1650</v>
      </c>
      <c r="L2081">
        <v>0</v>
      </c>
      <c r="M2081">
        <v>0</v>
      </c>
      <c r="N2081">
        <v>1650</v>
      </c>
    </row>
    <row r="2082" spans="1:14" x14ac:dyDescent="0.25">
      <c r="A2082">
        <v>1501.677921</v>
      </c>
      <c r="B2082" s="1">
        <f>DATE(2014,6,10) + TIME(16,16,12)</f>
        <v>41800.677916666667</v>
      </c>
      <c r="C2082">
        <v>80</v>
      </c>
      <c r="D2082">
        <v>79.971702575999998</v>
      </c>
      <c r="E2082">
        <v>50</v>
      </c>
      <c r="F2082">
        <v>48.674404144</v>
      </c>
      <c r="G2082">
        <v>1337.5390625</v>
      </c>
      <c r="H2082">
        <v>1335.6872559000001</v>
      </c>
      <c r="I2082">
        <v>1328.0440673999999</v>
      </c>
      <c r="J2082">
        <v>1326.7313231999999</v>
      </c>
      <c r="K2082">
        <v>1650</v>
      </c>
      <c r="L2082">
        <v>0</v>
      </c>
      <c r="M2082">
        <v>0</v>
      </c>
      <c r="N2082">
        <v>1650</v>
      </c>
    </row>
    <row r="2083" spans="1:14" x14ac:dyDescent="0.25">
      <c r="A2083">
        <v>1502.868481</v>
      </c>
      <c r="B2083" s="1">
        <f>DATE(2014,6,11) + TIME(20,50,36)</f>
        <v>41801.868472222224</v>
      </c>
      <c r="C2083">
        <v>80</v>
      </c>
      <c r="D2083">
        <v>79.971656799000002</v>
      </c>
      <c r="E2083">
        <v>50</v>
      </c>
      <c r="F2083">
        <v>48.648853301999999</v>
      </c>
      <c r="G2083">
        <v>1337.5345459</v>
      </c>
      <c r="H2083">
        <v>1335.6872559000001</v>
      </c>
      <c r="I2083">
        <v>1328.0332031</v>
      </c>
      <c r="J2083">
        <v>1326.7145995999999</v>
      </c>
      <c r="K2083">
        <v>1650</v>
      </c>
      <c r="L2083">
        <v>0</v>
      </c>
      <c r="M2083">
        <v>0</v>
      </c>
      <c r="N2083">
        <v>1650</v>
      </c>
    </row>
    <row r="2084" spans="1:14" x14ac:dyDescent="0.25">
      <c r="A2084">
        <v>1504.1069709999999</v>
      </c>
      <c r="B2084" s="1">
        <f>DATE(2014,6,13) + TIME(2,34,2)</f>
        <v>41803.10696759259</v>
      </c>
      <c r="C2084">
        <v>80</v>
      </c>
      <c r="D2084">
        <v>79.971603393999999</v>
      </c>
      <c r="E2084">
        <v>50</v>
      </c>
      <c r="F2084">
        <v>48.622806549000003</v>
      </c>
      <c r="G2084">
        <v>1337.5301514</v>
      </c>
      <c r="H2084">
        <v>1335.6873779</v>
      </c>
      <c r="I2084">
        <v>1328.0219727000001</v>
      </c>
      <c r="J2084">
        <v>1326.6973877</v>
      </c>
      <c r="K2084">
        <v>1650</v>
      </c>
      <c r="L2084">
        <v>0</v>
      </c>
      <c r="M2084">
        <v>0</v>
      </c>
      <c r="N2084">
        <v>1650</v>
      </c>
    </row>
    <row r="2085" spans="1:14" x14ac:dyDescent="0.25">
      <c r="A2085">
        <v>1505.3595780000001</v>
      </c>
      <c r="B2085" s="1">
        <f>DATE(2014,6,14) + TIME(8,37,47)</f>
        <v>41804.359571759262</v>
      </c>
      <c r="C2085">
        <v>80</v>
      </c>
      <c r="D2085">
        <v>79.971557617000002</v>
      </c>
      <c r="E2085">
        <v>50</v>
      </c>
      <c r="F2085">
        <v>48.596637725999997</v>
      </c>
      <c r="G2085">
        <v>1337.5256348</v>
      </c>
      <c r="H2085">
        <v>1335.6873779</v>
      </c>
      <c r="I2085">
        <v>1328.0104980000001</v>
      </c>
      <c r="J2085">
        <v>1326.6796875</v>
      </c>
      <c r="K2085">
        <v>1650</v>
      </c>
      <c r="L2085">
        <v>0</v>
      </c>
      <c r="M2085">
        <v>0</v>
      </c>
      <c r="N2085">
        <v>1650</v>
      </c>
    </row>
    <row r="2086" spans="1:14" x14ac:dyDescent="0.25">
      <c r="A2086">
        <v>1506.624802</v>
      </c>
      <c r="B2086" s="1">
        <f>DATE(2014,6,15) + TIME(14,59,42)</f>
        <v>41805.624791666669</v>
      </c>
      <c r="C2086">
        <v>80</v>
      </c>
      <c r="D2086">
        <v>79.971511840999995</v>
      </c>
      <c r="E2086">
        <v>50</v>
      </c>
      <c r="F2086">
        <v>48.570575714</v>
      </c>
      <c r="G2086">
        <v>1337.5212402</v>
      </c>
      <c r="H2086">
        <v>1335.6873779</v>
      </c>
      <c r="I2086">
        <v>1327.9987793</v>
      </c>
      <c r="J2086">
        <v>1326.6618652</v>
      </c>
      <c r="K2086">
        <v>1650</v>
      </c>
      <c r="L2086">
        <v>0</v>
      </c>
      <c r="M2086">
        <v>0</v>
      </c>
      <c r="N2086">
        <v>1650</v>
      </c>
    </row>
    <row r="2087" spans="1:14" x14ac:dyDescent="0.25">
      <c r="A2087">
        <v>1507.8960770000001</v>
      </c>
      <c r="B2087" s="1">
        <f>DATE(2014,6,16) + TIME(21,30,21)</f>
        <v>41806.89607638889</v>
      </c>
      <c r="C2087">
        <v>80</v>
      </c>
      <c r="D2087">
        <v>79.971466063999998</v>
      </c>
      <c r="E2087">
        <v>50</v>
      </c>
      <c r="F2087">
        <v>48.544822693</v>
      </c>
      <c r="G2087">
        <v>1337.5169678</v>
      </c>
      <c r="H2087">
        <v>1335.6873779</v>
      </c>
      <c r="I2087">
        <v>1327.9871826000001</v>
      </c>
      <c r="J2087">
        <v>1326.6437988</v>
      </c>
      <c r="K2087">
        <v>1650</v>
      </c>
      <c r="L2087">
        <v>0</v>
      </c>
      <c r="M2087">
        <v>0</v>
      </c>
      <c r="N2087">
        <v>1650</v>
      </c>
    </row>
    <row r="2088" spans="1:14" x14ac:dyDescent="0.25">
      <c r="A2088">
        <v>1509.180267</v>
      </c>
      <c r="B2088" s="1">
        <f>DATE(2014,6,18) + TIME(4,19,35)</f>
        <v>41808.180266203701</v>
      </c>
      <c r="C2088">
        <v>80</v>
      </c>
      <c r="D2088">
        <v>79.971420288000004</v>
      </c>
      <c r="E2088">
        <v>50</v>
      </c>
      <c r="F2088">
        <v>48.519435883</v>
      </c>
      <c r="G2088">
        <v>1337.5126952999999</v>
      </c>
      <c r="H2088">
        <v>1335.6872559000001</v>
      </c>
      <c r="I2088">
        <v>1327.9754639</v>
      </c>
      <c r="J2088">
        <v>1326.6257324000001</v>
      </c>
      <c r="K2088">
        <v>1650</v>
      </c>
      <c r="L2088">
        <v>0</v>
      </c>
      <c r="M2088">
        <v>0</v>
      </c>
      <c r="N2088">
        <v>1650</v>
      </c>
    </row>
    <row r="2089" spans="1:14" x14ac:dyDescent="0.25">
      <c r="A2089">
        <v>1510.4846170000001</v>
      </c>
      <c r="B2089" s="1">
        <f>DATE(2014,6,19) + TIME(11,37,50)</f>
        <v>41809.484606481485</v>
      </c>
      <c r="C2089">
        <v>80</v>
      </c>
      <c r="D2089">
        <v>79.971374511999997</v>
      </c>
      <c r="E2089">
        <v>50</v>
      </c>
      <c r="F2089">
        <v>48.494396209999998</v>
      </c>
      <c r="G2089">
        <v>1337.5081786999999</v>
      </c>
      <c r="H2089">
        <v>1335.6868896000001</v>
      </c>
      <c r="I2089">
        <v>1327.9638672000001</v>
      </c>
      <c r="J2089">
        <v>1326.6076660000001</v>
      </c>
      <c r="K2089">
        <v>1650</v>
      </c>
      <c r="L2089">
        <v>0</v>
      </c>
      <c r="M2089">
        <v>0</v>
      </c>
      <c r="N2089">
        <v>1650</v>
      </c>
    </row>
    <row r="2090" spans="1:14" x14ac:dyDescent="0.25">
      <c r="A2090">
        <v>1511.8158599999999</v>
      </c>
      <c r="B2090" s="1">
        <f>DATE(2014,6,20) + TIME(19,34,50)</f>
        <v>41810.81585648148</v>
      </c>
      <c r="C2090">
        <v>80</v>
      </c>
      <c r="D2090">
        <v>79.971336364999999</v>
      </c>
      <c r="E2090">
        <v>50</v>
      </c>
      <c r="F2090">
        <v>48.469676970999998</v>
      </c>
      <c r="G2090">
        <v>1337.5036620999999</v>
      </c>
      <c r="H2090">
        <v>1335.6866454999999</v>
      </c>
      <c r="I2090">
        <v>1327.9521483999999</v>
      </c>
      <c r="J2090">
        <v>1326.5895995999999</v>
      </c>
      <c r="K2090">
        <v>1650</v>
      </c>
      <c r="L2090">
        <v>0</v>
      </c>
      <c r="M2090">
        <v>0</v>
      </c>
      <c r="N2090">
        <v>1650</v>
      </c>
    </row>
    <row r="2091" spans="1:14" x14ac:dyDescent="0.25">
      <c r="A2091">
        <v>1513.181182</v>
      </c>
      <c r="B2091" s="1">
        <f>DATE(2014,6,22) + TIME(4,20,54)</f>
        <v>41812.181180555555</v>
      </c>
      <c r="C2091">
        <v>80</v>
      </c>
      <c r="D2091">
        <v>79.971298218000001</v>
      </c>
      <c r="E2091">
        <v>50</v>
      </c>
      <c r="F2091">
        <v>48.445247649999999</v>
      </c>
      <c r="G2091">
        <v>1337.4993896000001</v>
      </c>
      <c r="H2091">
        <v>1335.6862793</v>
      </c>
      <c r="I2091">
        <v>1327.9404297000001</v>
      </c>
      <c r="J2091">
        <v>1326.5711670000001</v>
      </c>
      <c r="K2091">
        <v>1650</v>
      </c>
      <c r="L2091">
        <v>0</v>
      </c>
      <c r="M2091">
        <v>0</v>
      </c>
      <c r="N2091">
        <v>1650</v>
      </c>
    </row>
    <row r="2092" spans="1:14" x14ac:dyDescent="0.25">
      <c r="A2092">
        <v>1514.5918389999999</v>
      </c>
      <c r="B2092" s="1">
        <f>DATE(2014,6,23) + TIME(14,12,14)</f>
        <v>41813.591828703706</v>
      </c>
      <c r="C2092">
        <v>80</v>
      </c>
      <c r="D2092">
        <v>79.971252441000004</v>
      </c>
      <c r="E2092">
        <v>50</v>
      </c>
      <c r="F2092">
        <v>48.421070098999998</v>
      </c>
      <c r="G2092">
        <v>1337.4949951000001</v>
      </c>
      <c r="H2092">
        <v>1335.6860352000001</v>
      </c>
      <c r="I2092">
        <v>1327.9285889</v>
      </c>
      <c r="J2092">
        <v>1326.5526123</v>
      </c>
      <c r="K2092">
        <v>1650</v>
      </c>
      <c r="L2092">
        <v>0</v>
      </c>
      <c r="M2092">
        <v>0</v>
      </c>
      <c r="N2092">
        <v>1650</v>
      </c>
    </row>
    <row r="2093" spans="1:14" x14ac:dyDescent="0.25">
      <c r="A2093">
        <v>1516.0840089999999</v>
      </c>
      <c r="B2093" s="1">
        <f>DATE(2014,6,25) + TIME(2,0,58)</f>
        <v>41815.084004629629</v>
      </c>
      <c r="C2093">
        <v>80</v>
      </c>
      <c r="D2093">
        <v>79.971214294000006</v>
      </c>
      <c r="E2093">
        <v>50</v>
      </c>
      <c r="F2093">
        <v>48.396945952999999</v>
      </c>
      <c r="G2093">
        <v>1337.4907227000001</v>
      </c>
      <c r="H2093">
        <v>1335.6856689000001</v>
      </c>
      <c r="I2093">
        <v>1327.9163818</v>
      </c>
      <c r="J2093">
        <v>1326.5335693</v>
      </c>
      <c r="K2093">
        <v>1650</v>
      </c>
      <c r="L2093">
        <v>0</v>
      </c>
      <c r="M2093">
        <v>0</v>
      </c>
      <c r="N2093">
        <v>1650</v>
      </c>
    </row>
    <row r="2094" spans="1:14" x14ac:dyDescent="0.25">
      <c r="A2094">
        <v>1517.6744120000001</v>
      </c>
      <c r="B2094" s="1">
        <f>DATE(2014,6,26) + TIME(16,11,9)</f>
        <v>41816.674409722225</v>
      </c>
      <c r="C2094">
        <v>80</v>
      </c>
      <c r="D2094">
        <v>79.971183776999993</v>
      </c>
      <c r="E2094">
        <v>50</v>
      </c>
      <c r="F2094">
        <v>48.372779846</v>
      </c>
      <c r="G2094">
        <v>1337.4863281</v>
      </c>
      <c r="H2094">
        <v>1335.6853027</v>
      </c>
      <c r="I2094">
        <v>1327.9039307</v>
      </c>
      <c r="J2094">
        <v>1326.5137939000001</v>
      </c>
      <c r="K2094">
        <v>1650</v>
      </c>
      <c r="L2094">
        <v>0</v>
      </c>
      <c r="M2094">
        <v>0</v>
      </c>
      <c r="N2094">
        <v>1650</v>
      </c>
    </row>
    <row r="2095" spans="1:14" x14ac:dyDescent="0.25">
      <c r="A2095">
        <v>1519.3498219999999</v>
      </c>
      <c r="B2095" s="1">
        <f>DATE(2014,6,28) + TIME(8,23,44)</f>
        <v>41818.349814814814</v>
      </c>
      <c r="C2095">
        <v>80</v>
      </c>
      <c r="D2095">
        <v>79.971145629999995</v>
      </c>
      <c r="E2095">
        <v>50</v>
      </c>
      <c r="F2095">
        <v>48.348804473999998</v>
      </c>
      <c r="G2095">
        <v>1337.4818115</v>
      </c>
      <c r="H2095">
        <v>1335.6849365</v>
      </c>
      <c r="I2095">
        <v>1327.8908690999999</v>
      </c>
      <c r="J2095">
        <v>1326.4931641000001</v>
      </c>
      <c r="K2095">
        <v>1650</v>
      </c>
      <c r="L2095">
        <v>0</v>
      </c>
      <c r="M2095">
        <v>0</v>
      </c>
      <c r="N2095">
        <v>1650</v>
      </c>
    </row>
    <row r="2096" spans="1:14" x14ac:dyDescent="0.25">
      <c r="A2096">
        <v>1521.065409</v>
      </c>
      <c r="B2096" s="1">
        <f>DATE(2014,6,30) + TIME(1,34,11)</f>
        <v>41820.065405092595</v>
      </c>
      <c r="C2096">
        <v>80</v>
      </c>
      <c r="D2096">
        <v>79.971107482999997</v>
      </c>
      <c r="E2096">
        <v>50</v>
      </c>
      <c r="F2096">
        <v>48.325668335000003</v>
      </c>
      <c r="G2096">
        <v>1337.4772949000001</v>
      </c>
      <c r="H2096">
        <v>1335.6845702999999</v>
      </c>
      <c r="I2096">
        <v>1327.8774414</v>
      </c>
      <c r="J2096">
        <v>1326.4718018000001</v>
      </c>
      <c r="K2096">
        <v>1650</v>
      </c>
      <c r="L2096">
        <v>0</v>
      </c>
      <c r="M2096">
        <v>0</v>
      </c>
      <c r="N2096">
        <v>1650</v>
      </c>
    </row>
    <row r="2097" spans="1:14" x14ac:dyDescent="0.25">
      <c r="A2097">
        <v>1522</v>
      </c>
      <c r="B2097" s="1">
        <f>DATE(2014,7,1) + TIME(0,0,0)</f>
        <v>41821</v>
      </c>
      <c r="C2097">
        <v>80</v>
      </c>
      <c r="D2097">
        <v>79.971069335999999</v>
      </c>
      <c r="E2097">
        <v>50</v>
      </c>
      <c r="F2097">
        <v>48.309646606000001</v>
      </c>
      <c r="G2097">
        <v>1337.4727783000001</v>
      </c>
      <c r="H2097">
        <v>1335.6842041</v>
      </c>
      <c r="I2097">
        <v>1327.8647461</v>
      </c>
      <c r="J2097">
        <v>1326.4514160000001</v>
      </c>
      <c r="K2097">
        <v>1650</v>
      </c>
      <c r="L2097">
        <v>0</v>
      </c>
      <c r="M2097">
        <v>0</v>
      </c>
      <c r="N2097">
        <v>1650</v>
      </c>
    </row>
    <row r="2098" spans="1:14" x14ac:dyDescent="0.25">
      <c r="A2098">
        <v>1522.882711</v>
      </c>
      <c r="B2098" s="1">
        <f>DATE(2014,7,1) + TIME(21,11,6)</f>
        <v>41821.882708333331</v>
      </c>
      <c r="C2098">
        <v>80</v>
      </c>
      <c r="D2098">
        <v>79.971038817999997</v>
      </c>
      <c r="E2098">
        <v>50</v>
      </c>
      <c r="F2098">
        <v>48.296905518000003</v>
      </c>
      <c r="G2098">
        <v>1337.4704589999999</v>
      </c>
      <c r="H2098">
        <v>1335.6839600000001</v>
      </c>
      <c r="I2098">
        <v>1327.8560791</v>
      </c>
      <c r="J2098">
        <v>1326.4373779</v>
      </c>
      <c r="K2098">
        <v>1650</v>
      </c>
      <c r="L2098">
        <v>0</v>
      </c>
      <c r="M2098">
        <v>0</v>
      </c>
      <c r="N2098">
        <v>1650</v>
      </c>
    </row>
    <row r="2099" spans="1:14" x14ac:dyDescent="0.25">
      <c r="A2099">
        <v>1523.7654219999999</v>
      </c>
      <c r="B2099" s="1">
        <f>DATE(2014,7,2) + TIME(18,22,12)</f>
        <v>41822.765416666669</v>
      </c>
      <c r="C2099">
        <v>80</v>
      </c>
      <c r="D2099">
        <v>79.971023560000006</v>
      </c>
      <c r="E2099">
        <v>50</v>
      </c>
      <c r="F2099">
        <v>48.286140441999997</v>
      </c>
      <c r="G2099">
        <v>1337.4682617000001</v>
      </c>
      <c r="H2099">
        <v>1335.6837158000001</v>
      </c>
      <c r="I2099">
        <v>1327.8483887</v>
      </c>
      <c r="J2099">
        <v>1326.4246826000001</v>
      </c>
      <c r="K2099">
        <v>1650</v>
      </c>
      <c r="L2099">
        <v>0</v>
      </c>
      <c r="M2099">
        <v>0</v>
      </c>
      <c r="N2099">
        <v>1650</v>
      </c>
    </row>
    <row r="2100" spans="1:14" x14ac:dyDescent="0.25">
      <c r="A2100">
        <v>1524.648134</v>
      </c>
      <c r="B2100" s="1">
        <f>DATE(2014,7,3) + TIME(15,33,18)</f>
        <v>41823.648125</v>
      </c>
      <c r="C2100">
        <v>80</v>
      </c>
      <c r="D2100">
        <v>79.971000670999999</v>
      </c>
      <c r="E2100">
        <v>50</v>
      </c>
      <c r="F2100">
        <v>48.276893616000002</v>
      </c>
      <c r="G2100">
        <v>1337.4661865</v>
      </c>
      <c r="H2100">
        <v>1335.6835937999999</v>
      </c>
      <c r="I2100">
        <v>1327.8410644999999</v>
      </c>
      <c r="J2100">
        <v>1326.4128418</v>
      </c>
      <c r="K2100">
        <v>1650</v>
      </c>
      <c r="L2100">
        <v>0</v>
      </c>
      <c r="M2100">
        <v>0</v>
      </c>
      <c r="N2100">
        <v>1650</v>
      </c>
    </row>
    <row r="2101" spans="1:14" x14ac:dyDescent="0.25">
      <c r="A2101">
        <v>1525.530845</v>
      </c>
      <c r="B2101" s="1">
        <f>DATE(2014,7,4) + TIME(12,44,25)</f>
        <v>41824.530844907407</v>
      </c>
      <c r="C2101">
        <v>80</v>
      </c>
      <c r="D2101">
        <v>79.970985412999994</v>
      </c>
      <c r="E2101">
        <v>50</v>
      </c>
      <c r="F2101">
        <v>48.268936156999999</v>
      </c>
      <c r="G2101">
        <v>1337.4641113</v>
      </c>
      <c r="H2101">
        <v>1335.6833495999999</v>
      </c>
      <c r="I2101">
        <v>1327.8341064000001</v>
      </c>
      <c r="J2101">
        <v>1326.4014893000001</v>
      </c>
      <c r="K2101">
        <v>1650</v>
      </c>
      <c r="L2101">
        <v>0</v>
      </c>
      <c r="M2101">
        <v>0</v>
      </c>
      <c r="N2101">
        <v>1650</v>
      </c>
    </row>
    <row r="2102" spans="1:14" x14ac:dyDescent="0.25">
      <c r="A2102">
        <v>1526.413556</v>
      </c>
      <c r="B2102" s="1">
        <f>DATE(2014,7,5) + TIME(9,55,31)</f>
        <v>41825.413553240738</v>
      </c>
      <c r="C2102">
        <v>80</v>
      </c>
      <c r="D2102">
        <v>79.970970154</v>
      </c>
      <c r="E2102">
        <v>50</v>
      </c>
      <c r="F2102">
        <v>48.262165070000002</v>
      </c>
      <c r="G2102">
        <v>1337.4620361</v>
      </c>
      <c r="H2102">
        <v>1335.6831055</v>
      </c>
      <c r="I2102">
        <v>1327.8273925999999</v>
      </c>
      <c r="J2102">
        <v>1326.3903809000001</v>
      </c>
      <c r="K2102">
        <v>1650</v>
      </c>
      <c r="L2102">
        <v>0</v>
      </c>
      <c r="M2102">
        <v>0</v>
      </c>
      <c r="N2102">
        <v>1650</v>
      </c>
    </row>
    <row r="2103" spans="1:14" x14ac:dyDescent="0.25">
      <c r="A2103">
        <v>1527.2962669999999</v>
      </c>
      <c r="B2103" s="1">
        <f>DATE(2014,7,6) + TIME(7,6,37)</f>
        <v>41826.296261574076</v>
      </c>
      <c r="C2103">
        <v>80</v>
      </c>
      <c r="D2103">
        <v>79.970962524000001</v>
      </c>
      <c r="E2103">
        <v>50</v>
      </c>
      <c r="F2103">
        <v>48.256565094000003</v>
      </c>
      <c r="G2103">
        <v>1337.4599608999999</v>
      </c>
      <c r="H2103">
        <v>1335.6828613</v>
      </c>
      <c r="I2103">
        <v>1327.8208007999999</v>
      </c>
      <c r="J2103">
        <v>1326.3795166</v>
      </c>
      <c r="K2103">
        <v>1650</v>
      </c>
      <c r="L2103">
        <v>0</v>
      </c>
      <c r="M2103">
        <v>0</v>
      </c>
      <c r="N2103">
        <v>1650</v>
      </c>
    </row>
    <row r="2104" spans="1:14" x14ac:dyDescent="0.25">
      <c r="A2104">
        <v>1528.178979</v>
      </c>
      <c r="B2104" s="1">
        <f>DATE(2014,7,7) + TIME(4,17,43)</f>
        <v>41827.178969907407</v>
      </c>
      <c r="C2104">
        <v>80</v>
      </c>
      <c r="D2104">
        <v>79.970947265999996</v>
      </c>
      <c r="E2104">
        <v>50</v>
      </c>
      <c r="F2104">
        <v>48.252174377000003</v>
      </c>
      <c r="G2104">
        <v>1337.4580077999999</v>
      </c>
      <c r="H2104">
        <v>1335.6827393000001</v>
      </c>
      <c r="I2104">
        <v>1327.8143310999999</v>
      </c>
      <c r="J2104">
        <v>1326.3687743999999</v>
      </c>
      <c r="K2104">
        <v>1650</v>
      </c>
      <c r="L2104">
        <v>0</v>
      </c>
      <c r="M2104">
        <v>0</v>
      </c>
      <c r="N2104">
        <v>1650</v>
      </c>
    </row>
    <row r="2105" spans="1:14" x14ac:dyDescent="0.25">
      <c r="A2105">
        <v>1529.944401</v>
      </c>
      <c r="B2105" s="1">
        <f>DATE(2014,7,8) + TIME(22,39,56)</f>
        <v>41828.944398148145</v>
      </c>
      <c r="C2105">
        <v>80</v>
      </c>
      <c r="D2105">
        <v>79.970939635999997</v>
      </c>
      <c r="E2105">
        <v>50</v>
      </c>
      <c r="F2105">
        <v>48.247810364000003</v>
      </c>
      <c r="G2105">
        <v>1337.4560547000001</v>
      </c>
      <c r="H2105">
        <v>1335.6824951000001</v>
      </c>
      <c r="I2105">
        <v>1327.8073730000001</v>
      </c>
      <c r="J2105">
        <v>1326.3570557</v>
      </c>
      <c r="K2105">
        <v>1650</v>
      </c>
      <c r="L2105">
        <v>0</v>
      </c>
      <c r="M2105">
        <v>0</v>
      </c>
      <c r="N2105">
        <v>1650</v>
      </c>
    </row>
    <row r="2106" spans="1:14" x14ac:dyDescent="0.25">
      <c r="A2106">
        <v>1531.7318299999999</v>
      </c>
      <c r="B2106" s="1">
        <f>DATE(2014,7,10) + TIME(17,33,50)</f>
        <v>41830.731828703705</v>
      </c>
      <c r="C2106">
        <v>80</v>
      </c>
      <c r="D2106">
        <v>79.970924377000003</v>
      </c>
      <c r="E2106">
        <v>50</v>
      </c>
      <c r="F2106">
        <v>48.246044159</v>
      </c>
      <c r="G2106">
        <v>1337.4521483999999</v>
      </c>
      <c r="H2106">
        <v>1335.6820068</v>
      </c>
      <c r="I2106">
        <v>1327.7969971</v>
      </c>
      <c r="J2106">
        <v>1326.3397216999999</v>
      </c>
      <c r="K2106">
        <v>1650</v>
      </c>
      <c r="L2106">
        <v>0</v>
      </c>
      <c r="M2106">
        <v>0</v>
      </c>
      <c r="N2106">
        <v>1650</v>
      </c>
    </row>
    <row r="2107" spans="1:14" x14ac:dyDescent="0.25">
      <c r="A2107">
        <v>1532.6830179999999</v>
      </c>
      <c r="B2107" s="1">
        <f>DATE(2014,7,11) + TIME(16,23,32)</f>
        <v>41831.683009259257</v>
      </c>
      <c r="C2107">
        <v>80</v>
      </c>
      <c r="D2107">
        <v>79.970893860000004</v>
      </c>
      <c r="E2107">
        <v>50</v>
      </c>
      <c r="F2107">
        <v>48.248367309999999</v>
      </c>
      <c r="G2107">
        <v>1337.4482422000001</v>
      </c>
      <c r="H2107">
        <v>1335.6815185999999</v>
      </c>
      <c r="I2107">
        <v>1327.7866211</v>
      </c>
      <c r="J2107">
        <v>1326.3218993999999</v>
      </c>
      <c r="K2107">
        <v>1650</v>
      </c>
      <c r="L2107">
        <v>0</v>
      </c>
      <c r="M2107">
        <v>0</v>
      </c>
      <c r="N2107">
        <v>1650</v>
      </c>
    </row>
    <row r="2108" spans="1:14" x14ac:dyDescent="0.25">
      <c r="A2108">
        <v>1533.6342059999999</v>
      </c>
      <c r="B2108" s="1">
        <f>DATE(2014,7,12) + TIME(15,13,15)</f>
        <v>41832.634201388886</v>
      </c>
      <c r="C2108">
        <v>80</v>
      </c>
      <c r="D2108">
        <v>79.970878600999995</v>
      </c>
      <c r="E2108">
        <v>50</v>
      </c>
      <c r="F2108">
        <v>48.252929688000002</v>
      </c>
      <c r="G2108">
        <v>1337.4462891000001</v>
      </c>
      <c r="H2108">
        <v>1335.6812743999999</v>
      </c>
      <c r="I2108">
        <v>1327.7791748</v>
      </c>
      <c r="J2108">
        <v>1326.3092041</v>
      </c>
      <c r="K2108">
        <v>1650</v>
      </c>
      <c r="L2108">
        <v>0</v>
      </c>
      <c r="M2108">
        <v>0</v>
      </c>
      <c r="N2108">
        <v>1650</v>
      </c>
    </row>
    <row r="2109" spans="1:14" x14ac:dyDescent="0.25">
      <c r="A2109">
        <v>1534.585394</v>
      </c>
      <c r="B2109" s="1">
        <f>DATE(2014,7,13) + TIME(14,2,58)</f>
        <v>41833.585393518515</v>
      </c>
      <c r="C2109">
        <v>80</v>
      </c>
      <c r="D2109">
        <v>79.970863342000001</v>
      </c>
      <c r="E2109">
        <v>50</v>
      </c>
      <c r="F2109">
        <v>48.259834290000001</v>
      </c>
      <c r="G2109">
        <v>1337.4444579999999</v>
      </c>
      <c r="H2109">
        <v>1335.6810303</v>
      </c>
      <c r="I2109">
        <v>1327.7723389</v>
      </c>
      <c r="J2109">
        <v>1326.2976074000001</v>
      </c>
      <c r="K2109">
        <v>1650</v>
      </c>
      <c r="L2109">
        <v>0</v>
      </c>
      <c r="M2109">
        <v>0</v>
      </c>
      <c r="N2109">
        <v>1650</v>
      </c>
    </row>
    <row r="2110" spans="1:14" x14ac:dyDescent="0.25">
      <c r="A2110">
        <v>1535.536582</v>
      </c>
      <c r="B2110" s="1">
        <f>DATE(2014,7,14) + TIME(12,52,40)</f>
        <v>41834.536574074074</v>
      </c>
      <c r="C2110">
        <v>80</v>
      </c>
      <c r="D2110">
        <v>79.970848083000007</v>
      </c>
      <c r="E2110">
        <v>50</v>
      </c>
      <c r="F2110">
        <v>48.269245148000003</v>
      </c>
      <c r="G2110">
        <v>1337.4425048999999</v>
      </c>
      <c r="H2110">
        <v>1335.6807861</v>
      </c>
      <c r="I2110">
        <v>1327.7659911999999</v>
      </c>
      <c r="J2110">
        <v>1326.2866211</v>
      </c>
      <c r="K2110">
        <v>1650</v>
      </c>
      <c r="L2110">
        <v>0</v>
      </c>
      <c r="M2110">
        <v>0</v>
      </c>
      <c r="N2110">
        <v>1650</v>
      </c>
    </row>
    <row r="2111" spans="1:14" x14ac:dyDescent="0.25">
      <c r="A2111">
        <v>1536.48777</v>
      </c>
      <c r="B2111" s="1">
        <f>DATE(2014,7,15) + TIME(11,42,23)</f>
        <v>41835.487766203703</v>
      </c>
      <c r="C2111">
        <v>80</v>
      </c>
      <c r="D2111">
        <v>79.970840453999998</v>
      </c>
      <c r="E2111">
        <v>50</v>
      </c>
      <c r="F2111">
        <v>48.281352996999999</v>
      </c>
      <c r="G2111">
        <v>1337.4406738</v>
      </c>
      <c r="H2111">
        <v>1335.6805420000001</v>
      </c>
      <c r="I2111">
        <v>1327.7600098</v>
      </c>
      <c r="J2111">
        <v>1326.2761230000001</v>
      </c>
      <c r="K2111">
        <v>1650</v>
      </c>
      <c r="L2111">
        <v>0</v>
      </c>
      <c r="M2111">
        <v>0</v>
      </c>
      <c r="N2111">
        <v>1650</v>
      </c>
    </row>
    <row r="2112" spans="1:14" x14ac:dyDescent="0.25">
      <c r="A2112">
        <v>1537.4389570000001</v>
      </c>
      <c r="B2112" s="1">
        <f>DATE(2014,7,16) + TIME(10,32,5)</f>
        <v>41836.438946759263</v>
      </c>
      <c r="C2112">
        <v>80</v>
      </c>
      <c r="D2112">
        <v>79.970832825000002</v>
      </c>
      <c r="E2112">
        <v>50</v>
      </c>
      <c r="F2112">
        <v>48.296371460000003</v>
      </c>
      <c r="G2112">
        <v>1337.4388428</v>
      </c>
      <c r="H2112">
        <v>1335.6802978999999</v>
      </c>
      <c r="I2112">
        <v>1327.7541504000001</v>
      </c>
      <c r="J2112">
        <v>1326.2658690999999</v>
      </c>
      <c r="K2112">
        <v>1650</v>
      </c>
      <c r="L2112">
        <v>0</v>
      </c>
      <c r="M2112">
        <v>0</v>
      </c>
      <c r="N2112">
        <v>1650</v>
      </c>
    </row>
    <row r="2113" spans="1:14" x14ac:dyDescent="0.25">
      <c r="A2113">
        <v>1539.3413330000001</v>
      </c>
      <c r="B2113" s="1">
        <f>DATE(2014,7,18) + TIME(8,11,31)</f>
        <v>41838.341331018521</v>
      </c>
      <c r="C2113">
        <v>80</v>
      </c>
      <c r="D2113">
        <v>79.970832825000002</v>
      </c>
      <c r="E2113">
        <v>50</v>
      </c>
      <c r="F2113">
        <v>48.321201324</v>
      </c>
      <c r="G2113">
        <v>1337.4370117000001</v>
      </c>
      <c r="H2113">
        <v>1335.6800536999999</v>
      </c>
      <c r="I2113">
        <v>1327.7479248</v>
      </c>
      <c r="J2113">
        <v>1326.2548827999999</v>
      </c>
      <c r="K2113">
        <v>1650</v>
      </c>
      <c r="L2113">
        <v>0</v>
      </c>
      <c r="M2113">
        <v>0</v>
      </c>
      <c r="N2113">
        <v>1650</v>
      </c>
    </row>
    <row r="2114" spans="1:14" x14ac:dyDescent="0.25">
      <c r="A2114">
        <v>1541.2449590000001</v>
      </c>
      <c r="B2114" s="1">
        <f>DATE(2014,7,20) + TIME(5,52,44)</f>
        <v>41840.244953703703</v>
      </c>
      <c r="C2114">
        <v>80</v>
      </c>
      <c r="D2114">
        <v>79.970817565999994</v>
      </c>
      <c r="E2114">
        <v>50</v>
      </c>
      <c r="F2114">
        <v>48.362548828000001</v>
      </c>
      <c r="G2114">
        <v>1337.4333495999999</v>
      </c>
      <c r="H2114">
        <v>1335.6794434000001</v>
      </c>
      <c r="I2114">
        <v>1327.7391356999999</v>
      </c>
      <c r="J2114">
        <v>1326.2387695</v>
      </c>
      <c r="K2114">
        <v>1650</v>
      </c>
      <c r="L2114">
        <v>0</v>
      </c>
      <c r="M2114">
        <v>0</v>
      </c>
      <c r="N2114">
        <v>1650</v>
      </c>
    </row>
    <row r="2115" spans="1:14" x14ac:dyDescent="0.25">
      <c r="A2115">
        <v>1543.1994790000001</v>
      </c>
      <c r="B2115" s="1">
        <f>DATE(2014,7,22) + TIME(4,47,14)</f>
        <v>41842.199467592596</v>
      </c>
      <c r="C2115">
        <v>80</v>
      </c>
      <c r="D2115">
        <v>79.970802307</v>
      </c>
      <c r="E2115">
        <v>50</v>
      </c>
      <c r="F2115">
        <v>48.420604705999999</v>
      </c>
      <c r="G2115">
        <v>1337.4296875</v>
      </c>
      <c r="H2115">
        <v>1335.6788329999999</v>
      </c>
      <c r="I2115">
        <v>1327.7296143000001</v>
      </c>
      <c r="J2115">
        <v>1326.2213135</v>
      </c>
      <c r="K2115">
        <v>1650</v>
      </c>
      <c r="L2115">
        <v>0</v>
      </c>
      <c r="M2115">
        <v>0</v>
      </c>
      <c r="N2115">
        <v>1650</v>
      </c>
    </row>
    <row r="2116" spans="1:14" x14ac:dyDescent="0.25">
      <c r="A2116">
        <v>1544.1965459999999</v>
      </c>
      <c r="B2116" s="1">
        <f>DATE(2014,7,23) + TIME(4,43,1)</f>
        <v>41843.196539351855</v>
      </c>
      <c r="C2116">
        <v>80</v>
      </c>
      <c r="D2116">
        <v>79.970779418999996</v>
      </c>
      <c r="E2116">
        <v>50</v>
      </c>
      <c r="F2116">
        <v>48.477962494000003</v>
      </c>
      <c r="G2116">
        <v>1337.4261475000001</v>
      </c>
      <c r="H2116">
        <v>1335.6782227000001</v>
      </c>
      <c r="I2116">
        <v>1327.7213135</v>
      </c>
      <c r="J2116">
        <v>1326.2048339999999</v>
      </c>
      <c r="K2116">
        <v>1650</v>
      </c>
      <c r="L2116">
        <v>0</v>
      </c>
      <c r="M2116">
        <v>0</v>
      </c>
      <c r="N2116">
        <v>1650</v>
      </c>
    </row>
    <row r="2117" spans="1:14" x14ac:dyDescent="0.25">
      <c r="A2117">
        <v>1545.183743</v>
      </c>
      <c r="B2117" s="1">
        <f>DATE(2014,7,24) + TIME(4,24,35)</f>
        <v>41844.183738425927</v>
      </c>
      <c r="C2117">
        <v>80</v>
      </c>
      <c r="D2117">
        <v>79.970764160000002</v>
      </c>
      <c r="E2117">
        <v>50</v>
      </c>
      <c r="F2117">
        <v>48.534404754999997</v>
      </c>
      <c r="G2117">
        <v>1337.4244385</v>
      </c>
      <c r="H2117">
        <v>1335.6778564000001</v>
      </c>
      <c r="I2117">
        <v>1327.7152100000001</v>
      </c>
      <c r="J2117">
        <v>1326.1937256000001</v>
      </c>
      <c r="K2117">
        <v>1650</v>
      </c>
      <c r="L2117">
        <v>0</v>
      </c>
      <c r="M2117">
        <v>0</v>
      </c>
      <c r="N2117">
        <v>1650</v>
      </c>
    </row>
    <row r="2118" spans="1:14" x14ac:dyDescent="0.25">
      <c r="A2118">
        <v>1546.17094</v>
      </c>
      <c r="B2118" s="1">
        <f>DATE(2014,7,25) + TIME(4,6,9)</f>
        <v>41845.170937499999</v>
      </c>
      <c r="C2118">
        <v>80</v>
      </c>
      <c r="D2118">
        <v>79.970756531000006</v>
      </c>
      <c r="E2118">
        <v>50</v>
      </c>
      <c r="F2118">
        <v>48.593482971</v>
      </c>
      <c r="G2118">
        <v>1337.4227295000001</v>
      </c>
      <c r="H2118">
        <v>1335.6776123</v>
      </c>
      <c r="I2118">
        <v>1327.7099608999999</v>
      </c>
      <c r="J2118">
        <v>1326.1839600000001</v>
      </c>
      <c r="K2118">
        <v>1650</v>
      </c>
      <c r="L2118">
        <v>0</v>
      </c>
      <c r="M2118">
        <v>0</v>
      </c>
      <c r="N2118">
        <v>1650</v>
      </c>
    </row>
    <row r="2119" spans="1:14" x14ac:dyDescent="0.25">
      <c r="A2119">
        <v>1547.1581369999999</v>
      </c>
      <c r="B2119" s="1">
        <f>DATE(2014,7,26) + TIME(3,47,43)</f>
        <v>41846.158136574071</v>
      </c>
      <c r="C2119">
        <v>80</v>
      </c>
      <c r="D2119">
        <v>79.970748900999993</v>
      </c>
      <c r="E2119">
        <v>50</v>
      </c>
      <c r="F2119">
        <v>48.657203674000002</v>
      </c>
      <c r="G2119">
        <v>1337.4210204999999</v>
      </c>
      <c r="H2119">
        <v>1335.6772461</v>
      </c>
      <c r="I2119">
        <v>1327.7053223</v>
      </c>
      <c r="J2119">
        <v>1326.1750488</v>
      </c>
      <c r="K2119">
        <v>1650</v>
      </c>
      <c r="L2119">
        <v>0</v>
      </c>
      <c r="M2119">
        <v>0</v>
      </c>
      <c r="N2119">
        <v>1650</v>
      </c>
    </row>
    <row r="2120" spans="1:14" x14ac:dyDescent="0.25">
      <c r="A2120">
        <v>1548.145334</v>
      </c>
      <c r="B2120" s="1">
        <f>DATE(2014,7,27) + TIME(3,29,16)</f>
        <v>41847.145324074074</v>
      </c>
      <c r="C2120">
        <v>80</v>
      </c>
      <c r="D2120">
        <v>79.970748900999993</v>
      </c>
      <c r="E2120">
        <v>50</v>
      </c>
      <c r="F2120">
        <v>48.726833343999999</v>
      </c>
      <c r="G2120">
        <v>1337.4194336</v>
      </c>
      <c r="H2120">
        <v>1335.6768798999999</v>
      </c>
      <c r="I2120">
        <v>1327.7010498</v>
      </c>
      <c r="J2120">
        <v>1326.166626</v>
      </c>
      <c r="K2120">
        <v>1650</v>
      </c>
      <c r="L2120">
        <v>0</v>
      </c>
      <c r="M2120">
        <v>0</v>
      </c>
      <c r="N2120">
        <v>1650</v>
      </c>
    </row>
    <row r="2121" spans="1:14" x14ac:dyDescent="0.25">
      <c r="A2121">
        <v>1549.132531</v>
      </c>
      <c r="B2121" s="1">
        <f>DATE(2014,7,28) + TIME(3,10,50)</f>
        <v>41848.132523148146</v>
      </c>
      <c r="C2121">
        <v>80</v>
      </c>
      <c r="D2121">
        <v>79.970741271999998</v>
      </c>
      <c r="E2121">
        <v>50</v>
      </c>
      <c r="F2121">
        <v>48.803272247000002</v>
      </c>
      <c r="G2121">
        <v>1337.4177245999999</v>
      </c>
      <c r="H2121">
        <v>1335.6766356999999</v>
      </c>
      <c r="I2121">
        <v>1327.6970214999999</v>
      </c>
      <c r="J2121">
        <v>1326.1586914</v>
      </c>
      <c r="K2121">
        <v>1650</v>
      </c>
      <c r="L2121">
        <v>0</v>
      </c>
      <c r="M2121">
        <v>0</v>
      </c>
      <c r="N2121">
        <v>1650</v>
      </c>
    </row>
    <row r="2122" spans="1:14" x14ac:dyDescent="0.25">
      <c r="A2122">
        <v>1550.1197279999999</v>
      </c>
      <c r="B2122" s="1">
        <f>DATE(2014,7,29) + TIME(2,52,24)</f>
        <v>41849.119722222225</v>
      </c>
      <c r="C2122">
        <v>80</v>
      </c>
      <c r="D2122">
        <v>79.970733643000003</v>
      </c>
      <c r="E2122">
        <v>50</v>
      </c>
      <c r="F2122">
        <v>48.887180327999999</v>
      </c>
      <c r="G2122">
        <v>1337.4161377</v>
      </c>
      <c r="H2122">
        <v>1335.6762695</v>
      </c>
      <c r="I2122">
        <v>1327.6933594</v>
      </c>
      <c r="J2122">
        <v>1326.1511230000001</v>
      </c>
      <c r="K2122">
        <v>1650</v>
      </c>
      <c r="L2122">
        <v>0</v>
      </c>
      <c r="M2122">
        <v>0</v>
      </c>
      <c r="N2122">
        <v>1650</v>
      </c>
    </row>
    <row r="2123" spans="1:14" x14ac:dyDescent="0.25">
      <c r="A2123">
        <v>1551.1069239999999</v>
      </c>
      <c r="B2123" s="1">
        <f>DATE(2014,7,30) + TIME(2,33,58)</f>
        <v>41850.106921296298</v>
      </c>
      <c r="C2123">
        <v>80</v>
      </c>
      <c r="D2123">
        <v>79.970733643000003</v>
      </c>
      <c r="E2123">
        <v>50</v>
      </c>
      <c r="F2123">
        <v>48.979061127000001</v>
      </c>
      <c r="G2123">
        <v>1337.4144286999999</v>
      </c>
      <c r="H2123">
        <v>1335.6759033000001</v>
      </c>
      <c r="I2123">
        <v>1327.6898193</v>
      </c>
      <c r="J2123">
        <v>1326.1439209</v>
      </c>
      <c r="K2123">
        <v>1650</v>
      </c>
      <c r="L2123">
        <v>0</v>
      </c>
      <c r="M2123">
        <v>0</v>
      </c>
      <c r="N2123">
        <v>1650</v>
      </c>
    </row>
    <row r="2124" spans="1:14" x14ac:dyDescent="0.25">
      <c r="A2124">
        <v>1553</v>
      </c>
      <c r="B2124" s="1">
        <f>DATE(2014,8,1) + TIME(0,0,0)</f>
        <v>41852</v>
      </c>
      <c r="C2124">
        <v>80</v>
      </c>
      <c r="D2124">
        <v>79.970741271999998</v>
      </c>
      <c r="E2124">
        <v>50</v>
      </c>
      <c r="F2124">
        <v>49.112060546999999</v>
      </c>
      <c r="G2124">
        <v>1337.4128418</v>
      </c>
      <c r="H2124">
        <v>1335.6756591999999</v>
      </c>
      <c r="I2124">
        <v>1327.6855469</v>
      </c>
      <c r="J2124">
        <v>1326.1362305</v>
      </c>
      <c r="K2124">
        <v>1650</v>
      </c>
      <c r="L2124">
        <v>0</v>
      </c>
      <c r="M2124">
        <v>0</v>
      </c>
      <c r="N2124">
        <v>1650</v>
      </c>
    </row>
    <row r="2125" spans="1:14" x14ac:dyDescent="0.25">
      <c r="A2125">
        <v>1554.9743940000001</v>
      </c>
      <c r="B2125" s="1">
        <f>DATE(2014,8,2) + TIME(23,23,7)</f>
        <v>41853.974386574075</v>
      </c>
      <c r="C2125">
        <v>80</v>
      </c>
      <c r="D2125">
        <v>79.970733643000003</v>
      </c>
      <c r="E2125">
        <v>50</v>
      </c>
      <c r="F2125">
        <v>49.307727814000003</v>
      </c>
      <c r="G2125">
        <v>1337.4097899999999</v>
      </c>
      <c r="H2125">
        <v>1335.6749268000001</v>
      </c>
      <c r="I2125">
        <v>1327.6810303</v>
      </c>
      <c r="J2125">
        <v>1326.1256103999999</v>
      </c>
      <c r="K2125">
        <v>1650</v>
      </c>
      <c r="L2125">
        <v>0</v>
      </c>
      <c r="M2125">
        <v>0</v>
      </c>
      <c r="N2125">
        <v>1650</v>
      </c>
    </row>
    <row r="2126" spans="1:14" x14ac:dyDescent="0.25">
      <c r="A2126">
        <v>1557.0892739999999</v>
      </c>
      <c r="B2126" s="1">
        <f>DATE(2014,8,5) + TIME(2,8,33)</f>
        <v>41856.089270833334</v>
      </c>
      <c r="C2126">
        <v>80</v>
      </c>
      <c r="D2126">
        <v>79.970733643000003</v>
      </c>
      <c r="E2126">
        <v>50</v>
      </c>
      <c r="F2126">
        <v>49.557819365999997</v>
      </c>
      <c r="G2126">
        <v>1337.4066161999999</v>
      </c>
      <c r="H2126">
        <v>1335.6741943</v>
      </c>
      <c r="I2126">
        <v>1327.6761475000001</v>
      </c>
      <c r="J2126">
        <v>1326.1143798999999</v>
      </c>
      <c r="K2126">
        <v>1650</v>
      </c>
      <c r="L2126">
        <v>0</v>
      </c>
      <c r="M2126">
        <v>0</v>
      </c>
      <c r="N2126">
        <v>1650</v>
      </c>
    </row>
    <row r="2127" spans="1:14" x14ac:dyDescent="0.25">
      <c r="A2127">
        <v>1559.233604</v>
      </c>
      <c r="B2127" s="1">
        <f>DATE(2014,8,7) + TIME(5,36,23)</f>
        <v>41858.233599537038</v>
      </c>
      <c r="C2127">
        <v>80</v>
      </c>
      <c r="D2127">
        <v>79.970726013000004</v>
      </c>
      <c r="E2127">
        <v>50</v>
      </c>
      <c r="F2127">
        <v>49.861328125</v>
      </c>
      <c r="G2127">
        <v>1337.4033202999999</v>
      </c>
      <c r="H2127">
        <v>1335.6734618999999</v>
      </c>
      <c r="I2127">
        <v>1327.6713867000001</v>
      </c>
      <c r="J2127">
        <v>1326.1032714999999</v>
      </c>
      <c r="K2127">
        <v>1650</v>
      </c>
      <c r="L2127">
        <v>0</v>
      </c>
      <c r="M2127">
        <v>0</v>
      </c>
      <c r="N2127">
        <v>1650</v>
      </c>
    </row>
    <row r="2128" spans="1:14" x14ac:dyDescent="0.25">
      <c r="A2128">
        <v>1560.318626</v>
      </c>
      <c r="B2128" s="1">
        <f>DATE(2014,8,8) + TIME(7,38,49)</f>
        <v>41859.318622685183</v>
      </c>
      <c r="C2128">
        <v>80</v>
      </c>
      <c r="D2128">
        <v>79.970710753999995</v>
      </c>
      <c r="E2128">
        <v>50</v>
      </c>
      <c r="F2128">
        <v>50.126522064</v>
      </c>
      <c r="G2128">
        <v>1337.4000243999999</v>
      </c>
      <c r="H2128">
        <v>1335.6726074000001</v>
      </c>
      <c r="I2128">
        <v>1327.6688231999999</v>
      </c>
      <c r="J2128">
        <v>1326.0941161999999</v>
      </c>
      <c r="K2128">
        <v>1650</v>
      </c>
      <c r="L2128">
        <v>0</v>
      </c>
      <c r="M2128">
        <v>0</v>
      </c>
      <c r="N2128">
        <v>1650</v>
      </c>
    </row>
    <row r="2129" spans="1:14" x14ac:dyDescent="0.25">
      <c r="A2129">
        <v>1562.2254620000001</v>
      </c>
      <c r="B2129" s="1">
        <f>DATE(2014,8,10) + TIME(5,24,39)</f>
        <v>41861.225451388891</v>
      </c>
      <c r="C2129">
        <v>80</v>
      </c>
      <c r="D2129">
        <v>79.970710753999995</v>
      </c>
      <c r="E2129">
        <v>50</v>
      </c>
      <c r="F2129">
        <v>50.422111510999997</v>
      </c>
      <c r="G2129">
        <v>1337.3984375</v>
      </c>
      <c r="H2129">
        <v>1335.6722411999999</v>
      </c>
      <c r="I2129">
        <v>1327.6645507999999</v>
      </c>
      <c r="J2129">
        <v>1326.0878906</v>
      </c>
      <c r="K2129">
        <v>1650</v>
      </c>
      <c r="L2129">
        <v>0</v>
      </c>
      <c r="M2129">
        <v>0</v>
      </c>
      <c r="N2129">
        <v>1650</v>
      </c>
    </row>
    <row r="2130" spans="1:14" x14ac:dyDescent="0.25">
      <c r="A2130">
        <v>1564.2993650000001</v>
      </c>
      <c r="B2130" s="1">
        <f>DATE(2014,8,12) + TIME(7,11,5)</f>
        <v>41863.299363425926</v>
      </c>
      <c r="C2130">
        <v>80</v>
      </c>
      <c r="D2130">
        <v>79.970710753999995</v>
      </c>
      <c r="E2130">
        <v>50</v>
      </c>
      <c r="F2130">
        <v>50.792770386000001</v>
      </c>
      <c r="G2130">
        <v>1337.3957519999999</v>
      </c>
      <c r="H2130">
        <v>1335.6715088000001</v>
      </c>
      <c r="I2130">
        <v>1327.6617432</v>
      </c>
      <c r="J2130">
        <v>1326.0808105000001</v>
      </c>
      <c r="K2130">
        <v>1650</v>
      </c>
      <c r="L2130">
        <v>0</v>
      </c>
      <c r="M2130">
        <v>0</v>
      </c>
      <c r="N2130">
        <v>1650</v>
      </c>
    </row>
    <row r="2131" spans="1:14" x14ac:dyDescent="0.25">
      <c r="A2131">
        <v>1566.4432079999999</v>
      </c>
      <c r="B2131" s="1">
        <f>DATE(2014,8,14) + TIME(10,38,13)</f>
        <v>41865.443206018521</v>
      </c>
      <c r="C2131">
        <v>80</v>
      </c>
      <c r="D2131">
        <v>79.970710753999995</v>
      </c>
      <c r="E2131">
        <v>50</v>
      </c>
      <c r="F2131">
        <v>51.205554962000001</v>
      </c>
      <c r="G2131">
        <v>1337.3927002</v>
      </c>
      <c r="H2131">
        <v>1335.6707764</v>
      </c>
      <c r="I2131">
        <v>1327.6595459</v>
      </c>
      <c r="J2131">
        <v>1326.0743408000001</v>
      </c>
      <c r="K2131">
        <v>1650</v>
      </c>
      <c r="L2131">
        <v>0</v>
      </c>
      <c r="M2131">
        <v>0</v>
      </c>
      <c r="N2131">
        <v>1650</v>
      </c>
    </row>
    <row r="2132" spans="1:14" x14ac:dyDescent="0.25">
      <c r="A2132">
        <v>1568.6607650000001</v>
      </c>
      <c r="B2132" s="1">
        <f>DATE(2014,8,16) + TIME(15,51,30)</f>
        <v>41867.660763888889</v>
      </c>
      <c r="C2132">
        <v>80</v>
      </c>
      <c r="D2132">
        <v>79.970710753999995</v>
      </c>
      <c r="E2132">
        <v>50</v>
      </c>
      <c r="F2132">
        <v>51.666831969999997</v>
      </c>
      <c r="G2132">
        <v>1337.3897704999999</v>
      </c>
      <c r="H2132">
        <v>1335.6699219</v>
      </c>
      <c r="I2132">
        <v>1327.6577147999999</v>
      </c>
      <c r="J2132">
        <v>1326.0687256000001</v>
      </c>
      <c r="K2132">
        <v>1650</v>
      </c>
      <c r="L2132">
        <v>0</v>
      </c>
      <c r="M2132">
        <v>0</v>
      </c>
      <c r="N2132">
        <v>1650</v>
      </c>
    </row>
    <row r="2133" spans="1:14" x14ac:dyDescent="0.25">
      <c r="A2133">
        <v>1570.9148700000001</v>
      </c>
      <c r="B2133" s="1">
        <f>DATE(2014,8,18) + TIME(21,57,24)</f>
        <v>41869.914861111109</v>
      </c>
      <c r="C2133">
        <v>80</v>
      </c>
      <c r="D2133">
        <v>79.970710753999995</v>
      </c>
      <c r="E2133">
        <v>50</v>
      </c>
      <c r="F2133">
        <v>52.177433014000002</v>
      </c>
      <c r="G2133">
        <v>1337.3867187999999</v>
      </c>
      <c r="H2133">
        <v>1335.6691894999999</v>
      </c>
      <c r="I2133">
        <v>1327.6564940999999</v>
      </c>
      <c r="J2133">
        <v>1326.0642089999999</v>
      </c>
      <c r="K2133">
        <v>1650</v>
      </c>
      <c r="L2133">
        <v>0</v>
      </c>
      <c r="M2133">
        <v>0</v>
      </c>
      <c r="N2133">
        <v>1650</v>
      </c>
    </row>
    <row r="2134" spans="1:14" x14ac:dyDescent="0.25">
      <c r="A2134">
        <v>1573.278458</v>
      </c>
      <c r="B2134" s="1">
        <f>DATE(2014,8,21) + TIME(6,40,58)</f>
        <v>41872.278449074074</v>
      </c>
      <c r="C2134">
        <v>80</v>
      </c>
      <c r="D2134">
        <v>79.970710753999995</v>
      </c>
      <c r="E2134">
        <v>50</v>
      </c>
      <c r="F2134">
        <v>52.730587006</v>
      </c>
      <c r="G2134">
        <v>1337.3836670000001</v>
      </c>
      <c r="H2134">
        <v>1335.6683350000001</v>
      </c>
      <c r="I2134">
        <v>1327.6557617000001</v>
      </c>
      <c r="J2134">
        <v>1326.0609131000001</v>
      </c>
      <c r="K2134">
        <v>1650</v>
      </c>
      <c r="L2134">
        <v>0</v>
      </c>
      <c r="M2134">
        <v>0</v>
      </c>
      <c r="N2134">
        <v>1650</v>
      </c>
    </row>
    <row r="2135" spans="1:14" x14ac:dyDescent="0.25">
      <c r="A2135">
        <v>1575.7137970000001</v>
      </c>
      <c r="B2135" s="1">
        <f>DATE(2014,8,23) + TIME(17,7,52)</f>
        <v>41874.713796296295</v>
      </c>
      <c r="C2135">
        <v>80</v>
      </c>
      <c r="D2135">
        <v>79.970718383999994</v>
      </c>
      <c r="E2135">
        <v>50</v>
      </c>
      <c r="F2135">
        <v>53.321094512999998</v>
      </c>
      <c r="G2135">
        <v>1337.3806152</v>
      </c>
      <c r="H2135">
        <v>1335.6674805</v>
      </c>
      <c r="I2135">
        <v>1327.6557617000001</v>
      </c>
      <c r="J2135">
        <v>1326.0588379000001</v>
      </c>
      <c r="K2135">
        <v>1650</v>
      </c>
      <c r="L2135">
        <v>0</v>
      </c>
      <c r="M2135">
        <v>0</v>
      </c>
      <c r="N2135">
        <v>1650</v>
      </c>
    </row>
    <row r="2136" spans="1:14" x14ac:dyDescent="0.25">
      <c r="A2136">
        <v>1578.2444800000001</v>
      </c>
      <c r="B2136" s="1">
        <f>DATE(2014,8,26) + TIME(5,52,3)</f>
        <v>41877.244479166664</v>
      </c>
      <c r="C2136">
        <v>80</v>
      </c>
      <c r="D2136">
        <v>79.970718383999994</v>
      </c>
      <c r="E2136">
        <v>50</v>
      </c>
      <c r="F2136">
        <v>53.937576294000003</v>
      </c>
      <c r="G2136">
        <v>1337.3775635</v>
      </c>
      <c r="H2136">
        <v>1335.6665039</v>
      </c>
      <c r="I2136">
        <v>1327.65625</v>
      </c>
      <c r="J2136">
        <v>1326.0578613</v>
      </c>
      <c r="K2136">
        <v>1650</v>
      </c>
      <c r="L2136">
        <v>0</v>
      </c>
      <c r="M2136">
        <v>0</v>
      </c>
      <c r="N2136">
        <v>1650</v>
      </c>
    </row>
    <row r="2137" spans="1:14" x14ac:dyDescent="0.25">
      <c r="A2137">
        <v>1580.8832849999999</v>
      </c>
      <c r="B2137" s="1">
        <f>DATE(2014,8,28) + TIME(21,11,55)</f>
        <v>41879.883275462962</v>
      </c>
      <c r="C2137">
        <v>80</v>
      </c>
      <c r="D2137">
        <v>79.970726013000004</v>
      </c>
      <c r="E2137">
        <v>50</v>
      </c>
      <c r="F2137">
        <v>54.574413300000003</v>
      </c>
      <c r="G2137">
        <v>1337.3745117000001</v>
      </c>
      <c r="H2137">
        <v>1335.6656493999999</v>
      </c>
      <c r="I2137">
        <v>1327.6574707</v>
      </c>
      <c r="J2137">
        <v>1326.0578613</v>
      </c>
      <c r="K2137">
        <v>1650</v>
      </c>
      <c r="L2137">
        <v>0</v>
      </c>
      <c r="M2137">
        <v>0</v>
      </c>
      <c r="N2137">
        <v>1650</v>
      </c>
    </row>
    <row r="2138" spans="1:14" x14ac:dyDescent="0.25">
      <c r="A2138">
        <v>1583.5819160000001</v>
      </c>
      <c r="B2138" s="1">
        <f>DATE(2014,8,31) + TIME(13,57,57)</f>
        <v>41882.581909722219</v>
      </c>
      <c r="C2138">
        <v>80</v>
      </c>
      <c r="D2138">
        <v>79.970733643000003</v>
      </c>
      <c r="E2138">
        <v>50</v>
      </c>
      <c r="F2138">
        <v>55.222229003999999</v>
      </c>
      <c r="G2138">
        <v>1337.3713379000001</v>
      </c>
      <c r="H2138">
        <v>1335.6647949000001</v>
      </c>
      <c r="I2138">
        <v>1327.6593018000001</v>
      </c>
      <c r="J2138">
        <v>1326.0588379000001</v>
      </c>
      <c r="K2138">
        <v>1650</v>
      </c>
      <c r="L2138">
        <v>0</v>
      </c>
      <c r="M2138">
        <v>0</v>
      </c>
      <c r="N2138">
        <v>1650</v>
      </c>
    </row>
    <row r="2139" spans="1:14" x14ac:dyDescent="0.25">
      <c r="A2139">
        <v>1584</v>
      </c>
      <c r="B2139" s="1">
        <f>DATE(2014,9,1) + TIME(0,0,0)</f>
        <v>41883</v>
      </c>
      <c r="C2139">
        <v>80</v>
      </c>
      <c r="D2139">
        <v>79.970718383999994</v>
      </c>
      <c r="E2139">
        <v>50</v>
      </c>
      <c r="F2139">
        <v>55.493228911999999</v>
      </c>
      <c r="G2139">
        <v>1337.3682861</v>
      </c>
      <c r="H2139">
        <v>1335.6639404</v>
      </c>
      <c r="I2139">
        <v>1327.6667480000001</v>
      </c>
      <c r="J2139">
        <v>1326.0618896000001</v>
      </c>
      <c r="K2139">
        <v>1650</v>
      </c>
      <c r="L2139">
        <v>0</v>
      </c>
      <c r="M2139">
        <v>0</v>
      </c>
      <c r="N2139">
        <v>1650</v>
      </c>
    </row>
    <row r="2140" spans="1:14" x14ac:dyDescent="0.25">
      <c r="A2140">
        <v>1586.8135179999999</v>
      </c>
      <c r="B2140" s="1">
        <f>DATE(2014,9,3) + TIME(19,31,27)</f>
        <v>41885.813506944447</v>
      </c>
      <c r="C2140">
        <v>80</v>
      </c>
      <c r="D2140">
        <v>79.970741271999998</v>
      </c>
      <c r="E2140">
        <v>50</v>
      </c>
      <c r="F2140">
        <v>56.006492614999999</v>
      </c>
      <c r="G2140">
        <v>1337.3677978999999</v>
      </c>
      <c r="H2140">
        <v>1335.6636963000001</v>
      </c>
      <c r="I2140">
        <v>1327.6621094</v>
      </c>
      <c r="J2140">
        <v>1326.0628661999999</v>
      </c>
      <c r="K2140">
        <v>1650</v>
      </c>
      <c r="L2140">
        <v>0</v>
      </c>
      <c r="M2140">
        <v>0</v>
      </c>
      <c r="N2140">
        <v>1650</v>
      </c>
    </row>
    <row r="2141" spans="1:14" x14ac:dyDescent="0.25">
      <c r="A2141">
        <v>1589.71929</v>
      </c>
      <c r="B2141" s="1">
        <f>DATE(2014,9,6) + TIME(17,15,46)</f>
        <v>41888.719282407408</v>
      </c>
      <c r="C2141">
        <v>80</v>
      </c>
      <c r="D2141">
        <v>79.970748900999993</v>
      </c>
      <c r="E2141">
        <v>50</v>
      </c>
      <c r="F2141">
        <v>56.610683440999999</v>
      </c>
      <c r="G2141">
        <v>1337.364624</v>
      </c>
      <c r="H2141">
        <v>1335.6627197</v>
      </c>
      <c r="I2141">
        <v>1327.6650391000001</v>
      </c>
      <c r="J2141">
        <v>1326.0644531</v>
      </c>
      <c r="K2141">
        <v>1650</v>
      </c>
      <c r="L2141">
        <v>0</v>
      </c>
      <c r="M2141">
        <v>0</v>
      </c>
      <c r="N2141">
        <v>1650</v>
      </c>
    </row>
    <row r="2142" spans="1:14" x14ac:dyDescent="0.25">
      <c r="A2142">
        <v>1592.705287</v>
      </c>
      <c r="B2142" s="1">
        <f>DATE(2014,9,9) + TIME(16,55,36)</f>
        <v>41891.705277777779</v>
      </c>
      <c r="C2142">
        <v>80</v>
      </c>
      <c r="D2142">
        <v>79.970764160000002</v>
      </c>
      <c r="E2142">
        <v>50</v>
      </c>
      <c r="F2142">
        <v>57.228462219000001</v>
      </c>
      <c r="G2142">
        <v>1337.3615723</v>
      </c>
      <c r="H2142">
        <v>1335.6618652</v>
      </c>
      <c r="I2142">
        <v>1327.6687012</v>
      </c>
      <c r="J2142">
        <v>1326.0678711</v>
      </c>
      <c r="K2142">
        <v>1650</v>
      </c>
      <c r="L2142">
        <v>0</v>
      </c>
      <c r="M2142">
        <v>0</v>
      </c>
      <c r="N2142">
        <v>1650</v>
      </c>
    </row>
    <row r="2143" spans="1:14" x14ac:dyDescent="0.25">
      <c r="A2143">
        <v>1595.8311819999999</v>
      </c>
      <c r="B2143" s="1">
        <f>DATE(2014,9,12) + TIME(19,56,54)</f>
        <v>41894.831180555557</v>
      </c>
      <c r="C2143">
        <v>80</v>
      </c>
      <c r="D2143">
        <v>79.970771790000001</v>
      </c>
      <c r="E2143">
        <v>50</v>
      </c>
      <c r="F2143">
        <v>57.840755463000001</v>
      </c>
      <c r="G2143">
        <v>1337.3583983999999</v>
      </c>
      <c r="H2143">
        <v>1335.6608887</v>
      </c>
      <c r="I2143">
        <v>1327.6727295000001</v>
      </c>
      <c r="J2143">
        <v>1326.0722656</v>
      </c>
      <c r="K2143">
        <v>1650</v>
      </c>
      <c r="L2143">
        <v>0</v>
      </c>
      <c r="M2143">
        <v>0</v>
      </c>
      <c r="N2143">
        <v>1650</v>
      </c>
    </row>
    <row r="2144" spans="1:14" x14ac:dyDescent="0.25">
      <c r="A2144">
        <v>1599.0090279999999</v>
      </c>
      <c r="B2144" s="1">
        <f>DATE(2014,9,16) + TIME(0,13,0)</f>
        <v>41898.009027777778</v>
      </c>
      <c r="C2144">
        <v>80</v>
      </c>
      <c r="D2144">
        <v>79.970787048000005</v>
      </c>
      <c r="E2144">
        <v>50</v>
      </c>
      <c r="F2144">
        <v>58.444133759000003</v>
      </c>
      <c r="G2144">
        <v>1337.3553466999999</v>
      </c>
      <c r="H2144">
        <v>1335.6600341999999</v>
      </c>
      <c r="I2144">
        <v>1327.6773682</v>
      </c>
      <c r="J2144">
        <v>1326.0772704999999</v>
      </c>
      <c r="K2144">
        <v>1650</v>
      </c>
      <c r="L2144">
        <v>0</v>
      </c>
      <c r="M2144">
        <v>0</v>
      </c>
      <c r="N2144">
        <v>1650</v>
      </c>
    </row>
    <row r="2145" spans="1:14" x14ac:dyDescent="0.25">
      <c r="A2145">
        <v>1602.2836830000001</v>
      </c>
      <c r="B2145" s="1">
        <f>DATE(2014,9,19) + TIME(6,48,30)</f>
        <v>41901.283680555556</v>
      </c>
      <c r="C2145">
        <v>80</v>
      </c>
      <c r="D2145">
        <v>79.970802307</v>
      </c>
      <c r="E2145">
        <v>50</v>
      </c>
      <c r="F2145">
        <v>59.028156281000001</v>
      </c>
      <c r="G2145">
        <v>1337.3522949000001</v>
      </c>
      <c r="H2145">
        <v>1335.6590576000001</v>
      </c>
      <c r="I2145">
        <v>1327.682251</v>
      </c>
      <c r="J2145">
        <v>1326.0827637</v>
      </c>
      <c r="K2145">
        <v>1650</v>
      </c>
      <c r="L2145">
        <v>0</v>
      </c>
      <c r="M2145">
        <v>0</v>
      </c>
      <c r="N2145">
        <v>1650</v>
      </c>
    </row>
    <row r="2146" spans="1:14" x14ac:dyDescent="0.25">
      <c r="A2146">
        <v>1605.7167690000001</v>
      </c>
      <c r="B2146" s="1">
        <f>DATE(2014,9,22) + TIME(17,12,8)</f>
        <v>41904.71675925926</v>
      </c>
      <c r="C2146">
        <v>80</v>
      </c>
      <c r="D2146">
        <v>79.970817565999994</v>
      </c>
      <c r="E2146">
        <v>50</v>
      </c>
      <c r="F2146">
        <v>59.592502594000003</v>
      </c>
      <c r="G2146">
        <v>1337.3492432</v>
      </c>
      <c r="H2146">
        <v>1335.6582031</v>
      </c>
      <c r="I2146">
        <v>1327.6873779</v>
      </c>
      <c r="J2146">
        <v>1326.0886230000001</v>
      </c>
      <c r="K2146">
        <v>1650</v>
      </c>
      <c r="L2146">
        <v>0</v>
      </c>
      <c r="M2146">
        <v>0</v>
      </c>
      <c r="N2146">
        <v>1650</v>
      </c>
    </row>
    <row r="2147" spans="1:14" x14ac:dyDescent="0.25">
      <c r="A2147">
        <v>1609.199126</v>
      </c>
      <c r="B2147" s="1">
        <f>DATE(2014,9,26) + TIME(4,46,44)</f>
        <v>41908.199120370373</v>
      </c>
      <c r="C2147">
        <v>80</v>
      </c>
      <c r="D2147">
        <v>79.970832825000002</v>
      </c>
      <c r="E2147">
        <v>50</v>
      </c>
      <c r="F2147">
        <v>60.141555785999998</v>
      </c>
      <c r="G2147">
        <v>1337.3461914</v>
      </c>
      <c r="H2147">
        <v>1335.6573486</v>
      </c>
      <c r="I2147">
        <v>1327.6928711</v>
      </c>
      <c r="J2147">
        <v>1326.0947266000001</v>
      </c>
      <c r="K2147">
        <v>1650</v>
      </c>
      <c r="L2147">
        <v>0</v>
      </c>
      <c r="M2147">
        <v>0</v>
      </c>
      <c r="N2147">
        <v>1650</v>
      </c>
    </row>
    <row r="2148" spans="1:14" x14ac:dyDescent="0.25">
      <c r="A2148">
        <v>1612.8030409999999</v>
      </c>
      <c r="B2148" s="1">
        <f>DATE(2014,9,29) + TIME(19,16,22)</f>
        <v>41911.803032407406</v>
      </c>
      <c r="C2148">
        <v>80</v>
      </c>
      <c r="D2148">
        <v>79.970855713000006</v>
      </c>
      <c r="E2148">
        <v>50</v>
      </c>
      <c r="F2148">
        <v>60.664211272999999</v>
      </c>
      <c r="G2148">
        <v>1337.3432617000001</v>
      </c>
      <c r="H2148">
        <v>1335.6564940999999</v>
      </c>
      <c r="I2148">
        <v>1327.6986084</v>
      </c>
      <c r="J2148">
        <v>1326.1011963000001</v>
      </c>
      <c r="K2148">
        <v>1650</v>
      </c>
      <c r="L2148">
        <v>0</v>
      </c>
      <c r="M2148">
        <v>0</v>
      </c>
      <c r="N2148">
        <v>1650</v>
      </c>
    </row>
    <row r="2149" spans="1:14" x14ac:dyDescent="0.25">
      <c r="A2149">
        <v>1614</v>
      </c>
      <c r="B2149" s="1">
        <f>DATE(2014,10,1) + TIME(0,0,0)</f>
        <v>41913</v>
      </c>
      <c r="C2149">
        <v>80</v>
      </c>
      <c r="D2149">
        <v>79.970848083000007</v>
      </c>
      <c r="E2149">
        <v>50</v>
      </c>
      <c r="F2149">
        <v>61.028530121000003</v>
      </c>
      <c r="G2149">
        <v>1337.340332</v>
      </c>
      <c r="H2149">
        <v>1335.6556396000001</v>
      </c>
      <c r="I2149">
        <v>1327.7062988</v>
      </c>
      <c r="J2149">
        <v>1326.1081543</v>
      </c>
      <c r="K2149">
        <v>1650</v>
      </c>
      <c r="L2149">
        <v>0</v>
      </c>
      <c r="M2149">
        <v>0</v>
      </c>
      <c r="N2149">
        <v>1650</v>
      </c>
    </row>
    <row r="2150" spans="1:14" x14ac:dyDescent="0.25">
      <c r="A2150">
        <v>1617.733358</v>
      </c>
      <c r="B2150" s="1">
        <f>DATE(2014,10,4) + TIME(17,36,2)</f>
        <v>41916.733356481483</v>
      </c>
      <c r="C2150">
        <v>80</v>
      </c>
      <c r="D2150">
        <v>79.970878600999995</v>
      </c>
      <c r="E2150">
        <v>50</v>
      </c>
      <c r="F2150">
        <v>61.362186432000001</v>
      </c>
      <c r="G2150">
        <v>1337.3393555</v>
      </c>
      <c r="H2150">
        <v>1335.6552733999999</v>
      </c>
      <c r="I2150">
        <v>1327.7072754000001</v>
      </c>
      <c r="J2150">
        <v>1326.1131591999999</v>
      </c>
      <c r="K2150">
        <v>1650</v>
      </c>
      <c r="L2150">
        <v>0</v>
      </c>
      <c r="M2150">
        <v>0</v>
      </c>
      <c r="N2150">
        <v>1650</v>
      </c>
    </row>
    <row r="2151" spans="1:14" x14ac:dyDescent="0.25">
      <c r="A2151">
        <v>1621.6050760000001</v>
      </c>
      <c r="B2151" s="1">
        <f>DATE(2014,10,8) + TIME(14,31,18)</f>
        <v>41920.605069444442</v>
      </c>
      <c r="C2151">
        <v>80</v>
      </c>
      <c r="D2151">
        <v>79.970909118999998</v>
      </c>
      <c r="E2151">
        <v>50</v>
      </c>
      <c r="F2151">
        <v>61.808094025000003</v>
      </c>
      <c r="G2151">
        <v>1337.3364257999999</v>
      </c>
      <c r="H2151">
        <v>1335.6544189000001</v>
      </c>
      <c r="I2151">
        <v>1327.7122803</v>
      </c>
      <c r="J2151">
        <v>1326.1168213000001</v>
      </c>
      <c r="K2151">
        <v>1650</v>
      </c>
      <c r="L2151">
        <v>0</v>
      </c>
      <c r="M2151">
        <v>0</v>
      </c>
      <c r="N2151">
        <v>1650</v>
      </c>
    </row>
    <row r="2152" spans="1:14" x14ac:dyDescent="0.25">
      <c r="A2152">
        <v>1625.5886310000001</v>
      </c>
      <c r="B2152" s="1">
        <f>DATE(2014,10,12) + TIME(14,7,37)</f>
        <v>41924.588622685187</v>
      </c>
      <c r="C2152">
        <v>80</v>
      </c>
      <c r="D2152">
        <v>79.970932007000002</v>
      </c>
      <c r="E2152">
        <v>50</v>
      </c>
      <c r="F2152">
        <v>62.257633208999998</v>
      </c>
      <c r="G2152">
        <v>1337.3334961</v>
      </c>
      <c r="H2152">
        <v>1335.6536865</v>
      </c>
      <c r="I2152">
        <v>1327.7181396000001</v>
      </c>
      <c r="J2152">
        <v>1326.1228027</v>
      </c>
      <c r="K2152">
        <v>1650</v>
      </c>
      <c r="L2152">
        <v>0</v>
      </c>
      <c r="M2152">
        <v>0</v>
      </c>
      <c r="N2152">
        <v>1650</v>
      </c>
    </row>
    <row r="2153" spans="1:14" x14ac:dyDescent="0.25">
      <c r="A2153">
        <v>1629.756652</v>
      </c>
      <c r="B2153" s="1">
        <f>DATE(2014,10,16) + TIME(18,9,34)</f>
        <v>41928.756643518522</v>
      </c>
      <c r="C2153">
        <v>80</v>
      </c>
      <c r="D2153">
        <v>79.970954895000006</v>
      </c>
      <c r="E2153">
        <v>50</v>
      </c>
      <c r="F2153">
        <v>62.691410064999999</v>
      </c>
      <c r="G2153">
        <v>1337.3306885</v>
      </c>
      <c r="H2153">
        <v>1335.652832</v>
      </c>
      <c r="I2153">
        <v>1327.7242432</v>
      </c>
      <c r="J2153">
        <v>1326.1292725000001</v>
      </c>
      <c r="K2153">
        <v>1650</v>
      </c>
      <c r="L2153">
        <v>0</v>
      </c>
      <c r="M2153">
        <v>0</v>
      </c>
      <c r="N2153">
        <v>1650</v>
      </c>
    </row>
    <row r="2154" spans="1:14" x14ac:dyDescent="0.25">
      <c r="A2154">
        <v>1633.9840610000001</v>
      </c>
      <c r="B2154" s="1">
        <f>DATE(2014,10,20) + TIME(23,37,2)</f>
        <v>41932.984050925923</v>
      </c>
      <c r="C2154">
        <v>80</v>
      </c>
      <c r="D2154">
        <v>79.970985412999994</v>
      </c>
      <c r="E2154">
        <v>50</v>
      </c>
      <c r="F2154">
        <v>63.110321044999999</v>
      </c>
      <c r="G2154">
        <v>1337.3277588000001</v>
      </c>
      <c r="H2154">
        <v>1335.6519774999999</v>
      </c>
      <c r="I2154">
        <v>1327.7304687999999</v>
      </c>
      <c r="J2154">
        <v>1326.1358643000001</v>
      </c>
      <c r="K2154">
        <v>1650</v>
      </c>
      <c r="L2154">
        <v>0</v>
      </c>
      <c r="M2154">
        <v>0</v>
      </c>
      <c r="N2154">
        <v>1650</v>
      </c>
    </row>
    <row r="2155" spans="1:14" x14ac:dyDescent="0.25">
      <c r="A2155">
        <v>1638.3691650000001</v>
      </c>
      <c r="B2155" s="1">
        <f>DATE(2014,10,25) + TIME(8,51,35)</f>
        <v>41937.369155092594</v>
      </c>
      <c r="C2155">
        <v>80</v>
      </c>
      <c r="D2155">
        <v>79.971015929999993</v>
      </c>
      <c r="E2155">
        <v>50</v>
      </c>
      <c r="F2155">
        <v>63.504909515000001</v>
      </c>
      <c r="G2155">
        <v>1337.3250731999999</v>
      </c>
      <c r="H2155">
        <v>1335.6512451000001</v>
      </c>
      <c r="I2155">
        <v>1327.7365723</v>
      </c>
      <c r="J2155">
        <v>1326.1423339999999</v>
      </c>
      <c r="K2155">
        <v>1650</v>
      </c>
      <c r="L2155">
        <v>0</v>
      </c>
      <c r="M2155">
        <v>0</v>
      </c>
      <c r="N2155">
        <v>1650</v>
      </c>
    </row>
    <row r="2156" spans="1:14" x14ac:dyDescent="0.25">
      <c r="A2156">
        <v>1642.9103270000001</v>
      </c>
      <c r="B2156" s="1">
        <f>DATE(2014,10,29) + TIME(21,50,52)</f>
        <v>41941.910324074073</v>
      </c>
      <c r="C2156">
        <v>80</v>
      </c>
      <c r="D2156">
        <v>79.971046447999996</v>
      </c>
      <c r="E2156">
        <v>50</v>
      </c>
      <c r="F2156">
        <v>63.886566162000001</v>
      </c>
      <c r="G2156">
        <v>1337.3222656</v>
      </c>
      <c r="H2156">
        <v>1335.6505127</v>
      </c>
      <c r="I2156">
        <v>1327.7427978999999</v>
      </c>
      <c r="J2156">
        <v>1326.1488036999999</v>
      </c>
      <c r="K2156">
        <v>1650</v>
      </c>
      <c r="L2156">
        <v>0</v>
      </c>
      <c r="M2156">
        <v>0</v>
      </c>
      <c r="N2156">
        <v>1650</v>
      </c>
    </row>
    <row r="2157" spans="1:14" x14ac:dyDescent="0.25">
      <c r="A2157">
        <v>1645</v>
      </c>
      <c r="B2157" s="1">
        <f>DATE(2014,11,1) + TIME(0,0,0)</f>
        <v>41944</v>
      </c>
      <c r="C2157">
        <v>80</v>
      </c>
      <c r="D2157">
        <v>79.971046447999996</v>
      </c>
      <c r="E2157">
        <v>50</v>
      </c>
      <c r="F2157">
        <v>64.193664550999998</v>
      </c>
      <c r="G2157">
        <v>1337.3195800999999</v>
      </c>
      <c r="H2157">
        <v>1335.6496582</v>
      </c>
      <c r="I2157">
        <v>1327.7497559000001</v>
      </c>
      <c r="J2157">
        <v>1326.1553954999999</v>
      </c>
      <c r="K2157">
        <v>1650</v>
      </c>
      <c r="L2157">
        <v>0</v>
      </c>
      <c r="M2157">
        <v>0</v>
      </c>
      <c r="N2157">
        <v>1650</v>
      </c>
    </row>
    <row r="2158" spans="1:14" x14ac:dyDescent="0.25">
      <c r="A2158">
        <v>1645.0000010000001</v>
      </c>
      <c r="B2158" s="1">
        <f>DATE(2014,11,1) + TIME(0,0,0)</f>
        <v>41944</v>
      </c>
      <c r="C2158">
        <v>80</v>
      </c>
      <c r="D2158">
        <v>79.970977782999995</v>
      </c>
      <c r="E2158">
        <v>50</v>
      </c>
      <c r="F2158">
        <v>64.193733214999995</v>
      </c>
      <c r="G2158">
        <v>1335.1751709</v>
      </c>
      <c r="H2158">
        <v>1334.7982178</v>
      </c>
      <c r="I2158">
        <v>1329.9617920000001</v>
      </c>
      <c r="J2158">
        <v>1328.3887939000001</v>
      </c>
      <c r="K2158">
        <v>0</v>
      </c>
      <c r="L2158">
        <v>1650</v>
      </c>
      <c r="M2158">
        <v>1650</v>
      </c>
      <c r="N2158">
        <v>0</v>
      </c>
    </row>
    <row r="2159" spans="1:14" x14ac:dyDescent="0.25">
      <c r="A2159">
        <v>1645.000004</v>
      </c>
      <c r="B2159" s="1">
        <f>DATE(2014,11,1) + TIME(0,0,0)</f>
        <v>41944</v>
      </c>
      <c r="C2159">
        <v>80</v>
      </c>
      <c r="D2159">
        <v>79.970886230000005</v>
      </c>
      <c r="E2159">
        <v>50</v>
      </c>
      <c r="F2159">
        <v>64.193809509000005</v>
      </c>
      <c r="G2159">
        <v>1334.5449219</v>
      </c>
      <c r="H2159">
        <v>1334.1688231999999</v>
      </c>
      <c r="I2159">
        <v>1330.7756348</v>
      </c>
      <c r="J2159">
        <v>1329.2845459</v>
      </c>
      <c r="K2159">
        <v>0</v>
      </c>
      <c r="L2159">
        <v>1650</v>
      </c>
      <c r="M2159">
        <v>1650</v>
      </c>
      <c r="N2159">
        <v>0</v>
      </c>
    </row>
    <row r="2160" spans="1:14" x14ac:dyDescent="0.25">
      <c r="A2160">
        <v>1645.0000130000001</v>
      </c>
      <c r="B2160" s="1">
        <f>DATE(2014,11,1) + TIME(0,0,1)</f>
        <v>41944.000011574077</v>
      </c>
      <c r="C2160">
        <v>80</v>
      </c>
      <c r="D2160">
        <v>79.970794678000004</v>
      </c>
      <c r="E2160">
        <v>50</v>
      </c>
      <c r="F2160">
        <v>64.193786621000001</v>
      </c>
      <c r="G2160">
        <v>1333.8870850000001</v>
      </c>
      <c r="H2160">
        <v>1333.4830322</v>
      </c>
      <c r="I2160">
        <v>1331.7448730000001</v>
      </c>
      <c r="J2160">
        <v>1330.2318115</v>
      </c>
      <c r="K2160">
        <v>0</v>
      </c>
      <c r="L2160">
        <v>1650</v>
      </c>
      <c r="M2160">
        <v>1650</v>
      </c>
      <c r="N2160">
        <v>0</v>
      </c>
    </row>
    <row r="2161" spans="1:14" x14ac:dyDescent="0.25">
      <c r="A2161">
        <v>1645.0000399999999</v>
      </c>
      <c r="B2161" s="1">
        <f>DATE(2014,11,1) + TIME(0,0,3)</f>
        <v>41944.000034722223</v>
      </c>
      <c r="C2161">
        <v>80</v>
      </c>
      <c r="D2161">
        <v>79.970703125</v>
      </c>
      <c r="E2161">
        <v>50</v>
      </c>
      <c r="F2161">
        <v>64.193450928000004</v>
      </c>
      <c r="G2161">
        <v>1333.2332764</v>
      </c>
      <c r="H2161">
        <v>1332.7929687999999</v>
      </c>
      <c r="I2161">
        <v>1332.7275391000001</v>
      </c>
      <c r="J2161">
        <v>1331.1823730000001</v>
      </c>
      <c r="K2161">
        <v>0</v>
      </c>
      <c r="L2161">
        <v>1650</v>
      </c>
      <c r="M2161">
        <v>1650</v>
      </c>
      <c r="N2161">
        <v>0</v>
      </c>
    </row>
    <row r="2162" spans="1:14" x14ac:dyDescent="0.25">
      <c r="A2162">
        <v>1645.000121</v>
      </c>
      <c r="B2162" s="1">
        <f>DATE(2014,11,1) + TIME(0,0,10)</f>
        <v>41944.000115740739</v>
      </c>
      <c r="C2162">
        <v>80</v>
      </c>
      <c r="D2162">
        <v>79.970596313000001</v>
      </c>
      <c r="E2162">
        <v>50</v>
      </c>
      <c r="F2162">
        <v>64.192146300999994</v>
      </c>
      <c r="G2162">
        <v>1332.5623779</v>
      </c>
      <c r="H2162">
        <v>1332.0816649999999</v>
      </c>
      <c r="I2162">
        <v>1333.6923827999999</v>
      </c>
      <c r="J2162">
        <v>1332.1158447</v>
      </c>
      <c r="K2162">
        <v>0</v>
      </c>
      <c r="L2162">
        <v>1650</v>
      </c>
      <c r="M2162">
        <v>1650</v>
      </c>
      <c r="N2162">
        <v>0</v>
      </c>
    </row>
    <row r="2163" spans="1:14" x14ac:dyDescent="0.25">
      <c r="A2163">
        <v>1645.000364</v>
      </c>
      <c r="B2163" s="1">
        <f>DATE(2014,11,1) + TIME(0,0,31)</f>
        <v>41944.000358796293</v>
      </c>
      <c r="C2163">
        <v>80</v>
      </c>
      <c r="D2163">
        <v>79.970481872999997</v>
      </c>
      <c r="E2163">
        <v>50</v>
      </c>
      <c r="F2163">
        <v>64.187881469999994</v>
      </c>
      <c r="G2163">
        <v>1331.8905029</v>
      </c>
      <c r="H2163">
        <v>1331.3669434000001</v>
      </c>
      <c r="I2163">
        <v>1334.6129149999999</v>
      </c>
      <c r="J2163">
        <v>1332.9952393000001</v>
      </c>
      <c r="K2163">
        <v>0</v>
      </c>
      <c r="L2163">
        <v>1650</v>
      </c>
      <c r="M2163">
        <v>1650</v>
      </c>
      <c r="N2163">
        <v>0</v>
      </c>
    </row>
    <row r="2164" spans="1:14" x14ac:dyDescent="0.25">
      <c r="A2164">
        <v>1645.0010930000001</v>
      </c>
      <c r="B2164" s="1">
        <f>DATE(2014,11,1) + TIME(0,1,34)</f>
        <v>41944.001087962963</v>
      </c>
      <c r="C2164">
        <v>80</v>
      </c>
      <c r="D2164">
        <v>79.970336914000001</v>
      </c>
      <c r="E2164">
        <v>50</v>
      </c>
      <c r="F2164">
        <v>64.174499511999997</v>
      </c>
      <c r="G2164">
        <v>1331.3208007999999</v>
      </c>
      <c r="H2164">
        <v>1330.7604980000001</v>
      </c>
      <c r="I2164">
        <v>1335.3752440999999</v>
      </c>
      <c r="J2164">
        <v>1333.7138672000001</v>
      </c>
      <c r="K2164">
        <v>0</v>
      </c>
      <c r="L2164">
        <v>1650</v>
      </c>
      <c r="M2164">
        <v>1650</v>
      </c>
      <c r="N2164">
        <v>0</v>
      </c>
    </row>
    <row r="2165" spans="1:14" x14ac:dyDescent="0.25">
      <c r="A2165">
        <v>1645.0032799999999</v>
      </c>
      <c r="B2165" s="1">
        <f>DATE(2014,11,1) + TIME(0,4,43)</f>
        <v>41944.003275462965</v>
      </c>
      <c r="C2165">
        <v>80</v>
      </c>
      <c r="D2165">
        <v>79.970077515</v>
      </c>
      <c r="E2165">
        <v>50</v>
      </c>
      <c r="F2165">
        <v>64.133575438999998</v>
      </c>
      <c r="G2165">
        <v>1330.947876</v>
      </c>
      <c r="H2165">
        <v>1330.3684082</v>
      </c>
      <c r="I2165">
        <v>1335.8677978999999</v>
      </c>
      <c r="J2165">
        <v>1334.1788329999999</v>
      </c>
      <c r="K2165">
        <v>0</v>
      </c>
      <c r="L2165">
        <v>1650</v>
      </c>
      <c r="M2165">
        <v>1650</v>
      </c>
      <c r="N2165">
        <v>0</v>
      </c>
    </row>
    <row r="2166" spans="1:14" x14ac:dyDescent="0.25">
      <c r="A2166">
        <v>1645.0098410000001</v>
      </c>
      <c r="B2166" s="1">
        <f>DATE(2014,11,1) + TIME(0,14,10)</f>
        <v>41944.009837962964</v>
      </c>
      <c r="C2166">
        <v>80</v>
      </c>
      <c r="D2166">
        <v>79.969436646000005</v>
      </c>
      <c r="E2166">
        <v>50</v>
      </c>
      <c r="F2166">
        <v>64.011199950999995</v>
      </c>
      <c r="G2166">
        <v>1330.7698975000001</v>
      </c>
      <c r="H2166">
        <v>1330.1846923999999</v>
      </c>
      <c r="I2166">
        <v>1336.0887451000001</v>
      </c>
      <c r="J2166">
        <v>1334.3896483999999</v>
      </c>
      <c r="K2166">
        <v>0</v>
      </c>
      <c r="L2166">
        <v>1650</v>
      </c>
      <c r="M2166">
        <v>1650</v>
      </c>
      <c r="N2166">
        <v>0</v>
      </c>
    </row>
    <row r="2167" spans="1:14" x14ac:dyDescent="0.25">
      <c r="A2167">
        <v>1645.029524</v>
      </c>
      <c r="B2167" s="1">
        <f>DATE(2014,11,1) + TIME(0,42,30)</f>
        <v>41944.029513888891</v>
      </c>
      <c r="C2167">
        <v>80</v>
      </c>
      <c r="D2167">
        <v>79.967590332</v>
      </c>
      <c r="E2167">
        <v>50</v>
      </c>
      <c r="F2167">
        <v>63.654636383000003</v>
      </c>
      <c r="G2167">
        <v>1330.7180175999999</v>
      </c>
      <c r="H2167">
        <v>1330.1309814000001</v>
      </c>
      <c r="I2167">
        <v>1336.1354980000001</v>
      </c>
      <c r="J2167">
        <v>1334.4334716999999</v>
      </c>
      <c r="K2167">
        <v>0</v>
      </c>
      <c r="L2167">
        <v>1650</v>
      </c>
      <c r="M2167">
        <v>1650</v>
      </c>
      <c r="N2167">
        <v>0</v>
      </c>
    </row>
    <row r="2168" spans="1:14" x14ac:dyDescent="0.25">
      <c r="A2168">
        <v>1645.076325</v>
      </c>
      <c r="B2168" s="1">
        <f>DATE(2014,11,1) + TIME(1,49,54)</f>
        <v>41944.076319444444</v>
      </c>
      <c r="C2168">
        <v>80</v>
      </c>
      <c r="D2168">
        <v>79.963287354000002</v>
      </c>
      <c r="E2168">
        <v>50</v>
      </c>
      <c r="F2168">
        <v>62.864639281999999</v>
      </c>
      <c r="G2168">
        <v>1330.7073975000001</v>
      </c>
      <c r="H2168">
        <v>1330.1184082</v>
      </c>
      <c r="I2168">
        <v>1336.1269531</v>
      </c>
      <c r="J2168">
        <v>1334.4235839999999</v>
      </c>
      <c r="K2168">
        <v>0</v>
      </c>
      <c r="L2168">
        <v>1650</v>
      </c>
      <c r="M2168">
        <v>1650</v>
      </c>
      <c r="N2168">
        <v>0</v>
      </c>
    </row>
    <row r="2169" spans="1:14" x14ac:dyDescent="0.25">
      <c r="A2169">
        <v>1645.1256760000001</v>
      </c>
      <c r="B2169" s="1">
        <f>DATE(2014,11,1) + TIME(3,0,58)</f>
        <v>41944.125671296293</v>
      </c>
      <c r="C2169">
        <v>80</v>
      </c>
      <c r="D2169">
        <v>79.958778381000002</v>
      </c>
      <c r="E2169">
        <v>50</v>
      </c>
      <c r="F2169">
        <v>62.091087340999998</v>
      </c>
      <c r="G2169">
        <v>1330.7004394999999</v>
      </c>
      <c r="H2169">
        <v>1330.1079102000001</v>
      </c>
      <c r="I2169">
        <v>1336.1126709</v>
      </c>
      <c r="J2169">
        <v>1334.4099120999999</v>
      </c>
      <c r="K2169">
        <v>0</v>
      </c>
      <c r="L2169">
        <v>1650</v>
      </c>
      <c r="M2169">
        <v>1650</v>
      </c>
      <c r="N2169">
        <v>0</v>
      </c>
    </row>
    <row r="2170" spans="1:14" x14ac:dyDescent="0.25">
      <c r="A2170">
        <v>1645.17778</v>
      </c>
      <c r="B2170" s="1">
        <f>DATE(2014,11,1) + TIME(4,16,0)</f>
        <v>41944.177777777775</v>
      </c>
      <c r="C2170">
        <v>80</v>
      </c>
      <c r="D2170">
        <v>79.954048157000003</v>
      </c>
      <c r="E2170">
        <v>50</v>
      </c>
      <c r="F2170">
        <v>61.334522247000002</v>
      </c>
      <c r="G2170">
        <v>1330.6937256000001</v>
      </c>
      <c r="H2170">
        <v>1330.0976562000001</v>
      </c>
      <c r="I2170">
        <v>1336.0988769999999</v>
      </c>
      <c r="J2170">
        <v>1334.3967285000001</v>
      </c>
      <c r="K2170">
        <v>0</v>
      </c>
      <c r="L2170">
        <v>1650</v>
      </c>
      <c r="M2170">
        <v>1650</v>
      </c>
      <c r="N2170">
        <v>0</v>
      </c>
    </row>
    <row r="2171" spans="1:14" x14ac:dyDescent="0.25">
      <c r="A2171">
        <v>1645.232892</v>
      </c>
      <c r="B2171" s="1">
        <f>DATE(2014,11,1) + TIME(5,35,21)</f>
        <v>41944.232881944445</v>
      </c>
      <c r="C2171">
        <v>80</v>
      </c>
      <c r="D2171">
        <v>79.949066161999994</v>
      </c>
      <c r="E2171">
        <v>50</v>
      </c>
      <c r="F2171">
        <v>60.595153809000003</v>
      </c>
      <c r="G2171">
        <v>1330.6868896000001</v>
      </c>
      <c r="H2171">
        <v>1330.0872803</v>
      </c>
      <c r="I2171">
        <v>1336.0856934000001</v>
      </c>
      <c r="J2171">
        <v>1334.3841553</v>
      </c>
      <c r="K2171">
        <v>0</v>
      </c>
      <c r="L2171">
        <v>1650</v>
      </c>
      <c r="M2171">
        <v>1650</v>
      </c>
      <c r="N2171">
        <v>0</v>
      </c>
    </row>
    <row r="2172" spans="1:14" x14ac:dyDescent="0.25">
      <c r="A2172">
        <v>1645.291301</v>
      </c>
      <c r="B2172" s="1">
        <f>DATE(2014,11,1) + TIME(6,59,28)</f>
        <v>41944.291296296295</v>
      </c>
      <c r="C2172">
        <v>80</v>
      </c>
      <c r="D2172">
        <v>79.943824767999999</v>
      </c>
      <c r="E2172">
        <v>50</v>
      </c>
      <c r="F2172">
        <v>59.873130797999998</v>
      </c>
      <c r="G2172">
        <v>1330.6799315999999</v>
      </c>
      <c r="H2172">
        <v>1330.0765381000001</v>
      </c>
      <c r="I2172">
        <v>1336.0733643000001</v>
      </c>
      <c r="J2172">
        <v>1334.3720702999999</v>
      </c>
      <c r="K2172">
        <v>0</v>
      </c>
      <c r="L2172">
        <v>1650</v>
      </c>
      <c r="M2172">
        <v>1650</v>
      </c>
      <c r="N2172">
        <v>0</v>
      </c>
    </row>
    <row r="2173" spans="1:14" x14ac:dyDescent="0.25">
      <c r="A2173">
        <v>1645.3533359999999</v>
      </c>
      <c r="B2173" s="1">
        <f>DATE(2014,11,1) + TIME(8,28,48)</f>
        <v>41944.353333333333</v>
      </c>
      <c r="C2173">
        <v>80</v>
      </c>
      <c r="D2173">
        <v>79.938301085999996</v>
      </c>
      <c r="E2173">
        <v>50</v>
      </c>
      <c r="F2173">
        <v>59.168430327999999</v>
      </c>
      <c r="G2173">
        <v>1330.6727295000001</v>
      </c>
      <c r="H2173">
        <v>1330.0655518000001</v>
      </c>
      <c r="I2173">
        <v>1336.0616454999999</v>
      </c>
      <c r="J2173">
        <v>1334.3604736</v>
      </c>
      <c r="K2173">
        <v>0</v>
      </c>
      <c r="L2173">
        <v>1650</v>
      </c>
      <c r="M2173">
        <v>1650</v>
      </c>
      <c r="N2173">
        <v>0</v>
      </c>
    </row>
    <row r="2174" spans="1:14" x14ac:dyDescent="0.25">
      <c r="A2174">
        <v>1645.4193740000001</v>
      </c>
      <c r="B2174" s="1">
        <f>DATE(2014,11,1) + TIME(10,3,53)</f>
        <v>41944.419363425928</v>
      </c>
      <c r="C2174">
        <v>80</v>
      </c>
      <c r="D2174">
        <v>79.932456970000004</v>
      </c>
      <c r="E2174">
        <v>50</v>
      </c>
      <c r="F2174">
        <v>58.481845856</v>
      </c>
      <c r="G2174">
        <v>1330.6652832</v>
      </c>
      <c r="H2174">
        <v>1330.0543213000001</v>
      </c>
      <c r="I2174">
        <v>1336.0507812000001</v>
      </c>
      <c r="J2174">
        <v>1334.3496094</v>
      </c>
      <c r="K2174">
        <v>0</v>
      </c>
      <c r="L2174">
        <v>1650</v>
      </c>
      <c r="M2174">
        <v>1650</v>
      </c>
      <c r="N2174">
        <v>0</v>
      </c>
    </row>
    <row r="2175" spans="1:14" x14ac:dyDescent="0.25">
      <c r="A2175">
        <v>1645.4898479999999</v>
      </c>
      <c r="B2175" s="1">
        <f>DATE(2014,11,1) + TIME(11,45,22)</f>
        <v>41944.489837962959</v>
      </c>
      <c r="C2175">
        <v>80</v>
      </c>
      <c r="D2175">
        <v>79.926277161000002</v>
      </c>
      <c r="E2175">
        <v>50</v>
      </c>
      <c r="F2175">
        <v>57.813850403000004</v>
      </c>
      <c r="G2175">
        <v>1330.6577147999999</v>
      </c>
      <c r="H2175">
        <v>1330.0426024999999</v>
      </c>
      <c r="I2175">
        <v>1336.0406493999999</v>
      </c>
      <c r="J2175">
        <v>1334.3392334</v>
      </c>
      <c r="K2175">
        <v>0</v>
      </c>
      <c r="L2175">
        <v>1650</v>
      </c>
      <c r="M2175">
        <v>1650</v>
      </c>
      <c r="N2175">
        <v>0</v>
      </c>
    </row>
    <row r="2176" spans="1:14" x14ac:dyDescent="0.25">
      <c r="A2176">
        <v>1645.565257</v>
      </c>
      <c r="B2176" s="1">
        <f>DATE(2014,11,1) + TIME(13,33,58)</f>
        <v>41944.565254629626</v>
      </c>
      <c r="C2176">
        <v>80</v>
      </c>
      <c r="D2176">
        <v>79.919715881000002</v>
      </c>
      <c r="E2176">
        <v>50</v>
      </c>
      <c r="F2176">
        <v>57.164993285999998</v>
      </c>
      <c r="G2176">
        <v>1330.6497803</v>
      </c>
      <c r="H2176">
        <v>1330.0306396000001</v>
      </c>
      <c r="I2176">
        <v>1336.0314940999999</v>
      </c>
      <c r="J2176">
        <v>1334.3297118999999</v>
      </c>
      <c r="K2176">
        <v>0</v>
      </c>
      <c r="L2176">
        <v>1650</v>
      </c>
      <c r="M2176">
        <v>1650</v>
      </c>
      <c r="N2176">
        <v>0</v>
      </c>
    </row>
    <row r="2177" spans="1:14" x14ac:dyDescent="0.25">
      <c r="A2177">
        <v>1645.6461830000001</v>
      </c>
      <c r="B2177" s="1">
        <f>DATE(2014,11,1) + TIME(15,30,30)</f>
        <v>41944.646180555559</v>
      </c>
      <c r="C2177">
        <v>80</v>
      </c>
      <c r="D2177">
        <v>79.912742614999999</v>
      </c>
      <c r="E2177">
        <v>50</v>
      </c>
      <c r="F2177">
        <v>56.535926818999997</v>
      </c>
      <c r="G2177">
        <v>1330.6416016000001</v>
      </c>
      <c r="H2177">
        <v>1330.0183105000001</v>
      </c>
      <c r="I2177">
        <v>1336.0230713000001</v>
      </c>
      <c r="J2177">
        <v>1334.3206786999999</v>
      </c>
      <c r="K2177">
        <v>0</v>
      </c>
      <c r="L2177">
        <v>1650</v>
      </c>
      <c r="M2177">
        <v>1650</v>
      </c>
      <c r="N2177">
        <v>0</v>
      </c>
    </row>
    <row r="2178" spans="1:14" x14ac:dyDescent="0.25">
      <c r="A2178">
        <v>1645.731861</v>
      </c>
      <c r="B2178" s="1">
        <f>DATE(2014,11,1) + TIME(17,33,52)</f>
        <v>41944.731851851851</v>
      </c>
      <c r="C2178">
        <v>80</v>
      </c>
      <c r="D2178">
        <v>79.905426024999997</v>
      </c>
      <c r="E2178">
        <v>50</v>
      </c>
      <c r="F2178">
        <v>55.936527251999998</v>
      </c>
      <c r="G2178">
        <v>1330.6331786999999</v>
      </c>
      <c r="H2178">
        <v>1330.0054932</v>
      </c>
      <c r="I2178">
        <v>1336.0159911999999</v>
      </c>
      <c r="J2178">
        <v>1334.3127440999999</v>
      </c>
      <c r="K2178">
        <v>0</v>
      </c>
      <c r="L2178">
        <v>1650</v>
      </c>
      <c r="M2178">
        <v>1650</v>
      </c>
      <c r="N2178">
        <v>0</v>
      </c>
    </row>
    <row r="2179" spans="1:14" x14ac:dyDescent="0.25">
      <c r="A2179">
        <v>1645.8213860000001</v>
      </c>
      <c r="B2179" s="1">
        <f>DATE(2014,11,1) + TIME(19,42,47)</f>
        <v>41944.821377314816</v>
      </c>
      <c r="C2179">
        <v>80</v>
      </c>
      <c r="D2179">
        <v>79.897850036999998</v>
      </c>
      <c r="E2179">
        <v>50</v>
      </c>
      <c r="F2179">
        <v>55.374305724999999</v>
      </c>
      <c r="G2179">
        <v>1330.6246338000001</v>
      </c>
      <c r="H2179">
        <v>1329.9924315999999</v>
      </c>
      <c r="I2179">
        <v>1336.0101318</v>
      </c>
      <c r="J2179">
        <v>1334.3057861</v>
      </c>
      <c r="K2179">
        <v>0</v>
      </c>
      <c r="L2179">
        <v>1650</v>
      </c>
      <c r="M2179">
        <v>1650</v>
      </c>
      <c r="N2179">
        <v>0</v>
      </c>
    </row>
    <row r="2180" spans="1:14" x14ac:dyDescent="0.25">
      <c r="A2180">
        <v>1645.9151690000001</v>
      </c>
      <c r="B2180" s="1">
        <f>DATE(2014,11,1) + TIME(21,57,50)</f>
        <v>41944.915162037039</v>
      </c>
      <c r="C2180">
        <v>80</v>
      </c>
      <c r="D2180">
        <v>79.889984131000006</v>
      </c>
      <c r="E2180">
        <v>50</v>
      </c>
      <c r="F2180">
        <v>54.847244263</v>
      </c>
      <c r="G2180">
        <v>1330.6159668</v>
      </c>
      <c r="H2180">
        <v>1329.9792480000001</v>
      </c>
      <c r="I2180">
        <v>1336.0053711</v>
      </c>
      <c r="J2180">
        <v>1334.2996826000001</v>
      </c>
      <c r="K2180">
        <v>0</v>
      </c>
      <c r="L2180">
        <v>1650</v>
      </c>
      <c r="M2180">
        <v>1650</v>
      </c>
      <c r="N2180">
        <v>0</v>
      </c>
    </row>
    <row r="2181" spans="1:14" x14ac:dyDescent="0.25">
      <c r="A2181">
        <v>1646.0136580000001</v>
      </c>
      <c r="B2181" s="1">
        <f>DATE(2014,11,2) + TIME(0,19,40)</f>
        <v>41945.013657407406</v>
      </c>
      <c r="C2181">
        <v>80</v>
      </c>
      <c r="D2181">
        <v>79.881805420000006</v>
      </c>
      <c r="E2181">
        <v>50</v>
      </c>
      <c r="F2181">
        <v>54.353660583</v>
      </c>
      <c r="G2181">
        <v>1330.6070557</v>
      </c>
      <c r="H2181">
        <v>1329.9658202999999</v>
      </c>
      <c r="I2181">
        <v>1336.0017089999999</v>
      </c>
      <c r="J2181">
        <v>1334.2944336</v>
      </c>
      <c r="K2181">
        <v>0</v>
      </c>
      <c r="L2181">
        <v>1650</v>
      </c>
      <c r="M2181">
        <v>1650</v>
      </c>
      <c r="N2181">
        <v>0</v>
      </c>
    </row>
    <row r="2182" spans="1:14" x14ac:dyDescent="0.25">
      <c r="A2182">
        <v>1646.117352</v>
      </c>
      <c r="B2182" s="1">
        <f>DATE(2014,11,2) + TIME(2,48,59)</f>
        <v>41945.117349537039</v>
      </c>
      <c r="C2182">
        <v>80</v>
      </c>
      <c r="D2182">
        <v>79.873283385999997</v>
      </c>
      <c r="E2182">
        <v>50</v>
      </c>
      <c r="F2182">
        <v>53.892131804999998</v>
      </c>
      <c r="G2182">
        <v>1330.5981445</v>
      </c>
      <c r="H2182">
        <v>1329.9522704999999</v>
      </c>
      <c r="I2182">
        <v>1335.9991454999999</v>
      </c>
      <c r="J2182">
        <v>1334.2900391000001</v>
      </c>
      <c r="K2182">
        <v>0</v>
      </c>
      <c r="L2182">
        <v>1650</v>
      </c>
      <c r="M2182">
        <v>1650</v>
      </c>
      <c r="N2182">
        <v>0</v>
      </c>
    </row>
    <row r="2183" spans="1:14" x14ac:dyDescent="0.25">
      <c r="A2183">
        <v>1646.2268309999999</v>
      </c>
      <c r="B2183" s="1">
        <f>DATE(2014,11,2) + TIME(5,26,38)</f>
        <v>41945.2268287037</v>
      </c>
      <c r="C2183">
        <v>80</v>
      </c>
      <c r="D2183">
        <v>79.864372252999999</v>
      </c>
      <c r="E2183">
        <v>50</v>
      </c>
      <c r="F2183">
        <v>53.461368561</v>
      </c>
      <c r="G2183">
        <v>1330.5889893000001</v>
      </c>
      <c r="H2183">
        <v>1329.9384766000001</v>
      </c>
      <c r="I2183">
        <v>1335.9973144999999</v>
      </c>
      <c r="J2183">
        <v>1334.2863769999999</v>
      </c>
      <c r="K2183">
        <v>0</v>
      </c>
      <c r="L2183">
        <v>1650</v>
      </c>
      <c r="M2183">
        <v>1650</v>
      </c>
      <c r="N2183">
        <v>0</v>
      </c>
    </row>
    <row r="2184" spans="1:14" x14ac:dyDescent="0.25">
      <c r="A2184">
        <v>1646.3427810000001</v>
      </c>
      <c r="B2184" s="1">
        <f>DATE(2014,11,2) + TIME(8,13,36)</f>
        <v>41945.342777777776</v>
      </c>
      <c r="C2184">
        <v>80</v>
      </c>
      <c r="D2184">
        <v>79.855049132999994</v>
      </c>
      <c r="E2184">
        <v>50</v>
      </c>
      <c r="F2184">
        <v>53.060195923000002</v>
      </c>
      <c r="G2184">
        <v>1330.5795897999999</v>
      </c>
      <c r="H2184">
        <v>1329.9243164</v>
      </c>
      <c r="I2184">
        <v>1335.9964600000001</v>
      </c>
      <c r="J2184">
        <v>1334.2834473</v>
      </c>
      <c r="K2184">
        <v>0</v>
      </c>
      <c r="L2184">
        <v>1650</v>
      </c>
      <c r="M2184">
        <v>1650</v>
      </c>
      <c r="N2184">
        <v>0</v>
      </c>
    </row>
    <row r="2185" spans="1:14" x14ac:dyDescent="0.25">
      <c r="A2185">
        <v>1646.4659839999999</v>
      </c>
      <c r="B2185" s="1">
        <f>DATE(2014,11,2) + TIME(11,11,1)</f>
        <v>41945.465983796297</v>
      </c>
      <c r="C2185">
        <v>80</v>
      </c>
      <c r="D2185">
        <v>79.845245360999996</v>
      </c>
      <c r="E2185">
        <v>50</v>
      </c>
      <c r="F2185">
        <v>52.687629700000002</v>
      </c>
      <c r="G2185">
        <v>1330.5699463000001</v>
      </c>
      <c r="H2185">
        <v>1329.9099120999999</v>
      </c>
      <c r="I2185">
        <v>1335.9964600000001</v>
      </c>
      <c r="J2185">
        <v>1334.2811279</v>
      </c>
      <c r="K2185">
        <v>0</v>
      </c>
      <c r="L2185">
        <v>1650</v>
      </c>
      <c r="M2185">
        <v>1650</v>
      </c>
      <c r="N2185">
        <v>0</v>
      </c>
    </row>
    <row r="2186" spans="1:14" x14ac:dyDescent="0.25">
      <c r="A2186">
        <v>1646.597352</v>
      </c>
      <c r="B2186" s="1">
        <f>DATE(2014,11,2) + TIME(14,20,11)</f>
        <v>41945.597349537034</v>
      </c>
      <c r="C2186">
        <v>80</v>
      </c>
      <c r="D2186">
        <v>79.834922790999997</v>
      </c>
      <c r="E2186">
        <v>50</v>
      </c>
      <c r="F2186">
        <v>52.342811584000003</v>
      </c>
      <c r="G2186">
        <v>1330.5600586</v>
      </c>
      <c r="H2186">
        <v>1329.8950195</v>
      </c>
      <c r="I2186">
        <v>1335.9970702999999</v>
      </c>
      <c r="J2186">
        <v>1334.2795410000001</v>
      </c>
      <c r="K2186">
        <v>0</v>
      </c>
      <c r="L2186">
        <v>1650</v>
      </c>
      <c r="M2186">
        <v>1650</v>
      </c>
      <c r="N2186">
        <v>0</v>
      </c>
    </row>
    <row r="2187" spans="1:14" x14ac:dyDescent="0.25">
      <c r="A2187">
        <v>1646.7379639999999</v>
      </c>
      <c r="B2187" s="1">
        <f>DATE(2014,11,2) + TIME(17,42,40)</f>
        <v>41945.737962962965</v>
      </c>
      <c r="C2187">
        <v>80</v>
      </c>
      <c r="D2187">
        <v>79.824012756000002</v>
      </c>
      <c r="E2187">
        <v>50</v>
      </c>
      <c r="F2187">
        <v>52.024978638</v>
      </c>
      <c r="G2187">
        <v>1330.5498047000001</v>
      </c>
      <c r="H2187">
        <v>1329.8797606999999</v>
      </c>
      <c r="I2187">
        <v>1335.9984131000001</v>
      </c>
      <c r="J2187">
        <v>1334.2784423999999</v>
      </c>
      <c r="K2187">
        <v>0</v>
      </c>
      <c r="L2187">
        <v>1650</v>
      </c>
      <c r="M2187">
        <v>1650</v>
      </c>
      <c r="N2187">
        <v>0</v>
      </c>
    </row>
    <row r="2188" spans="1:14" x14ac:dyDescent="0.25">
      <c r="A2188">
        <v>1646.889101</v>
      </c>
      <c r="B2188" s="1">
        <f>DATE(2014,11,2) + TIME(21,20,18)</f>
        <v>41945.889097222222</v>
      </c>
      <c r="C2188">
        <v>80</v>
      </c>
      <c r="D2188">
        <v>79.812446593999994</v>
      </c>
      <c r="E2188">
        <v>50</v>
      </c>
      <c r="F2188">
        <v>51.733440399000003</v>
      </c>
      <c r="G2188">
        <v>1330.5391846</v>
      </c>
      <c r="H2188">
        <v>1329.8638916</v>
      </c>
      <c r="I2188">
        <v>1336.0003661999999</v>
      </c>
      <c r="J2188">
        <v>1334.2779541</v>
      </c>
      <c r="K2188">
        <v>0</v>
      </c>
      <c r="L2188">
        <v>1650</v>
      </c>
      <c r="M2188">
        <v>1650</v>
      </c>
      <c r="N2188">
        <v>0</v>
      </c>
    </row>
    <row r="2189" spans="1:14" x14ac:dyDescent="0.25">
      <c r="A2189">
        <v>1647.0523020000001</v>
      </c>
      <c r="B2189" s="1">
        <f>DATE(2014,11,3) + TIME(1,15,18)</f>
        <v>41946.052291666667</v>
      </c>
      <c r="C2189">
        <v>80</v>
      </c>
      <c r="D2189">
        <v>79.800125121999997</v>
      </c>
      <c r="E2189">
        <v>50</v>
      </c>
      <c r="F2189">
        <v>51.467571259000003</v>
      </c>
      <c r="G2189">
        <v>1330.5281981999999</v>
      </c>
      <c r="H2189">
        <v>1329.8474120999999</v>
      </c>
      <c r="I2189">
        <v>1336.0028076000001</v>
      </c>
      <c r="J2189">
        <v>1334.277832</v>
      </c>
      <c r="K2189">
        <v>0</v>
      </c>
      <c r="L2189">
        <v>1650</v>
      </c>
      <c r="M2189">
        <v>1650</v>
      </c>
      <c r="N2189">
        <v>0</v>
      </c>
    </row>
    <row r="2190" spans="1:14" x14ac:dyDescent="0.25">
      <c r="A2190">
        <v>1647.229439</v>
      </c>
      <c r="B2190" s="1">
        <f>DATE(2014,11,3) + TIME(5,30,23)</f>
        <v>41946.229432870372</v>
      </c>
      <c r="C2190">
        <v>80</v>
      </c>
      <c r="D2190">
        <v>79.786956786999994</v>
      </c>
      <c r="E2190">
        <v>50</v>
      </c>
      <c r="F2190">
        <v>51.226776123</v>
      </c>
      <c r="G2190">
        <v>1330.5166016000001</v>
      </c>
      <c r="H2190">
        <v>1329.8302002</v>
      </c>
      <c r="I2190">
        <v>1336.0057373</v>
      </c>
      <c r="J2190">
        <v>1334.2781981999999</v>
      </c>
      <c r="K2190">
        <v>0</v>
      </c>
      <c r="L2190">
        <v>1650</v>
      </c>
      <c r="M2190">
        <v>1650</v>
      </c>
      <c r="N2190">
        <v>0</v>
      </c>
    </row>
    <row r="2191" spans="1:14" x14ac:dyDescent="0.25">
      <c r="A2191">
        <v>1647.415632</v>
      </c>
      <c r="B2191" s="1">
        <f>DATE(2014,11,3) + TIME(9,58,30)</f>
        <v>41946.415625000001</v>
      </c>
      <c r="C2191">
        <v>80</v>
      </c>
      <c r="D2191">
        <v>79.773269653</v>
      </c>
      <c r="E2191">
        <v>50</v>
      </c>
      <c r="F2191">
        <v>51.017108917000002</v>
      </c>
      <c r="G2191">
        <v>1330.5046387</v>
      </c>
      <c r="H2191">
        <v>1329.8122559000001</v>
      </c>
      <c r="I2191">
        <v>1336.0092772999999</v>
      </c>
      <c r="J2191">
        <v>1334.2791748</v>
      </c>
      <c r="K2191">
        <v>0</v>
      </c>
      <c r="L2191">
        <v>1650</v>
      </c>
      <c r="M2191">
        <v>1650</v>
      </c>
      <c r="N2191">
        <v>0</v>
      </c>
    </row>
    <row r="2192" spans="1:14" x14ac:dyDescent="0.25">
      <c r="A2192">
        <v>1647.610676</v>
      </c>
      <c r="B2192" s="1">
        <f>DATE(2014,11,3) + TIME(14,39,22)</f>
        <v>41946.610671296294</v>
      </c>
      <c r="C2192">
        <v>80</v>
      </c>
      <c r="D2192">
        <v>79.759094238000003</v>
      </c>
      <c r="E2192">
        <v>50</v>
      </c>
      <c r="F2192">
        <v>50.836475372000002</v>
      </c>
      <c r="G2192">
        <v>1330.4923096</v>
      </c>
      <c r="H2192">
        <v>1329.7940673999999</v>
      </c>
      <c r="I2192">
        <v>1336.0129394999999</v>
      </c>
      <c r="J2192">
        <v>1334.2805175999999</v>
      </c>
      <c r="K2192">
        <v>0</v>
      </c>
      <c r="L2192">
        <v>1650</v>
      </c>
      <c r="M2192">
        <v>1650</v>
      </c>
      <c r="N2192">
        <v>0</v>
      </c>
    </row>
    <row r="2193" spans="1:14" x14ac:dyDescent="0.25">
      <c r="A2193">
        <v>1647.814957</v>
      </c>
      <c r="B2193" s="1">
        <f>DATE(2014,11,3) + TIME(19,33,32)</f>
        <v>41946.814953703702</v>
      </c>
      <c r="C2193">
        <v>80</v>
      </c>
      <c r="D2193">
        <v>79.744400024000001</v>
      </c>
      <c r="E2193">
        <v>50</v>
      </c>
      <c r="F2193">
        <v>50.682048797999997</v>
      </c>
      <c r="G2193">
        <v>1330.4797363</v>
      </c>
      <c r="H2193">
        <v>1329.7755127</v>
      </c>
      <c r="I2193">
        <v>1336.0166016000001</v>
      </c>
      <c r="J2193">
        <v>1334.2818603999999</v>
      </c>
      <c r="K2193">
        <v>0</v>
      </c>
      <c r="L2193">
        <v>1650</v>
      </c>
      <c r="M2193">
        <v>1650</v>
      </c>
      <c r="N2193">
        <v>0</v>
      </c>
    </row>
    <row r="2194" spans="1:14" x14ac:dyDescent="0.25">
      <c r="A2194">
        <v>1648.0279169999999</v>
      </c>
      <c r="B2194" s="1">
        <f>DATE(2014,11,4) + TIME(0,40,12)</f>
        <v>41947.027916666666</v>
      </c>
      <c r="C2194">
        <v>80</v>
      </c>
      <c r="D2194">
        <v>79.729248046999999</v>
      </c>
      <c r="E2194">
        <v>50</v>
      </c>
      <c r="F2194">
        <v>50.551567077999998</v>
      </c>
      <c r="G2194">
        <v>1330.4669189000001</v>
      </c>
      <c r="H2194">
        <v>1329.7565918</v>
      </c>
      <c r="I2194">
        <v>1336.0201416</v>
      </c>
      <c r="J2194">
        <v>1334.2834473</v>
      </c>
      <c r="K2194">
        <v>0</v>
      </c>
      <c r="L2194">
        <v>1650</v>
      </c>
      <c r="M2194">
        <v>1650</v>
      </c>
      <c r="N2194">
        <v>0</v>
      </c>
    </row>
    <row r="2195" spans="1:14" x14ac:dyDescent="0.25">
      <c r="A2195">
        <v>1648.2500279999999</v>
      </c>
      <c r="B2195" s="1">
        <f>DATE(2014,11,4) + TIME(6,0,2)</f>
        <v>41947.250023148146</v>
      </c>
      <c r="C2195">
        <v>80</v>
      </c>
      <c r="D2195">
        <v>79.713592528999996</v>
      </c>
      <c r="E2195">
        <v>50</v>
      </c>
      <c r="F2195">
        <v>50.442077636999997</v>
      </c>
      <c r="G2195">
        <v>1330.4538574000001</v>
      </c>
      <c r="H2195">
        <v>1329.7375488</v>
      </c>
      <c r="I2195">
        <v>1336.0235596</v>
      </c>
      <c r="J2195">
        <v>1334.2849120999999</v>
      </c>
      <c r="K2195">
        <v>0</v>
      </c>
      <c r="L2195">
        <v>1650</v>
      </c>
      <c r="M2195">
        <v>1650</v>
      </c>
      <c r="N2195">
        <v>0</v>
      </c>
    </row>
    <row r="2196" spans="1:14" x14ac:dyDescent="0.25">
      <c r="A2196">
        <v>1648.4819890000001</v>
      </c>
      <c r="B2196" s="1">
        <f>DATE(2014,11,4) + TIME(11,34,3)</f>
        <v>41947.481979166667</v>
      </c>
      <c r="C2196">
        <v>80</v>
      </c>
      <c r="D2196">
        <v>79.697410583000007</v>
      </c>
      <c r="E2196">
        <v>50</v>
      </c>
      <c r="F2196">
        <v>50.350814819</v>
      </c>
      <c r="G2196">
        <v>1330.4406738</v>
      </c>
      <c r="H2196">
        <v>1329.7181396000001</v>
      </c>
      <c r="I2196">
        <v>1336.0266113</v>
      </c>
      <c r="J2196">
        <v>1334.2863769999999</v>
      </c>
      <c r="K2196">
        <v>0</v>
      </c>
      <c r="L2196">
        <v>1650</v>
      </c>
      <c r="M2196">
        <v>1650</v>
      </c>
      <c r="N2196">
        <v>0</v>
      </c>
    </row>
    <row r="2197" spans="1:14" x14ac:dyDescent="0.25">
      <c r="A2197">
        <v>1648.7245909999999</v>
      </c>
      <c r="B2197" s="1">
        <f>DATE(2014,11,4) + TIME(17,23,24)</f>
        <v>41947.724583333336</v>
      </c>
      <c r="C2197">
        <v>80</v>
      </c>
      <c r="D2197">
        <v>79.680656432999996</v>
      </c>
      <c r="E2197">
        <v>50</v>
      </c>
      <c r="F2197">
        <v>50.275287628000001</v>
      </c>
      <c r="G2197">
        <v>1330.427124</v>
      </c>
      <c r="H2197">
        <v>1329.6983643000001</v>
      </c>
      <c r="I2197">
        <v>1336.0292969</v>
      </c>
      <c r="J2197">
        <v>1334.2877197</v>
      </c>
      <c r="K2197">
        <v>0</v>
      </c>
      <c r="L2197">
        <v>1650</v>
      </c>
      <c r="M2197">
        <v>1650</v>
      </c>
      <c r="N2197">
        <v>0</v>
      </c>
    </row>
    <row r="2198" spans="1:14" x14ac:dyDescent="0.25">
      <c r="A2198">
        <v>1648.978695</v>
      </c>
      <c r="B2198" s="1">
        <f>DATE(2014,11,4) + TIME(23,29,19)</f>
        <v>41947.978692129633</v>
      </c>
      <c r="C2198">
        <v>80</v>
      </c>
      <c r="D2198">
        <v>79.663284301999994</v>
      </c>
      <c r="E2198">
        <v>50</v>
      </c>
      <c r="F2198">
        <v>50.213256835999999</v>
      </c>
      <c r="G2198">
        <v>1330.4133300999999</v>
      </c>
      <c r="H2198">
        <v>1329.6782227000001</v>
      </c>
      <c r="I2198">
        <v>1336.0317382999999</v>
      </c>
      <c r="J2198">
        <v>1334.2888184000001</v>
      </c>
      <c r="K2198">
        <v>0</v>
      </c>
      <c r="L2198">
        <v>1650</v>
      </c>
      <c r="M2198">
        <v>1650</v>
      </c>
      <c r="N2198">
        <v>0</v>
      </c>
    </row>
    <row r="2199" spans="1:14" x14ac:dyDescent="0.25">
      <c r="A2199">
        <v>1649.2452310000001</v>
      </c>
      <c r="B2199" s="1">
        <f>DATE(2014,11,5) + TIME(5,53,7)</f>
        <v>41948.245219907411</v>
      </c>
      <c r="C2199">
        <v>80</v>
      </c>
      <c r="D2199">
        <v>79.645248413000004</v>
      </c>
      <c r="E2199">
        <v>50</v>
      </c>
      <c r="F2199">
        <v>50.1627388</v>
      </c>
      <c r="G2199">
        <v>1330.3992920000001</v>
      </c>
      <c r="H2199">
        <v>1329.6575928</v>
      </c>
      <c r="I2199">
        <v>1336.0336914</v>
      </c>
      <c r="J2199">
        <v>1334.2899170000001</v>
      </c>
      <c r="K2199">
        <v>0</v>
      </c>
      <c r="L2199">
        <v>1650</v>
      </c>
      <c r="M2199">
        <v>1650</v>
      </c>
      <c r="N2199">
        <v>0</v>
      </c>
    </row>
    <row r="2200" spans="1:14" x14ac:dyDescent="0.25">
      <c r="A2200">
        <v>1649.525206</v>
      </c>
      <c r="B2200" s="1">
        <f>DATE(2014,11,5) + TIME(12,36,17)</f>
        <v>41948.525196759256</v>
      </c>
      <c r="C2200">
        <v>80</v>
      </c>
      <c r="D2200">
        <v>79.626487732000001</v>
      </c>
      <c r="E2200">
        <v>50</v>
      </c>
      <c r="F2200">
        <v>50.121955872000001</v>
      </c>
      <c r="G2200">
        <v>1330.3847656</v>
      </c>
      <c r="H2200">
        <v>1329.6365966999999</v>
      </c>
      <c r="I2200">
        <v>1336.0352783000001</v>
      </c>
      <c r="J2200">
        <v>1334.2906493999999</v>
      </c>
      <c r="K2200">
        <v>0</v>
      </c>
      <c r="L2200">
        <v>1650</v>
      </c>
      <c r="M2200">
        <v>1650</v>
      </c>
      <c r="N2200">
        <v>0</v>
      </c>
    </row>
    <row r="2201" spans="1:14" x14ac:dyDescent="0.25">
      <c r="A2201">
        <v>1649.8197190000001</v>
      </c>
      <c r="B2201" s="1">
        <f>DATE(2014,11,5) + TIME(19,40,23)</f>
        <v>41948.819710648146</v>
      </c>
      <c r="C2201">
        <v>80</v>
      </c>
      <c r="D2201">
        <v>79.606956482000001</v>
      </c>
      <c r="E2201">
        <v>50</v>
      </c>
      <c r="F2201">
        <v>50.089347838999998</v>
      </c>
      <c r="G2201">
        <v>1330.3698730000001</v>
      </c>
      <c r="H2201">
        <v>1329.6149902</v>
      </c>
      <c r="I2201">
        <v>1336.036499</v>
      </c>
      <c r="J2201">
        <v>1334.2913818</v>
      </c>
      <c r="K2201">
        <v>0</v>
      </c>
      <c r="L2201">
        <v>1650</v>
      </c>
      <c r="M2201">
        <v>1650</v>
      </c>
      <c r="N2201">
        <v>0</v>
      </c>
    </row>
    <row r="2202" spans="1:14" x14ac:dyDescent="0.25">
      <c r="A2202">
        <v>1650.1299759999999</v>
      </c>
      <c r="B2202" s="1">
        <f>DATE(2014,11,6) + TIME(3,7,9)</f>
        <v>41949.129965277774</v>
      </c>
      <c r="C2202">
        <v>80</v>
      </c>
      <c r="D2202">
        <v>79.586593628000003</v>
      </c>
      <c r="E2202">
        <v>50</v>
      </c>
      <c r="F2202">
        <v>50.063537598000003</v>
      </c>
      <c r="G2202">
        <v>1330.3546143000001</v>
      </c>
      <c r="H2202">
        <v>1329.5927733999999</v>
      </c>
      <c r="I2202">
        <v>1336.0372314000001</v>
      </c>
      <c r="J2202">
        <v>1334.2917480000001</v>
      </c>
      <c r="K2202">
        <v>0</v>
      </c>
      <c r="L2202">
        <v>1650</v>
      </c>
      <c r="M2202">
        <v>1650</v>
      </c>
      <c r="N2202">
        <v>0</v>
      </c>
    </row>
    <row r="2203" spans="1:14" x14ac:dyDescent="0.25">
      <c r="A2203">
        <v>1650.457226</v>
      </c>
      <c r="B2203" s="1">
        <f>DATE(2014,11,6) + TIME(10,58,24)</f>
        <v>41949.45722222222</v>
      </c>
      <c r="C2203">
        <v>80</v>
      </c>
      <c r="D2203">
        <v>79.565330505000006</v>
      </c>
      <c r="E2203">
        <v>50</v>
      </c>
      <c r="F2203">
        <v>50.043319701999998</v>
      </c>
      <c r="G2203">
        <v>1330.3388672000001</v>
      </c>
      <c r="H2203">
        <v>1329.5700684000001</v>
      </c>
      <c r="I2203">
        <v>1336.0375977000001</v>
      </c>
      <c r="J2203">
        <v>1334.2918701000001</v>
      </c>
      <c r="K2203">
        <v>0</v>
      </c>
      <c r="L2203">
        <v>1650</v>
      </c>
      <c r="M2203">
        <v>1650</v>
      </c>
      <c r="N2203">
        <v>0</v>
      </c>
    </row>
    <row r="2204" spans="1:14" x14ac:dyDescent="0.25">
      <c r="A2204">
        <v>1650.8028879999999</v>
      </c>
      <c r="B2204" s="1">
        <f>DATE(2014,11,6) + TIME(19,16,9)</f>
        <v>41949.802881944444</v>
      </c>
      <c r="C2204">
        <v>80</v>
      </c>
      <c r="D2204">
        <v>79.543106078999998</v>
      </c>
      <c r="E2204">
        <v>50</v>
      </c>
      <c r="F2204">
        <v>50.027656555</v>
      </c>
      <c r="G2204">
        <v>1330.3226318</v>
      </c>
      <c r="H2204">
        <v>1329.5466309000001</v>
      </c>
      <c r="I2204">
        <v>1336.0375977000001</v>
      </c>
      <c r="J2204">
        <v>1334.2918701000001</v>
      </c>
      <c r="K2204">
        <v>0</v>
      </c>
      <c r="L2204">
        <v>1650</v>
      </c>
      <c r="M2204">
        <v>1650</v>
      </c>
      <c r="N2204">
        <v>0</v>
      </c>
    </row>
    <row r="2205" spans="1:14" x14ac:dyDescent="0.25">
      <c r="A2205">
        <v>1651.168678</v>
      </c>
      <c r="B2205" s="1">
        <f>DATE(2014,11,7) + TIME(4,2,53)</f>
        <v>41950.168668981481</v>
      </c>
      <c r="C2205">
        <v>80</v>
      </c>
      <c r="D2205">
        <v>79.519836425999998</v>
      </c>
      <c r="E2205">
        <v>50</v>
      </c>
      <c r="F2205">
        <v>50.015651703000003</v>
      </c>
      <c r="G2205">
        <v>1330.3057861</v>
      </c>
      <c r="H2205">
        <v>1329.5223389</v>
      </c>
      <c r="I2205">
        <v>1336.0371094</v>
      </c>
      <c r="J2205">
        <v>1334.291626</v>
      </c>
      <c r="K2205">
        <v>0</v>
      </c>
      <c r="L2205">
        <v>1650</v>
      </c>
      <c r="M2205">
        <v>1650</v>
      </c>
      <c r="N2205">
        <v>0</v>
      </c>
    </row>
    <row r="2206" spans="1:14" x14ac:dyDescent="0.25">
      <c r="A2206">
        <v>1651.5564609999999</v>
      </c>
      <c r="B2206" s="1">
        <f>DATE(2014,11,7) + TIME(13,21,18)</f>
        <v>41950.556458333333</v>
      </c>
      <c r="C2206">
        <v>80</v>
      </c>
      <c r="D2206">
        <v>79.495429993000002</v>
      </c>
      <c r="E2206">
        <v>50</v>
      </c>
      <c r="F2206">
        <v>50.006557465</v>
      </c>
      <c r="G2206">
        <v>1330.2883300999999</v>
      </c>
      <c r="H2206">
        <v>1329.4973144999999</v>
      </c>
      <c r="I2206">
        <v>1336.0363769999999</v>
      </c>
      <c r="J2206">
        <v>1334.2911377</v>
      </c>
      <c r="K2206">
        <v>0</v>
      </c>
      <c r="L2206">
        <v>1650</v>
      </c>
      <c r="M2206">
        <v>1650</v>
      </c>
      <c r="N2206">
        <v>0</v>
      </c>
    </row>
    <row r="2207" spans="1:14" x14ac:dyDescent="0.25">
      <c r="A2207">
        <v>1651.968331</v>
      </c>
      <c r="B2207" s="1">
        <f>DATE(2014,11,7) + TIME(23,14,23)</f>
        <v>41950.968321759261</v>
      </c>
      <c r="C2207">
        <v>80</v>
      </c>
      <c r="D2207">
        <v>79.469787597999996</v>
      </c>
      <c r="E2207">
        <v>50</v>
      </c>
      <c r="F2207">
        <v>49.999740600999999</v>
      </c>
      <c r="G2207">
        <v>1330.2702637</v>
      </c>
      <c r="H2207">
        <v>1329.4714355000001</v>
      </c>
      <c r="I2207">
        <v>1336.0352783000001</v>
      </c>
      <c r="J2207">
        <v>1334.2904053</v>
      </c>
      <c r="K2207">
        <v>0</v>
      </c>
      <c r="L2207">
        <v>1650</v>
      </c>
      <c r="M2207">
        <v>1650</v>
      </c>
      <c r="N2207">
        <v>0</v>
      </c>
    </row>
    <row r="2208" spans="1:14" x14ac:dyDescent="0.25">
      <c r="A2208">
        <v>1652.4066499999999</v>
      </c>
      <c r="B2208" s="1">
        <f>DATE(2014,11,8) + TIME(9,45,34)</f>
        <v>41951.406643518516</v>
      </c>
      <c r="C2208">
        <v>80</v>
      </c>
      <c r="D2208">
        <v>79.442802428999997</v>
      </c>
      <c r="E2208">
        <v>50</v>
      </c>
      <c r="F2208">
        <v>49.994686127000001</v>
      </c>
      <c r="G2208">
        <v>1330.2514647999999</v>
      </c>
      <c r="H2208">
        <v>1329.4445800999999</v>
      </c>
      <c r="I2208">
        <v>1336.0338135</v>
      </c>
      <c r="J2208">
        <v>1334.2895507999999</v>
      </c>
      <c r="K2208">
        <v>0</v>
      </c>
      <c r="L2208">
        <v>1650</v>
      </c>
      <c r="M2208">
        <v>1650</v>
      </c>
      <c r="N2208">
        <v>0</v>
      </c>
    </row>
    <row r="2209" spans="1:14" x14ac:dyDescent="0.25">
      <c r="A2209">
        <v>1652.8698690000001</v>
      </c>
      <c r="B2209" s="1">
        <f>DATE(2014,11,8) + TIME(20,52,36)</f>
        <v>41951.86986111111</v>
      </c>
      <c r="C2209">
        <v>80</v>
      </c>
      <c r="D2209">
        <v>79.414543151999993</v>
      </c>
      <c r="E2209">
        <v>50</v>
      </c>
      <c r="F2209">
        <v>49.991001128999997</v>
      </c>
      <c r="G2209">
        <v>1330.2318115</v>
      </c>
      <c r="H2209">
        <v>1329.416626</v>
      </c>
      <c r="I2209">
        <v>1336.0321045000001</v>
      </c>
      <c r="J2209">
        <v>1334.2884521000001</v>
      </c>
      <c r="K2209">
        <v>0</v>
      </c>
      <c r="L2209">
        <v>1650</v>
      </c>
      <c r="M2209">
        <v>1650</v>
      </c>
      <c r="N2209">
        <v>0</v>
      </c>
    </row>
    <row r="2210" spans="1:14" x14ac:dyDescent="0.25">
      <c r="A2210">
        <v>1653.3592450000001</v>
      </c>
      <c r="B2210" s="1">
        <f>DATE(2014,11,9) + TIME(8,37,18)</f>
        <v>41952.359236111108</v>
      </c>
      <c r="C2210">
        <v>80</v>
      </c>
      <c r="D2210">
        <v>79.384956360000004</v>
      </c>
      <c r="E2210">
        <v>50</v>
      </c>
      <c r="F2210">
        <v>49.988334655999999</v>
      </c>
      <c r="G2210">
        <v>1330.2115478999999</v>
      </c>
      <c r="H2210">
        <v>1329.3878173999999</v>
      </c>
      <c r="I2210">
        <v>1336.0300293</v>
      </c>
      <c r="J2210">
        <v>1334.2871094</v>
      </c>
      <c r="K2210">
        <v>0</v>
      </c>
      <c r="L2210">
        <v>1650</v>
      </c>
      <c r="M2210">
        <v>1650</v>
      </c>
      <c r="N2210">
        <v>0</v>
      </c>
    </row>
    <row r="2211" spans="1:14" x14ac:dyDescent="0.25">
      <c r="A2211">
        <v>1653.8791719999999</v>
      </c>
      <c r="B2211" s="1">
        <f>DATE(2014,11,9) + TIME(21,6,0)</f>
        <v>41952.879166666666</v>
      </c>
      <c r="C2211">
        <v>80</v>
      </c>
      <c r="D2211">
        <v>79.353858947999996</v>
      </c>
      <c r="E2211">
        <v>50</v>
      </c>
      <c r="F2211">
        <v>49.986408234000002</v>
      </c>
      <c r="G2211">
        <v>1330.1905518000001</v>
      </c>
      <c r="H2211">
        <v>1329.3580322</v>
      </c>
      <c r="I2211">
        <v>1336.027832</v>
      </c>
      <c r="J2211">
        <v>1334.2857666</v>
      </c>
      <c r="K2211">
        <v>0</v>
      </c>
      <c r="L2211">
        <v>1650</v>
      </c>
      <c r="M2211">
        <v>1650</v>
      </c>
      <c r="N2211">
        <v>0</v>
      </c>
    </row>
    <row r="2212" spans="1:14" x14ac:dyDescent="0.25">
      <c r="A2212">
        <v>1654.414327</v>
      </c>
      <c r="B2212" s="1">
        <f>DATE(2014,11,10) + TIME(9,56,37)</f>
        <v>41953.414317129631</v>
      </c>
      <c r="C2212">
        <v>80</v>
      </c>
      <c r="D2212">
        <v>79.321868895999998</v>
      </c>
      <c r="E2212">
        <v>50</v>
      </c>
      <c r="F2212">
        <v>49.985057830999999</v>
      </c>
      <c r="G2212">
        <v>1330.1687012</v>
      </c>
      <c r="H2212">
        <v>1329.3271483999999</v>
      </c>
      <c r="I2212">
        <v>1336.0253906</v>
      </c>
      <c r="J2212">
        <v>1334.2841797000001</v>
      </c>
      <c r="K2212">
        <v>0</v>
      </c>
      <c r="L2212">
        <v>1650</v>
      </c>
      <c r="M2212">
        <v>1650</v>
      </c>
      <c r="N2212">
        <v>0</v>
      </c>
    </row>
    <row r="2213" spans="1:14" x14ac:dyDescent="0.25">
      <c r="A2213">
        <v>1654.965598</v>
      </c>
      <c r="B2213" s="1">
        <f>DATE(2014,11,10) + TIME(23,10,27)</f>
        <v>41953.965590277781</v>
      </c>
      <c r="C2213">
        <v>80</v>
      </c>
      <c r="D2213">
        <v>79.289016724000007</v>
      </c>
      <c r="E2213">
        <v>50</v>
      </c>
      <c r="F2213">
        <v>49.984096526999998</v>
      </c>
      <c r="G2213">
        <v>1330.1466064000001</v>
      </c>
      <c r="H2213">
        <v>1329.2958983999999</v>
      </c>
      <c r="I2213">
        <v>1336.0227050999999</v>
      </c>
      <c r="J2213">
        <v>1334.2824707</v>
      </c>
      <c r="K2213">
        <v>0</v>
      </c>
      <c r="L2213">
        <v>1650</v>
      </c>
      <c r="M2213">
        <v>1650</v>
      </c>
      <c r="N2213">
        <v>0</v>
      </c>
    </row>
    <row r="2214" spans="1:14" x14ac:dyDescent="0.25">
      <c r="A2214">
        <v>1655.534459</v>
      </c>
      <c r="B2214" s="1">
        <f>DATE(2014,11,11) + TIME(12,49,37)</f>
        <v>41954.534456018519</v>
      </c>
      <c r="C2214">
        <v>80</v>
      </c>
      <c r="D2214">
        <v>79.255294800000001</v>
      </c>
      <c r="E2214">
        <v>50</v>
      </c>
      <c r="F2214">
        <v>49.983413696</v>
      </c>
      <c r="G2214">
        <v>1330.1242675999999</v>
      </c>
      <c r="H2214">
        <v>1329.2642822</v>
      </c>
      <c r="I2214">
        <v>1336.0201416</v>
      </c>
      <c r="J2214">
        <v>1334.2807617000001</v>
      </c>
      <c r="K2214">
        <v>0</v>
      </c>
      <c r="L2214">
        <v>1650</v>
      </c>
      <c r="M2214">
        <v>1650</v>
      </c>
      <c r="N2214">
        <v>0</v>
      </c>
    </row>
    <row r="2215" spans="1:14" x14ac:dyDescent="0.25">
      <c r="A2215">
        <v>1656.1225099999999</v>
      </c>
      <c r="B2215" s="1">
        <f>DATE(2014,11,12) + TIME(2,56,24)</f>
        <v>41955.122499999998</v>
      </c>
      <c r="C2215">
        <v>80</v>
      </c>
      <c r="D2215">
        <v>79.220649718999994</v>
      </c>
      <c r="E2215">
        <v>50</v>
      </c>
      <c r="F2215">
        <v>49.982917786000002</v>
      </c>
      <c r="G2215">
        <v>1330.1014404</v>
      </c>
      <c r="H2215">
        <v>1329.2321777</v>
      </c>
      <c r="I2215">
        <v>1336.0173339999999</v>
      </c>
      <c r="J2215">
        <v>1334.2789307</v>
      </c>
      <c r="K2215">
        <v>0</v>
      </c>
      <c r="L2215">
        <v>1650</v>
      </c>
      <c r="M2215">
        <v>1650</v>
      </c>
      <c r="N2215">
        <v>0</v>
      </c>
    </row>
    <row r="2216" spans="1:14" x14ac:dyDescent="0.25">
      <c r="A2216">
        <v>1656.7315000000001</v>
      </c>
      <c r="B2216" s="1">
        <f>DATE(2014,11,12) + TIME(17,33,21)</f>
        <v>41955.731493055559</v>
      </c>
      <c r="C2216">
        <v>80</v>
      </c>
      <c r="D2216">
        <v>79.185035705999994</v>
      </c>
      <c r="E2216">
        <v>50</v>
      </c>
      <c r="F2216">
        <v>49.982551575000002</v>
      </c>
      <c r="G2216">
        <v>1330.0784911999999</v>
      </c>
      <c r="H2216">
        <v>1329.199707</v>
      </c>
      <c r="I2216">
        <v>1336.0145264</v>
      </c>
      <c r="J2216">
        <v>1334.2770995999999</v>
      </c>
      <c r="K2216">
        <v>0</v>
      </c>
      <c r="L2216">
        <v>1650</v>
      </c>
      <c r="M2216">
        <v>1650</v>
      </c>
      <c r="N2216">
        <v>0</v>
      </c>
    </row>
    <row r="2217" spans="1:14" x14ac:dyDescent="0.25">
      <c r="A2217">
        <v>1657.3633689999999</v>
      </c>
      <c r="B2217" s="1">
        <f>DATE(2014,11,13) + TIME(8,43,15)</f>
        <v>41956.363368055558</v>
      </c>
      <c r="C2217">
        <v>80</v>
      </c>
      <c r="D2217">
        <v>79.148376464999998</v>
      </c>
      <c r="E2217">
        <v>50</v>
      </c>
      <c r="F2217">
        <v>49.982280731000003</v>
      </c>
      <c r="G2217">
        <v>1330.0550536999999</v>
      </c>
      <c r="H2217">
        <v>1329.1668701000001</v>
      </c>
      <c r="I2217">
        <v>1336.0117187999999</v>
      </c>
      <c r="J2217">
        <v>1334.2752685999999</v>
      </c>
      <c r="K2217">
        <v>0</v>
      </c>
      <c r="L2217">
        <v>1650</v>
      </c>
      <c r="M2217">
        <v>1650</v>
      </c>
      <c r="N2217">
        <v>0</v>
      </c>
    </row>
    <row r="2218" spans="1:14" x14ac:dyDescent="0.25">
      <c r="A2218">
        <v>1658.0202340000001</v>
      </c>
      <c r="B2218" s="1">
        <f>DATE(2014,11,14) + TIME(0,29,8)</f>
        <v>41957.020231481481</v>
      </c>
      <c r="C2218">
        <v>80</v>
      </c>
      <c r="D2218">
        <v>79.110565186000002</v>
      </c>
      <c r="E2218">
        <v>50</v>
      </c>
      <c r="F2218">
        <v>49.982074738000001</v>
      </c>
      <c r="G2218">
        <v>1330.0311279</v>
      </c>
      <c r="H2218">
        <v>1329.1334228999999</v>
      </c>
      <c r="I2218">
        <v>1336.0089111</v>
      </c>
      <c r="J2218">
        <v>1334.2734375</v>
      </c>
      <c r="K2218">
        <v>0</v>
      </c>
      <c r="L2218">
        <v>1650</v>
      </c>
      <c r="M2218">
        <v>1650</v>
      </c>
      <c r="N2218">
        <v>0</v>
      </c>
    </row>
    <row r="2219" spans="1:14" x14ac:dyDescent="0.25">
      <c r="A2219">
        <v>1658.7044450000001</v>
      </c>
      <c r="B2219" s="1">
        <f>DATE(2014,11,14) + TIME(16,54,24)</f>
        <v>41957.704444444447</v>
      </c>
      <c r="C2219">
        <v>80</v>
      </c>
      <c r="D2219">
        <v>79.071502686000002</v>
      </c>
      <c r="E2219">
        <v>50</v>
      </c>
      <c r="F2219">
        <v>49.981918335000003</v>
      </c>
      <c r="G2219">
        <v>1330.0068358999999</v>
      </c>
      <c r="H2219">
        <v>1329.0994873</v>
      </c>
      <c r="I2219">
        <v>1336.0059814000001</v>
      </c>
      <c r="J2219">
        <v>1334.2716064000001</v>
      </c>
      <c r="K2219">
        <v>0</v>
      </c>
      <c r="L2219">
        <v>1650</v>
      </c>
      <c r="M2219">
        <v>1650</v>
      </c>
      <c r="N2219">
        <v>0</v>
      </c>
    </row>
    <row r="2220" spans="1:14" x14ac:dyDescent="0.25">
      <c r="A2220">
        <v>1659.409097</v>
      </c>
      <c r="B2220" s="1">
        <f>DATE(2014,11,15) + TIME(9,49,5)</f>
        <v>41958.409085648149</v>
      </c>
      <c r="C2220">
        <v>80</v>
      </c>
      <c r="D2220">
        <v>79.031372070000003</v>
      </c>
      <c r="E2220">
        <v>50</v>
      </c>
      <c r="F2220">
        <v>49.981796265</v>
      </c>
      <c r="G2220">
        <v>1329.9821777</v>
      </c>
      <c r="H2220">
        <v>1329.0649414</v>
      </c>
      <c r="I2220">
        <v>1336.0031738</v>
      </c>
      <c r="J2220">
        <v>1334.2696533000001</v>
      </c>
      <c r="K2220">
        <v>0</v>
      </c>
      <c r="L2220">
        <v>1650</v>
      </c>
      <c r="M2220">
        <v>1650</v>
      </c>
      <c r="N2220">
        <v>0</v>
      </c>
    </row>
    <row r="2221" spans="1:14" x14ac:dyDescent="0.25">
      <c r="A2221">
        <v>1660.134836</v>
      </c>
      <c r="B2221" s="1">
        <f>DATE(2014,11,16) + TIME(3,14,9)</f>
        <v>41959.134826388887</v>
      </c>
      <c r="C2221">
        <v>80</v>
      </c>
      <c r="D2221">
        <v>78.990180968999994</v>
      </c>
      <c r="E2221">
        <v>50</v>
      </c>
      <c r="F2221">
        <v>49.981704712000003</v>
      </c>
      <c r="G2221">
        <v>1329.9570312000001</v>
      </c>
      <c r="H2221">
        <v>1329.0300293</v>
      </c>
      <c r="I2221">
        <v>1336.0002440999999</v>
      </c>
      <c r="J2221">
        <v>1334.2678223</v>
      </c>
      <c r="K2221">
        <v>0</v>
      </c>
      <c r="L2221">
        <v>1650</v>
      </c>
      <c r="M2221">
        <v>1650</v>
      </c>
      <c r="N2221">
        <v>0</v>
      </c>
    </row>
    <row r="2222" spans="1:14" x14ac:dyDescent="0.25">
      <c r="A2222">
        <v>1660.886778</v>
      </c>
      <c r="B2222" s="1">
        <f>DATE(2014,11,16) + TIME(21,16,57)</f>
        <v>41959.886770833335</v>
      </c>
      <c r="C2222">
        <v>80</v>
      </c>
      <c r="D2222">
        <v>78.947746276999993</v>
      </c>
      <c r="E2222">
        <v>50</v>
      </c>
      <c r="F2222">
        <v>49.981628418</v>
      </c>
      <c r="G2222">
        <v>1329.9317627</v>
      </c>
      <c r="H2222">
        <v>1328.994751</v>
      </c>
      <c r="I2222">
        <v>1335.9973144999999</v>
      </c>
      <c r="J2222">
        <v>1334.2659911999999</v>
      </c>
      <c r="K2222">
        <v>0</v>
      </c>
      <c r="L2222">
        <v>1650</v>
      </c>
      <c r="M2222">
        <v>1650</v>
      </c>
      <c r="N2222">
        <v>0</v>
      </c>
    </row>
    <row r="2223" spans="1:14" x14ac:dyDescent="0.25">
      <c r="A2223">
        <v>1661.670543</v>
      </c>
      <c r="B2223" s="1">
        <f>DATE(2014,11,17) + TIME(16,5,34)</f>
        <v>41960.670532407406</v>
      </c>
      <c r="C2223">
        <v>80</v>
      </c>
      <c r="D2223">
        <v>78.903823853000006</v>
      </c>
      <c r="E2223">
        <v>50</v>
      </c>
      <c r="F2223">
        <v>49.981567382999998</v>
      </c>
      <c r="G2223">
        <v>1329.9060059000001</v>
      </c>
      <c r="H2223">
        <v>1328.9591064000001</v>
      </c>
      <c r="I2223">
        <v>1335.9945068</v>
      </c>
      <c r="J2223">
        <v>1334.2641602000001</v>
      </c>
      <c r="K2223">
        <v>0</v>
      </c>
      <c r="L2223">
        <v>1650</v>
      </c>
      <c r="M2223">
        <v>1650</v>
      </c>
      <c r="N2223">
        <v>0</v>
      </c>
    </row>
    <row r="2224" spans="1:14" x14ac:dyDescent="0.25">
      <c r="A2224">
        <v>1662.4926379999999</v>
      </c>
      <c r="B2224" s="1">
        <f>DATE(2014,11,18) + TIME(11,49,23)</f>
        <v>41961.492627314816</v>
      </c>
      <c r="C2224">
        <v>80</v>
      </c>
      <c r="D2224">
        <v>78.858108521000005</v>
      </c>
      <c r="E2224">
        <v>50</v>
      </c>
      <c r="F2224">
        <v>49.981517791999998</v>
      </c>
      <c r="G2224">
        <v>1329.8797606999999</v>
      </c>
      <c r="H2224">
        <v>1328.9227295000001</v>
      </c>
      <c r="I2224">
        <v>1335.9916992000001</v>
      </c>
      <c r="J2224">
        <v>1334.2623291</v>
      </c>
      <c r="K2224">
        <v>0</v>
      </c>
      <c r="L2224">
        <v>1650</v>
      </c>
      <c r="M2224">
        <v>1650</v>
      </c>
      <c r="N2224">
        <v>0</v>
      </c>
    </row>
    <row r="2225" spans="1:14" x14ac:dyDescent="0.25">
      <c r="A2225">
        <v>1663.3608850000001</v>
      </c>
      <c r="B2225" s="1">
        <f>DATE(2014,11,19) + TIME(8,39,40)</f>
        <v>41962.360879629632</v>
      </c>
      <c r="C2225">
        <v>80</v>
      </c>
      <c r="D2225">
        <v>78.810211182000003</v>
      </c>
      <c r="E2225">
        <v>50</v>
      </c>
      <c r="F2225">
        <v>49.981479645</v>
      </c>
      <c r="G2225">
        <v>1329.8527832</v>
      </c>
      <c r="H2225">
        <v>1328.8854980000001</v>
      </c>
      <c r="I2225">
        <v>1335.9887695</v>
      </c>
      <c r="J2225">
        <v>1334.2604980000001</v>
      </c>
      <c r="K2225">
        <v>0</v>
      </c>
      <c r="L2225">
        <v>1650</v>
      </c>
      <c r="M2225">
        <v>1650</v>
      </c>
      <c r="N2225">
        <v>0</v>
      </c>
    </row>
    <row r="2226" spans="1:14" x14ac:dyDescent="0.25">
      <c r="A2226">
        <v>1664.2774039999999</v>
      </c>
      <c r="B2226" s="1">
        <f>DATE(2014,11,20) + TIME(6,39,27)</f>
        <v>41963.277395833335</v>
      </c>
      <c r="C2226">
        <v>80</v>
      </c>
      <c r="D2226">
        <v>78.759872436999999</v>
      </c>
      <c r="E2226">
        <v>50</v>
      </c>
      <c r="F2226">
        <v>49.981441498000002</v>
      </c>
      <c r="G2226">
        <v>1329.8250731999999</v>
      </c>
      <c r="H2226">
        <v>1328.8472899999999</v>
      </c>
      <c r="I2226">
        <v>1335.9858397999999</v>
      </c>
      <c r="J2226">
        <v>1334.2586670000001</v>
      </c>
      <c r="K2226">
        <v>0</v>
      </c>
      <c r="L2226">
        <v>1650</v>
      </c>
      <c r="M2226">
        <v>1650</v>
      </c>
      <c r="N2226">
        <v>0</v>
      </c>
    </row>
    <row r="2227" spans="1:14" x14ac:dyDescent="0.25">
      <c r="A2227">
        <v>1665.217116</v>
      </c>
      <c r="B2227" s="1">
        <f>DATE(2014,11,21) + TIME(5,12,38)</f>
        <v>41964.217106481483</v>
      </c>
      <c r="C2227">
        <v>80</v>
      </c>
      <c r="D2227">
        <v>78.70765686</v>
      </c>
      <c r="E2227">
        <v>50</v>
      </c>
      <c r="F2227">
        <v>49.98141098</v>
      </c>
      <c r="G2227">
        <v>1329.7963867000001</v>
      </c>
      <c r="H2227">
        <v>1328.8079834</v>
      </c>
      <c r="I2227">
        <v>1335.9829102000001</v>
      </c>
      <c r="J2227">
        <v>1334.2568358999999</v>
      </c>
      <c r="K2227">
        <v>0</v>
      </c>
      <c r="L2227">
        <v>1650</v>
      </c>
      <c r="M2227">
        <v>1650</v>
      </c>
      <c r="N2227">
        <v>0</v>
      </c>
    </row>
    <row r="2228" spans="1:14" x14ac:dyDescent="0.25">
      <c r="A2228">
        <v>1666.187165</v>
      </c>
      <c r="B2228" s="1">
        <f>DATE(2014,11,22) + TIME(4,29,31)</f>
        <v>41965.187164351853</v>
      </c>
      <c r="C2228">
        <v>80</v>
      </c>
      <c r="D2228">
        <v>78.653526306000003</v>
      </c>
      <c r="E2228">
        <v>50</v>
      </c>
      <c r="F2228">
        <v>49.981384276999997</v>
      </c>
      <c r="G2228">
        <v>1329.7674560999999</v>
      </c>
      <c r="H2228">
        <v>1328.7683105000001</v>
      </c>
      <c r="I2228">
        <v>1335.9799805</v>
      </c>
      <c r="J2228">
        <v>1334.2550048999999</v>
      </c>
      <c r="K2228">
        <v>0</v>
      </c>
      <c r="L2228">
        <v>1650</v>
      </c>
      <c r="M2228">
        <v>1650</v>
      </c>
      <c r="N2228">
        <v>0</v>
      </c>
    </row>
    <row r="2229" spans="1:14" x14ac:dyDescent="0.25">
      <c r="A2229">
        <v>1667.187815</v>
      </c>
      <c r="B2229" s="1">
        <f>DATE(2014,11,23) + TIME(4,30,27)</f>
        <v>41966.1878125</v>
      </c>
      <c r="C2229">
        <v>80</v>
      </c>
      <c r="D2229">
        <v>78.597457886000001</v>
      </c>
      <c r="E2229">
        <v>50</v>
      </c>
      <c r="F2229">
        <v>49.981361389</v>
      </c>
      <c r="G2229">
        <v>1329.7381591999999</v>
      </c>
      <c r="H2229">
        <v>1328.7281493999999</v>
      </c>
      <c r="I2229">
        <v>1335.9771728999999</v>
      </c>
      <c r="J2229">
        <v>1334.2532959</v>
      </c>
      <c r="K2229">
        <v>0</v>
      </c>
      <c r="L2229">
        <v>1650</v>
      </c>
      <c r="M2229">
        <v>1650</v>
      </c>
      <c r="N2229">
        <v>0</v>
      </c>
    </row>
    <row r="2230" spans="1:14" x14ac:dyDescent="0.25">
      <c r="A2230">
        <v>1668.211227</v>
      </c>
      <c r="B2230" s="1">
        <f>DATE(2014,11,24) + TIME(5,4,9)</f>
        <v>41967.211215277777</v>
      </c>
      <c r="C2230">
        <v>80</v>
      </c>
      <c r="D2230">
        <v>78.539619446000003</v>
      </c>
      <c r="E2230">
        <v>50</v>
      </c>
      <c r="F2230">
        <v>49.981338501000003</v>
      </c>
      <c r="G2230">
        <v>1329.7086182</v>
      </c>
      <c r="H2230">
        <v>1328.6876221</v>
      </c>
      <c r="I2230">
        <v>1335.9743652</v>
      </c>
      <c r="J2230">
        <v>1334.2515868999999</v>
      </c>
      <c r="K2230">
        <v>0</v>
      </c>
      <c r="L2230">
        <v>1650</v>
      </c>
      <c r="M2230">
        <v>1650</v>
      </c>
      <c r="N2230">
        <v>0</v>
      </c>
    </row>
    <row r="2231" spans="1:14" x14ac:dyDescent="0.25">
      <c r="A2231">
        <v>1669.2526109999999</v>
      </c>
      <c r="B2231" s="1">
        <f>DATE(2014,11,25) + TIME(6,3,45)</f>
        <v>41968.252604166664</v>
      </c>
      <c r="C2231">
        <v>80</v>
      </c>
      <c r="D2231">
        <v>78.480194092000005</v>
      </c>
      <c r="E2231">
        <v>50</v>
      </c>
      <c r="F2231">
        <v>49.981319427000003</v>
      </c>
      <c r="G2231">
        <v>1329.6788329999999</v>
      </c>
      <c r="H2231">
        <v>1328.6470947</v>
      </c>
      <c r="I2231">
        <v>1335.9715576000001</v>
      </c>
      <c r="J2231">
        <v>1334.25</v>
      </c>
      <c r="K2231">
        <v>0</v>
      </c>
      <c r="L2231">
        <v>1650</v>
      </c>
      <c r="M2231">
        <v>1650</v>
      </c>
      <c r="N2231">
        <v>0</v>
      </c>
    </row>
    <row r="2232" spans="1:14" x14ac:dyDescent="0.25">
      <c r="A2232">
        <v>1670.319769</v>
      </c>
      <c r="B2232" s="1">
        <f>DATE(2014,11,26) + TIME(7,40,28)</f>
        <v>41969.319768518515</v>
      </c>
      <c r="C2232">
        <v>80</v>
      </c>
      <c r="D2232">
        <v>78.419029236</v>
      </c>
      <c r="E2232">
        <v>50</v>
      </c>
      <c r="F2232">
        <v>49.981300353999998</v>
      </c>
      <c r="G2232">
        <v>1329.6491699000001</v>
      </c>
      <c r="H2232">
        <v>1328.6065673999999</v>
      </c>
      <c r="I2232">
        <v>1335.9688721</v>
      </c>
      <c r="J2232">
        <v>1334.2485352000001</v>
      </c>
      <c r="K2232">
        <v>0</v>
      </c>
      <c r="L2232">
        <v>1650</v>
      </c>
      <c r="M2232">
        <v>1650</v>
      </c>
      <c r="N2232">
        <v>0</v>
      </c>
    </row>
    <row r="2233" spans="1:14" x14ac:dyDescent="0.25">
      <c r="A2233">
        <v>1671.420854</v>
      </c>
      <c r="B2233" s="1">
        <f>DATE(2014,11,27) + TIME(10,6,1)</f>
        <v>41970.420844907407</v>
      </c>
      <c r="C2233">
        <v>80</v>
      </c>
      <c r="D2233">
        <v>78.355781554999993</v>
      </c>
      <c r="E2233">
        <v>50</v>
      </c>
      <c r="F2233">
        <v>49.981281281000001</v>
      </c>
      <c r="G2233">
        <v>1329.6193848</v>
      </c>
      <c r="H2233">
        <v>1328.5660399999999</v>
      </c>
      <c r="I2233">
        <v>1335.9663086</v>
      </c>
      <c r="J2233">
        <v>1334.2469481999999</v>
      </c>
      <c r="K2233">
        <v>0</v>
      </c>
      <c r="L2233">
        <v>1650</v>
      </c>
      <c r="M2233">
        <v>1650</v>
      </c>
      <c r="N2233">
        <v>0</v>
      </c>
    </row>
    <row r="2234" spans="1:14" x14ac:dyDescent="0.25">
      <c r="A2234">
        <v>1672.564789</v>
      </c>
      <c r="B2234" s="1">
        <f>DATE(2014,11,28) + TIME(13,33,17)</f>
        <v>41971.564780092594</v>
      </c>
      <c r="C2234">
        <v>80</v>
      </c>
      <c r="D2234">
        <v>78.289962768999999</v>
      </c>
      <c r="E2234">
        <v>50</v>
      </c>
      <c r="F2234">
        <v>49.981262207</v>
      </c>
      <c r="G2234">
        <v>1329.5893555</v>
      </c>
      <c r="H2234">
        <v>1328.5253906</v>
      </c>
      <c r="I2234">
        <v>1335.9636230000001</v>
      </c>
      <c r="J2234">
        <v>1334.2454834</v>
      </c>
      <c r="K2234">
        <v>0</v>
      </c>
      <c r="L2234">
        <v>1650</v>
      </c>
      <c r="M2234">
        <v>1650</v>
      </c>
      <c r="N2234">
        <v>0</v>
      </c>
    </row>
    <row r="2235" spans="1:14" x14ac:dyDescent="0.25">
      <c r="A2235">
        <v>1673.7617620000001</v>
      </c>
      <c r="B2235" s="1">
        <f>DATE(2014,11,29) + TIME(18,16,56)</f>
        <v>41972.761759259258</v>
      </c>
      <c r="C2235">
        <v>80</v>
      </c>
      <c r="D2235">
        <v>78.220985412999994</v>
      </c>
      <c r="E2235">
        <v>50</v>
      </c>
      <c r="F2235">
        <v>49.981243134000003</v>
      </c>
      <c r="G2235">
        <v>1329.5589600000001</v>
      </c>
      <c r="H2235">
        <v>1328.4841309000001</v>
      </c>
      <c r="I2235">
        <v>1335.9610596</v>
      </c>
      <c r="J2235">
        <v>1334.2441406</v>
      </c>
      <c r="K2235">
        <v>0</v>
      </c>
      <c r="L2235">
        <v>1650</v>
      </c>
      <c r="M2235">
        <v>1650</v>
      </c>
      <c r="N2235">
        <v>0</v>
      </c>
    </row>
    <row r="2236" spans="1:14" x14ac:dyDescent="0.25">
      <c r="A2236">
        <v>1675</v>
      </c>
      <c r="B2236" s="1">
        <f>DATE(2014,12,1) + TIME(0,0,0)</f>
        <v>41974</v>
      </c>
      <c r="C2236">
        <v>80</v>
      </c>
      <c r="D2236">
        <v>78.148742675999998</v>
      </c>
      <c r="E2236">
        <v>50</v>
      </c>
      <c r="F2236">
        <v>49.981224060000002</v>
      </c>
      <c r="G2236">
        <v>1329.527832</v>
      </c>
      <c r="H2236">
        <v>1328.4422606999999</v>
      </c>
      <c r="I2236">
        <v>1335.9584961</v>
      </c>
      <c r="J2236">
        <v>1334.2426757999999</v>
      </c>
      <c r="K2236">
        <v>0</v>
      </c>
      <c r="L2236">
        <v>1650</v>
      </c>
      <c r="M2236">
        <v>1650</v>
      </c>
      <c r="N2236">
        <v>0</v>
      </c>
    </row>
    <row r="2237" spans="1:14" x14ac:dyDescent="0.25">
      <c r="A2237">
        <v>1676.261984</v>
      </c>
      <c r="B2237" s="1">
        <f>DATE(2014,12,2) + TIME(6,17,15)</f>
        <v>41975.261979166666</v>
      </c>
      <c r="C2237">
        <v>80</v>
      </c>
      <c r="D2237">
        <v>78.073646545000003</v>
      </c>
      <c r="E2237">
        <v>50</v>
      </c>
      <c r="F2237">
        <v>49.981204986999998</v>
      </c>
      <c r="G2237">
        <v>1329.4964600000001</v>
      </c>
      <c r="H2237">
        <v>1328.3999022999999</v>
      </c>
      <c r="I2237">
        <v>1335.9558105000001</v>
      </c>
      <c r="J2237">
        <v>1334.2413329999999</v>
      </c>
      <c r="K2237">
        <v>0</v>
      </c>
      <c r="L2237">
        <v>1650</v>
      </c>
      <c r="M2237">
        <v>1650</v>
      </c>
      <c r="N2237">
        <v>0</v>
      </c>
    </row>
    <row r="2238" spans="1:14" x14ac:dyDescent="0.25">
      <c r="A2238">
        <v>1677.5989589999999</v>
      </c>
      <c r="B2238" s="1">
        <f>DATE(2014,12,3) + TIME(14,22,30)</f>
        <v>41976.598958333336</v>
      </c>
      <c r="C2238">
        <v>80</v>
      </c>
      <c r="D2238">
        <v>77.994674683</v>
      </c>
      <c r="E2238">
        <v>50</v>
      </c>
      <c r="F2238">
        <v>49.981185912999997</v>
      </c>
      <c r="G2238">
        <v>1329.4649658000001</v>
      </c>
      <c r="H2238">
        <v>1328.3574219</v>
      </c>
      <c r="I2238">
        <v>1335.9533690999999</v>
      </c>
      <c r="J2238">
        <v>1334.2401123</v>
      </c>
      <c r="K2238">
        <v>0</v>
      </c>
      <c r="L2238">
        <v>1650</v>
      </c>
      <c r="M2238">
        <v>1650</v>
      </c>
      <c r="N2238">
        <v>0</v>
      </c>
    </row>
    <row r="2239" spans="1:14" x14ac:dyDescent="0.25">
      <c r="A2239">
        <v>1678.988691</v>
      </c>
      <c r="B2239" s="1">
        <f>DATE(2014,12,4) + TIME(23,43,42)</f>
        <v>41977.988680555558</v>
      </c>
      <c r="C2239">
        <v>80</v>
      </c>
      <c r="D2239">
        <v>77.911384583</v>
      </c>
      <c r="E2239">
        <v>50</v>
      </c>
      <c r="F2239">
        <v>49.981170654000003</v>
      </c>
      <c r="G2239">
        <v>1329.4326172000001</v>
      </c>
      <c r="H2239">
        <v>1328.3142089999999</v>
      </c>
      <c r="I2239">
        <v>1335.9506836</v>
      </c>
      <c r="J2239">
        <v>1334.2388916</v>
      </c>
      <c r="K2239">
        <v>0</v>
      </c>
      <c r="L2239">
        <v>1650</v>
      </c>
      <c r="M2239">
        <v>1650</v>
      </c>
      <c r="N2239">
        <v>0</v>
      </c>
    </row>
    <row r="2240" spans="1:14" x14ac:dyDescent="0.25">
      <c r="A2240">
        <v>1680.440055</v>
      </c>
      <c r="B2240" s="1">
        <f>DATE(2014,12,6) + TIME(10,33,40)</f>
        <v>41979.440046296295</v>
      </c>
      <c r="C2240">
        <v>80</v>
      </c>
      <c r="D2240">
        <v>77.823478699000006</v>
      </c>
      <c r="E2240">
        <v>50</v>
      </c>
      <c r="F2240">
        <v>49.981151580999999</v>
      </c>
      <c r="G2240">
        <v>1329.3996582</v>
      </c>
      <c r="H2240">
        <v>1328.2701416</v>
      </c>
      <c r="I2240">
        <v>1335.9481201000001</v>
      </c>
      <c r="J2240">
        <v>1334.2376709</v>
      </c>
      <c r="K2240">
        <v>0</v>
      </c>
      <c r="L2240">
        <v>1650</v>
      </c>
      <c r="M2240">
        <v>1650</v>
      </c>
      <c r="N2240">
        <v>0</v>
      </c>
    </row>
    <row r="2241" spans="1:14" x14ac:dyDescent="0.25">
      <c r="A2241">
        <v>1681.908205</v>
      </c>
      <c r="B2241" s="1">
        <f>DATE(2014,12,7) + TIME(21,47,48)</f>
        <v>41980.908194444448</v>
      </c>
      <c r="C2241">
        <v>80</v>
      </c>
      <c r="D2241">
        <v>77.731735228999995</v>
      </c>
      <c r="E2241">
        <v>50</v>
      </c>
      <c r="F2241">
        <v>49.981132506999998</v>
      </c>
      <c r="G2241">
        <v>1329.3662108999999</v>
      </c>
      <c r="H2241">
        <v>1328.2255858999999</v>
      </c>
      <c r="I2241">
        <v>1335.9455565999999</v>
      </c>
      <c r="J2241">
        <v>1334.2364502</v>
      </c>
      <c r="K2241">
        <v>0</v>
      </c>
      <c r="L2241">
        <v>1650</v>
      </c>
      <c r="M2241">
        <v>1650</v>
      </c>
      <c r="N2241">
        <v>0</v>
      </c>
    </row>
    <row r="2242" spans="1:14" x14ac:dyDescent="0.25">
      <c r="A2242">
        <v>1683.400801</v>
      </c>
      <c r="B2242" s="1">
        <f>DATE(2014,12,9) + TIME(9,37,9)</f>
        <v>41982.40079861111</v>
      </c>
      <c r="C2242">
        <v>80</v>
      </c>
      <c r="D2242">
        <v>77.636871338000006</v>
      </c>
      <c r="E2242">
        <v>50</v>
      </c>
      <c r="F2242">
        <v>49.981109619000001</v>
      </c>
      <c r="G2242">
        <v>1329.3328856999999</v>
      </c>
      <c r="H2242">
        <v>1328.1810303</v>
      </c>
      <c r="I2242">
        <v>1335.9431152</v>
      </c>
      <c r="J2242">
        <v>1334.2353516000001</v>
      </c>
      <c r="K2242">
        <v>0</v>
      </c>
      <c r="L2242">
        <v>1650</v>
      </c>
      <c r="M2242">
        <v>1650</v>
      </c>
      <c r="N2242">
        <v>0</v>
      </c>
    </row>
    <row r="2243" spans="1:14" x14ac:dyDescent="0.25">
      <c r="A2243">
        <v>1684.9297469999999</v>
      </c>
      <c r="B2243" s="1">
        <f>DATE(2014,12,10) + TIME(22,18,50)</f>
        <v>41983.929745370369</v>
      </c>
      <c r="C2243">
        <v>80</v>
      </c>
      <c r="D2243">
        <v>77.538757324000002</v>
      </c>
      <c r="E2243">
        <v>50</v>
      </c>
      <c r="F2243">
        <v>49.981090545999997</v>
      </c>
      <c r="G2243">
        <v>1329.2996826000001</v>
      </c>
      <c r="H2243">
        <v>1328.1367187999999</v>
      </c>
      <c r="I2243">
        <v>1335.9406738</v>
      </c>
      <c r="J2243">
        <v>1334.2342529</v>
      </c>
      <c r="K2243">
        <v>0</v>
      </c>
      <c r="L2243">
        <v>1650</v>
      </c>
      <c r="M2243">
        <v>1650</v>
      </c>
      <c r="N2243">
        <v>0</v>
      </c>
    </row>
    <row r="2244" spans="1:14" x14ac:dyDescent="0.25">
      <c r="A2244">
        <v>1686.507744</v>
      </c>
      <c r="B2244" s="1">
        <f>DATE(2014,12,12) + TIME(12,11,9)</f>
        <v>41985.507743055554</v>
      </c>
      <c r="C2244">
        <v>80</v>
      </c>
      <c r="D2244">
        <v>77.436805724999999</v>
      </c>
      <c r="E2244">
        <v>50</v>
      </c>
      <c r="F2244">
        <v>49.981071471999996</v>
      </c>
      <c r="G2244">
        <v>1329.2666016000001</v>
      </c>
      <c r="H2244">
        <v>1328.0925293</v>
      </c>
      <c r="I2244">
        <v>1335.9382324000001</v>
      </c>
      <c r="J2244">
        <v>1334.2332764</v>
      </c>
      <c r="K2244">
        <v>0</v>
      </c>
      <c r="L2244">
        <v>1650</v>
      </c>
      <c r="M2244">
        <v>1650</v>
      </c>
      <c r="N2244">
        <v>0</v>
      </c>
    </row>
    <row r="2245" spans="1:14" x14ac:dyDescent="0.25">
      <c r="A2245">
        <v>1688.148794</v>
      </c>
      <c r="B2245" s="1">
        <f>DATE(2014,12,14) + TIME(3,34,15)</f>
        <v>41987.148784722223</v>
      </c>
      <c r="C2245">
        <v>80</v>
      </c>
      <c r="D2245">
        <v>77.330184936999999</v>
      </c>
      <c r="E2245">
        <v>50</v>
      </c>
      <c r="F2245">
        <v>49.981052398999999</v>
      </c>
      <c r="G2245">
        <v>1329.2332764</v>
      </c>
      <c r="H2245">
        <v>1328.0484618999999</v>
      </c>
      <c r="I2245">
        <v>1335.9357910000001</v>
      </c>
      <c r="J2245">
        <v>1334.2324219</v>
      </c>
      <c r="K2245">
        <v>0</v>
      </c>
      <c r="L2245">
        <v>1650</v>
      </c>
      <c r="M2245">
        <v>1650</v>
      </c>
      <c r="N2245">
        <v>0</v>
      </c>
    </row>
    <row r="2246" spans="1:14" x14ac:dyDescent="0.25">
      <c r="A2246">
        <v>1689.869121</v>
      </c>
      <c r="B2246" s="1">
        <f>DATE(2014,12,15) + TIME(20,51,32)</f>
        <v>41988.869120370371</v>
      </c>
      <c r="C2246">
        <v>80</v>
      </c>
      <c r="D2246">
        <v>77.217887877999999</v>
      </c>
      <c r="E2246">
        <v>50</v>
      </c>
      <c r="F2246">
        <v>49.981029509999999</v>
      </c>
      <c r="G2246">
        <v>1329.1995850000001</v>
      </c>
      <c r="H2246">
        <v>1328.0039062000001</v>
      </c>
      <c r="I2246">
        <v>1335.9334716999999</v>
      </c>
      <c r="J2246">
        <v>1334.2314452999999</v>
      </c>
      <c r="K2246">
        <v>0</v>
      </c>
      <c r="L2246">
        <v>1650</v>
      </c>
      <c r="M2246">
        <v>1650</v>
      </c>
      <c r="N2246">
        <v>0</v>
      </c>
    </row>
    <row r="2247" spans="1:14" x14ac:dyDescent="0.25">
      <c r="A2247">
        <v>1691.6786689999999</v>
      </c>
      <c r="B2247" s="1">
        <f>DATE(2014,12,17) + TIME(16,17,16)</f>
        <v>41990.678657407407</v>
      </c>
      <c r="C2247">
        <v>80</v>
      </c>
      <c r="D2247">
        <v>77.098884583</v>
      </c>
      <c r="E2247">
        <v>50</v>
      </c>
      <c r="F2247">
        <v>49.981006622000002</v>
      </c>
      <c r="G2247">
        <v>1329.1654053</v>
      </c>
      <c r="H2247">
        <v>1327.9587402</v>
      </c>
      <c r="I2247">
        <v>1335.9310303</v>
      </c>
      <c r="J2247">
        <v>1334.2305908000001</v>
      </c>
      <c r="K2247">
        <v>0</v>
      </c>
      <c r="L2247">
        <v>1650</v>
      </c>
      <c r="M2247">
        <v>1650</v>
      </c>
      <c r="N2247">
        <v>0</v>
      </c>
    </row>
    <row r="2248" spans="1:14" x14ac:dyDescent="0.25">
      <c r="A2248">
        <v>1693.5735420000001</v>
      </c>
      <c r="B2248" s="1">
        <f>DATE(2014,12,19) + TIME(13,45,54)</f>
        <v>41992.573541666665</v>
      </c>
      <c r="C2248">
        <v>80</v>
      </c>
      <c r="D2248">
        <v>76.972541809000006</v>
      </c>
      <c r="E2248">
        <v>50</v>
      </c>
      <c r="F2248">
        <v>49.980983733999999</v>
      </c>
      <c r="G2248">
        <v>1329.1303711</v>
      </c>
      <c r="H2248">
        <v>1327.9125977000001</v>
      </c>
      <c r="I2248">
        <v>1335.9284668</v>
      </c>
      <c r="J2248">
        <v>1334.2297363</v>
      </c>
      <c r="K2248">
        <v>0</v>
      </c>
      <c r="L2248">
        <v>1650</v>
      </c>
      <c r="M2248">
        <v>1650</v>
      </c>
      <c r="N2248">
        <v>0</v>
      </c>
    </row>
    <row r="2249" spans="1:14" x14ac:dyDescent="0.25">
      <c r="A2249">
        <v>1695.48894</v>
      </c>
      <c r="B2249" s="1">
        <f>DATE(2014,12,21) + TIME(11,44,4)</f>
        <v>41994.488935185182</v>
      </c>
      <c r="C2249">
        <v>80</v>
      </c>
      <c r="D2249">
        <v>76.840019225999995</v>
      </c>
      <c r="E2249">
        <v>50</v>
      </c>
      <c r="F2249">
        <v>49.980960846000002</v>
      </c>
      <c r="G2249">
        <v>1329.0947266000001</v>
      </c>
      <c r="H2249">
        <v>1327.8658447</v>
      </c>
      <c r="I2249">
        <v>1335.9260254000001</v>
      </c>
      <c r="J2249">
        <v>1334.2290039</v>
      </c>
      <c r="K2249">
        <v>0</v>
      </c>
      <c r="L2249">
        <v>1650</v>
      </c>
      <c r="M2249">
        <v>1650</v>
      </c>
      <c r="N2249">
        <v>0</v>
      </c>
    </row>
    <row r="2250" spans="1:14" x14ac:dyDescent="0.25">
      <c r="A2250">
        <v>1697.421523</v>
      </c>
      <c r="B2250" s="1">
        <f>DATE(2014,12,23) + TIME(10,6,59)</f>
        <v>41996.421516203707</v>
      </c>
      <c r="C2250">
        <v>80</v>
      </c>
      <c r="D2250">
        <v>76.703498839999995</v>
      </c>
      <c r="E2250">
        <v>50</v>
      </c>
      <c r="F2250">
        <v>49.980937957999998</v>
      </c>
      <c r="G2250">
        <v>1329.0592041</v>
      </c>
      <c r="H2250">
        <v>1327.8190918</v>
      </c>
      <c r="I2250">
        <v>1335.9235839999999</v>
      </c>
      <c r="J2250">
        <v>1334.2282714999999</v>
      </c>
      <c r="K2250">
        <v>0</v>
      </c>
      <c r="L2250">
        <v>1650</v>
      </c>
      <c r="M2250">
        <v>1650</v>
      </c>
      <c r="N2250">
        <v>0</v>
      </c>
    </row>
    <row r="2251" spans="1:14" x14ac:dyDescent="0.25">
      <c r="A2251">
        <v>1699.3919760000001</v>
      </c>
      <c r="B2251" s="1">
        <f>DATE(2014,12,25) + TIME(9,24,26)</f>
        <v>41998.391967592594</v>
      </c>
      <c r="C2251">
        <v>80</v>
      </c>
      <c r="D2251">
        <v>76.563346863000007</v>
      </c>
      <c r="E2251">
        <v>50</v>
      </c>
      <c r="F2251">
        <v>49.980915070000002</v>
      </c>
      <c r="G2251">
        <v>1329.0240478999999</v>
      </c>
      <c r="H2251">
        <v>1327.7729492000001</v>
      </c>
      <c r="I2251">
        <v>1335.9212646000001</v>
      </c>
      <c r="J2251">
        <v>1334.2275391000001</v>
      </c>
      <c r="K2251">
        <v>0</v>
      </c>
      <c r="L2251">
        <v>1650</v>
      </c>
      <c r="M2251">
        <v>1650</v>
      </c>
      <c r="N2251">
        <v>0</v>
      </c>
    </row>
    <row r="2252" spans="1:14" x14ac:dyDescent="0.25">
      <c r="A2252">
        <v>1701.417786</v>
      </c>
      <c r="B2252" s="1">
        <f>DATE(2014,12,27) + TIME(10,1,36)</f>
        <v>42000.41777777778</v>
      </c>
      <c r="C2252">
        <v>80</v>
      </c>
      <c r="D2252">
        <v>76.418731688999998</v>
      </c>
      <c r="E2252">
        <v>50</v>
      </c>
      <c r="F2252">
        <v>49.980888366999999</v>
      </c>
      <c r="G2252">
        <v>1328.9893798999999</v>
      </c>
      <c r="H2252">
        <v>1327.7274170000001</v>
      </c>
      <c r="I2252">
        <v>1335.9189452999999</v>
      </c>
      <c r="J2252">
        <v>1334.2269286999999</v>
      </c>
      <c r="K2252">
        <v>0</v>
      </c>
      <c r="L2252">
        <v>1650</v>
      </c>
      <c r="M2252">
        <v>1650</v>
      </c>
      <c r="N2252">
        <v>0</v>
      </c>
    </row>
    <row r="2253" spans="1:14" x14ac:dyDescent="0.25">
      <c r="A2253">
        <v>1703.517963</v>
      </c>
      <c r="B2253" s="1">
        <f>DATE(2014,12,29) + TIME(12,25,52)</f>
        <v>42002.517962962964</v>
      </c>
      <c r="C2253">
        <v>80</v>
      </c>
      <c r="D2253">
        <v>76.268501282000003</v>
      </c>
      <c r="E2253">
        <v>50</v>
      </c>
      <c r="F2253">
        <v>49.980865479000002</v>
      </c>
      <c r="G2253">
        <v>1328.9547118999999</v>
      </c>
      <c r="H2253">
        <v>1327.6820068</v>
      </c>
      <c r="I2253">
        <v>1335.916626</v>
      </c>
      <c r="J2253">
        <v>1334.2264404</v>
      </c>
      <c r="K2253">
        <v>0</v>
      </c>
      <c r="L2253">
        <v>1650</v>
      </c>
      <c r="M2253">
        <v>1650</v>
      </c>
      <c r="N2253">
        <v>0</v>
      </c>
    </row>
    <row r="2254" spans="1:14" x14ac:dyDescent="0.25">
      <c r="A2254">
        <v>1705.714205</v>
      </c>
      <c r="B2254" s="1">
        <f>DATE(2014,12,31) + TIME(17,8,27)</f>
        <v>42004.714201388888</v>
      </c>
      <c r="C2254">
        <v>80</v>
      </c>
      <c r="D2254">
        <v>76.111251831000004</v>
      </c>
      <c r="E2254">
        <v>50</v>
      </c>
      <c r="F2254">
        <v>49.980838775999999</v>
      </c>
      <c r="G2254">
        <v>1328.9197998</v>
      </c>
      <c r="H2254">
        <v>1327.6365966999999</v>
      </c>
      <c r="I2254">
        <v>1335.9143065999999</v>
      </c>
      <c r="J2254">
        <v>1334.2258300999999</v>
      </c>
      <c r="K2254">
        <v>0</v>
      </c>
      <c r="L2254">
        <v>1650</v>
      </c>
      <c r="M2254">
        <v>1650</v>
      </c>
      <c r="N2254">
        <v>0</v>
      </c>
    </row>
    <row r="2255" spans="1:14" x14ac:dyDescent="0.25">
      <c r="A2255">
        <v>1706</v>
      </c>
      <c r="B2255" s="1">
        <f>DATE(2015,1,1) + TIME(0,0,0)</f>
        <v>42005</v>
      </c>
      <c r="C2255">
        <v>80</v>
      </c>
      <c r="D2255">
        <v>76.053810119999994</v>
      </c>
      <c r="E2255">
        <v>50</v>
      </c>
      <c r="F2255">
        <v>49.980831146</v>
      </c>
      <c r="G2255">
        <v>1328.8861084</v>
      </c>
      <c r="H2255">
        <v>1327.5950928</v>
      </c>
      <c r="I2255">
        <v>1335.9117432</v>
      </c>
      <c r="J2255">
        <v>1334.2252197</v>
      </c>
      <c r="K2255">
        <v>0</v>
      </c>
      <c r="L2255">
        <v>1650</v>
      </c>
      <c r="M2255">
        <v>1650</v>
      </c>
      <c r="N2255">
        <v>0</v>
      </c>
    </row>
    <row r="2256" spans="1:14" x14ac:dyDescent="0.25">
      <c r="A2256">
        <v>1708.3177860000001</v>
      </c>
      <c r="B2256" s="1">
        <f>DATE(2015,1,3) + TIME(7,37,36)</f>
        <v>42007.317777777775</v>
      </c>
      <c r="C2256">
        <v>80</v>
      </c>
      <c r="D2256">
        <v>75.914016724000007</v>
      </c>
      <c r="E2256">
        <v>50</v>
      </c>
      <c r="F2256">
        <v>49.980808258000003</v>
      </c>
      <c r="G2256">
        <v>1328.8764647999999</v>
      </c>
      <c r="H2256">
        <v>1327.5783690999999</v>
      </c>
      <c r="I2256">
        <v>1335.9116211</v>
      </c>
      <c r="J2256">
        <v>1334.2253418</v>
      </c>
      <c r="K2256">
        <v>0</v>
      </c>
      <c r="L2256">
        <v>1650</v>
      </c>
      <c r="M2256">
        <v>1650</v>
      </c>
      <c r="N2256">
        <v>0</v>
      </c>
    </row>
    <row r="2257" spans="1:14" x14ac:dyDescent="0.25">
      <c r="A2257">
        <v>1710.758313</v>
      </c>
      <c r="B2257" s="1">
        <f>DATE(2015,1,5) + TIME(18,11,58)</f>
        <v>42009.758310185185</v>
      </c>
      <c r="C2257">
        <v>80</v>
      </c>
      <c r="D2257">
        <v>75.744651794000006</v>
      </c>
      <c r="E2257">
        <v>50</v>
      </c>
      <c r="F2257">
        <v>49.980781555</v>
      </c>
      <c r="G2257">
        <v>1328.8428954999999</v>
      </c>
      <c r="H2257">
        <v>1327.5362548999999</v>
      </c>
      <c r="I2257">
        <v>1335.9091797000001</v>
      </c>
      <c r="J2257">
        <v>1334.2248535000001</v>
      </c>
      <c r="K2257">
        <v>0</v>
      </c>
      <c r="L2257">
        <v>1650</v>
      </c>
      <c r="M2257">
        <v>1650</v>
      </c>
      <c r="N2257">
        <v>0</v>
      </c>
    </row>
    <row r="2258" spans="1:14" x14ac:dyDescent="0.25">
      <c r="A2258">
        <v>1713.266138</v>
      </c>
      <c r="B2258" s="1">
        <f>DATE(2015,1,8) + TIME(6,23,14)</f>
        <v>42012.266134259262</v>
      </c>
      <c r="C2258">
        <v>80</v>
      </c>
      <c r="D2258">
        <v>75.560501099000007</v>
      </c>
      <c r="E2258">
        <v>50</v>
      </c>
      <c r="F2258">
        <v>49.980754851999997</v>
      </c>
      <c r="G2258">
        <v>1328.8068848</v>
      </c>
      <c r="H2258">
        <v>1327.4899902</v>
      </c>
      <c r="I2258">
        <v>1335.9067382999999</v>
      </c>
      <c r="J2258">
        <v>1334.2244873</v>
      </c>
      <c r="K2258">
        <v>0</v>
      </c>
      <c r="L2258">
        <v>1650</v>
      </c>
      <c r="M2258">
        <v>1650</v>
      </c>
      <c r="N2258">
        <v>0</v>
      </c>
    </row>
    <row r="2259" spans="1:14" x14ac:dyDescent="0.25">
      <c r="A2259">
        <v>1715.7999709999999</v>
      </c>
      <c r="B2259" s="1">
        <f>DATE(2015,1,10) + TIME(19,11,57)</f>
        <v>42014.79996527778</v>
      </c>
      <c r="C2259">
        <v>80</v>
      </c>
      <c r="D2259">
        <v>75.368423461999996</v>
      </c>
      <c r="E2259">
        <v>50</v>
      </c>
      <c r="F2259">
        <v>49.980724334999998</v>
      </c>
      <c r="G2259">
        <v>1328.7701416</v>
      </c>
      <c r="H2259">
        <v>1327.4426269999999</v>
      </c>
      <c r="I2259">
        <v>1335.9042969</v>
      </c>
      <c r="J2259">
        <v>1334.223999</v>
      </c>
      <c r="K2259">
        <v>0</v>
      </c>
      <c r="L2259">
        <v>1650</v>
      </c>
      <c r="M2259">
        <v>1650</v>
      </c>
      <c r="N2259">
        <v>0</v>
      </c>
    </row>
    <row r="2260" spans="1:14" x14ac:dyDescent="0.25">
      <c r="A2260">
        <v>1718.3876270000001</v>
      </c>
      <c r="B2260" s="1">
        <f>DATE(2015,1,13) + TIME(9,18,10)</f>
        <v>42017.387615740743</v>
      </c>
      <c r="C2260">
        <v>80</v>
      </c>
      <c r="D2260">
        <v>75.171386718999997</v>
      </c>
      <c r="E2260">
        <v>50</v>
      </c>
      <c r="F2260">
        <v>49.980697632000002</v>
      </c>
      <c r="G2260">
        <v>1328.7336425999999</v>
      </c>
      <c r="H2260">
        <v>1327.3952637</v>
      </c>
      <c r="I2260">
        <v>1335.9018555</v>
      </c>
      <c r="J2260">
        <v>1334.2237548999999</v>
      </c>
      <c r="K2260">
        <v>0</v>
      </c>
      <c r="L2260">
        <v>1650</v>
      </c>
      <c r="M2260">
        <v>1650</v>
      </c>
      <c r="N2260">
        <v>0</v>
      </c>
    </row>
    <row r="2261" spans="1:14" x14ac:dyDescent="0.25">
      <c r="A2261">
        <v>1721.055051</v>
      </c>
      <c r="B2261" s="1">
        <f>DATE(2015,1,16) + TIME(1,19,16)</f>
        <v>42020.055046296293</v>
      </c>
      <c r="C2261">
        <v>80</v>
      </c>
      <c r="D2261">
        <v>74.968528747999997</v>
      </c>
      <c r="E2261">
        <v>50</v>
      </c>
      <c r="F2261">
        <v>49.980667113999999</v>
      </c>
      <c r="G2261">
        <v>1328.6975098</v>
      </c>
      <c r="H2261">
        <v>1327.3485106999999</v>
      </c>
      <c r="I2261">
        <v>1335.8994141000001</v>
      </c>
      <c r="J2261">
        <v>1334.2233887</v>
      </c>
      <c r="K2261">
        <v>0</v>
      </c>
      <c r="L2261">
        <v>1650</v>
      </c>
      <c r="M2261">
        <v>1650</v>
      </c>
      <c r="N2261">
        <v>0</v>
      </c>
    </row>
    <row r="2262" spans="1:14" x14ac:dyDescent="0.25">
      <c r="A2262">
        <v>1723.8306729999999</v>
      </c>
      <c r="B2262" s="1">
        <f>DATE(2015,1,18) + TIME(19,56,10)</f>
        <v>42022.830671296295</v>
      </c>
      <c r="C2262">
        <v>80</v>
      </c>
      <c r="D2262">
        <v>74.757965088000006</v>
      </c>
      <c r="E2262">
        <v>50</v>
      </c>
      <c r="F2262">
        <v>49.980636597</v>
      </c>
      <c r="G2262">
        <v>1328.6613769999999</v>
      </c>
      <c r="H2262">
        <v>1327.3020019999999</v>
      </c>
      <c r="I2262">
        <v>1335.8970947</v>
      </c>
      <c r="J2262">
        <v>1334.2231445</v>
      </c>
      <c r="K2262">
        <v>0</v>
      </c>
      <c r="L2262">
        <v>1650</v>
      </c>
      <c r="M2262">
        <v>1650</v>
      </c>
      <c r="N2262">
        <v>0</v>
      </c>
    </row>
    <row r="2263" spans="1:14" x14ac:dyDescent="0.25">
      <c r="A2263">
        <v>1726.73811</v>
      </c>
      <c r="B2263" s="1">
        <f>DATE(2015,1,21) + TIME(17,42,52)</f>
        <v>42025.73810185185</v>
      </c>
      <c r="C2263">
        <v>80</v>
      </c>
      <c r="D2263">
        <v>74.537826538000004</v>
      </c>
      <c r="E2263">
        <v>50</v>
      </c>
      <c r="F2263">
        <v>49.980606078999998</v>
      </c>
      <c r="G2263">
        <v>1328.6251221</v>
      </c>
      <c r="H2263">
        <v>1327.255249</v>
      </c>
      <c r="I2263">
        <v>1335.8946533000001</v>
      </c>
      <c r="J2263">
        <v>1334.2229004000001</v>
      </c>
      <c r="K2263">
        <v>0</v>
      </c>
      <c r="L2263">
        <v>1650</v>
      </c>
      <c r="M2263">
        <v>1650</v>
      </c>
      <c r="N2263">
        <v>0</v>
      </c>
    </row>
    <row r="2264" spans="1:14" x14ac:dyDescent="0.25">
      <c r="A2264">
        <v>1729.719533</v>
      </c>
      <c r="B2264" s="1">
        <f>DATE(2015,1,24) + TIME(17,16,7)</f>
        <v>42028.719525462962</v>
      </c>
      <c r="C2264">
        <v>80</v>
      </c>
      <c r="D2264">
        <v>74.307647704999994</v>
      </c>
      <c r="E2264">
        <v>50</v>
      </c>
      <c r="F2264">
        <v>49.980575561999999</v>
      </c>
      <c r="G2264">
        <v>1328.5883789</v>
      </c>
      <c r="H2264">
        <v>1327.2081298999999</v>
      </c>
      <c r="I2264">
        <v>1335.8922118999999</v>
      </c>
      <c r="J2264">
        <v>1334.2226562000001</v>
      </c>
      <c r="K2264">
        <v>0</v>
      </c>
      <c r="L2264">
        <v>1650</v>
      </c>
      <c r="M2264">
        <v>1650</v>
      </c>
      <c r="N2264">
        <v>0</v>
      </c>
    </row>
    <row r="2265" spans="1:14" x14ac:dyDescent="0.25">
      <c r="A2265">
        <v>1732.8401610000001</v>
      </c>
      <c r="B2265" s="1">
        <f>DATE(2015,1,27) + TIME(20,9,49)</f>
        <v>42031.840150462966</v>
      </c>
      <c r="C2265">
        <v>80</v>
      </c>
      <c r="D2265">
        <v>74.068885803000001</v>
      </c>
      <c r="E2265">
        <v>50</v>
      </c>
      <c r="F2265">
        <v>49.980545044000003</v>
      </c>
      <c r="G2265">
        <v>1328.5516356999999</v>
      </c>
      <c r="H2265">
        <v>1327.1607666</v>
      </c>
      <c r="I2265">
        <v>1335.8896483999999</v>
      </c>
      <c r="J2265">
        <v>1334.2225341999999</v>
      </c>
      <c r="K2265">
        <v>0</v>
      </c>
      <c r="L2265">
        <v>1650</v>
      </c>
      <c r="M2265">
        <v>1650</v>
      </c>
      <c r="N2265">
        <v>0</v>
      </c>
    </row>
    <row r="2266" spans="1:14" x14ac:dyDescent="0.25">
      <c r="A2266">
        <v>1736.104585</v>
      </c>
      <c r="B2266" s="1">
        <f>DATE(2015,1,31) + TIME(2,30,36)</f>
        <v>42035.104583333334</v>
      </c>
      <c r="C2266">
        <v>80</v>
      </c>
      <c r="D2266">
        <v>73.818778992000006</v>
      </c>
      <c r="E2266">
        <v>50</v>
      </c>
      <c r="F2266">
        <v>49.980514526</v>
      </c>
      <c r="G2266">
        <v>1328.5145264</v>
      </c>
      <c r="H2266">
        <v>1327.1132812000001</v>
      </c>
      <c r="I2266">
        <v>1335.887207</v>
      </c>
      <c r="J2266">
        <v>1334.2222899999999</v>
      </c>
      <c r="K2266">
        <v>0</v>
      </c>
      <c r="L2266">
        <v>1650</v>
      </c>
      <c r="M2266">
        <v>1650</v>
      </c>
      <c r="N2266">
        <v>0</v>
      </c>
    </row>
    <row r="2267" spans="1:14" x14ac:dyDescent="0.25">
      <c r="A2267">
        <v>1737</v>
      </c>
      <c r="B2267" s="1">
        <f>DATE(2015,2,1) + TIME(0,0,0)</f>
        <v>42036</v>
      </c>
      <c r="C2267">
        <v>80</v>
      </c>
      <c r="D2267">
        <v>73.647148131999998</v>
      </c>
      <c r="E2267">
        <v>50</v>
      </c>
      <c r="F2267">
        <v>49.980495453000003</v>
      </c>
      <c r="G2267">
        <v>1328.4775391000001</v>
      </c>
      <c r="H2267">
        <v>1327.0678711</v>
      </c>
      <c r="I2267">
        <v>1335.8845214999999</v>
      </c>
      <c r="J2267">
        <v>1334.222168</v>
      </c>
      <c r="K2267">
        <v>0</v>
      </c>
      <c r="L2267">
        <v>1650</v>
      </c>
      <c r="M2267">
        <v>1650</v>
      </c>
      <c r="N2267">
        <v>0</v>
      </c>
    </row>
    <row r="2268" spans="1:14" x14ac:dyDescent="0.25">
      <c r="A2268">
        <v>1740.3305849999999</v>
      </c>
      <c r="B2268" s="1">
        <f>DATE(2015,2,4) + TIME(7,56,2)</f>
        <v>42039.330578703702</v>
      </c>
      <c r="C2268">
        <v>80</v>
      </c>
      <c r="D2268">
        <v>73.466041564999998</v>
      </c>
      <c r="E2268">
        <v>50</v>
      </c>
      <c r="F2268">
        <v>49.98046875</v>
      </c>
      <c r="G2268">
        <v>1328.4605713000001</v>
      </c>
      <c r="H2268">
        <v>1327.0407714999999</v>
      </c>
      <c r="I2268">
        <v>1335.8839111</v>
      </c>
      <c r="J2268">
        <v>1334.222168</v>
      </c>
      <c r="K2268">
        <v>0</v>
      </c>
      <c r="L2268">
        <v>1650</v>
      </c>
      <c r="M2268">
        <v>1650</v>
      </c>
      <c r="N2268">
        <v>0</v>
      </c>
    </row>
    <row r="2269" spans="1:14" x14ac:dyDescent="0.25">
      <c r="A2269">
        <v>1743.8116190000001</v>
      </c>
      <c r="B2269" s="1">
        <f>DATE(2015,2,7) + TIME(19,28,43)</f>
        <v>42042.811608796299</v>
      </c>
      <c r="C2269">
        <v>80</v>
      </c>
      <c r="D2269">
        <v>73.210998535000002</v>
      </c>
      <c r="E2269">
        <v>50</v>
      </c>
      <c r="F2269">
        <v>49.980438231999997</v>
      </c>
      <c r="G2269">
        <v>1328.4282227000001</v>
      </c>
      <c r="H2269">
        <v>1327.0019531</v>
      </c>
      <c r="I2269">
        <v>1335.8813477000001</v>
      </c>
      <c r="J2269">
        <v>1334.2220459</v>
      </c>
      <c r="K2269">
        <v>0</v>
      </c>
      <c r="L2269">
        <v>1650</v>
      </c>
      <c r="M2269">
        <v>1650</v>
      </c>
      <c r="N2269">
        <v>0</v>
      </c>
    </row>
    <row r="2270" spans="1:14" x14ac:dyDescent="0.25">
      <c r="A2270">
        <v>1747.413591</v>
      </c>
      <c r="B2270" s="1">
        <f>DATE(2015,2,11) + TIME(9,55,34)</f>
        <v>42046.413587962961</v>
      </c>
      <c r="C2270">
        <v>80</v>
      </c>
      <c r="D2270">
        <v>72.933044433999996</v>
      </c>
      <c r="E2270">
        <v>50</v>
      </c>
      <c r="F2270">
        <v>49.980403899999999</v>
      </c>
      <c r="G2270">
        <v>1328.3918457</v>
      </c>
      <c r="H2270">
        <v>1326.9561768000001</v>
      </c>
      <c r="I2270">
        <v>1335.8787841999999</v>
      </c>
      <c r="J2270">
        <v>1334.2219238</v>
      </c>
      <c r="K2270">
        <v>0</v>
      </c>
      <c r="L2270">
        <v>1650</v>
      </c>
      <c r="M2270">
        <v>1650</v>
      </c>
      <c r="N2270">
        <v>0</v>
      </c>
    </row>
    <row r="2271" spans="1:14" x14ac:dyDescent="0.25">
      <c r="A2271">
        <v>1751.147123</v>
      </c>
      <c r="B2271" s="1">
        <f>DATE(2015,2,15) + TIME(3,31,51)</f>
        <v>42050.147118055553</v>
      </c>
      <c r="C2271">
        <v>80</v>
      </c>
      <c r="D2271">
        <v>72.642028808999996</v>
      </c>
      <c r="E2271">
        <v>50</v>
      </c>
      <c r="F2271">
        <v>49.980369568</v>
      </c>
      <c r="G2271">
        <v>1328.3546143000001</v>
      </c>
      <c r="H2271">
        <v>1326.9088135</v>
      </c>
      <c r="I2271">
        <v>1335.8760986</v>
      </c>
      <c r="J2271">
        <v>1334.2218018000001</v>
      </c>
      <c r="K2271">
        <v>0</v>
      </c>
      <c r="L2271">
        <v>1650</v>
      </c>
      <c r="M2271">
        <v>1650</v>
      </c>
      <c r="N2271">
        <v>0</v>
      </c>
    </row>
    <row r="2272" spans="1:14" x14ac:dyDescent="0.25">
      <c r="A2272">
        <v>1755.0605680000001</v>
      </c>
      <c r="B2272" s="1">
        <f>DATE(2015,2,19) + TIME(1,27,13)</f>
        <v>42054.060567129629</v>
      </c>
      <c r="C2272">
        <v>80</v>
      </c>
      <c r="D2272">
        <v>72.339057921999995</v>
      </c>
      <c r="E2272">
        <v>50</v>
      </c>
      <c r="F2272">
        <v>49.980335236000002</v>
      </c>
      <c r="G2272">
        <v>1328.3172606999999</v>
      </c>
      <c r="H2272">
        <v>1326.8610839999999</v>
      </c>
      <c r="I2272">
        <v>1335.8734131000001</v>
      </c>
      <c r="J2272">
        <v>1334.2218018000001</v>
      </c>
      <c r="K2272">
        <v>0</v>
      </c>
      <c r="L2272">
        <v>1650</v>
      </c>
      <c r="M2272">
        <v>1650</v>
      </c>
      <c r="N2272">
        <v>0</v>
      </c>
    </row>
    <row r="2273" spans="1:14" x14ac:dyDescent="0.25">
      <c r="A2273">
        <v>1759.0503839999999</v>
      </c>
      <c r="B2273" s="1">
        <f>DATE(2015,2,23) + TIME(1,12,33)</f>
        <v>42058.050381944442</v>
      </c>
      <c r="C2273">
        <v>80</v>
      </c>
      <c r="D2273">
        <v>72.022888183999996</v>
      </c>
      <c r="E2273">
        <v>50</v>
      </c>
      <c r="F2273">
        <v>49.980300903</v>
      </c>
      <c r="G2273">
        <v>1328.2794189000001</v>
      </c>
      <c r="H2273">
        <v>1326.8129882999999</v>
      </c>
      <c r="I2273">
        <v>1335.8707274999999</v>
      </c>
      <c r="J2273">
        <v>1334.2216797000001</v>
      </c>
      <c r="K2273">
        <v>0</v>
      </c>
      <c r="L2273">
        <v>1650</v>
      </c>
      <c r="M2273">
        <v>1650</v>
      </c>
      <c r="N2273">
        <v>0</v>
      </c>
    </row>
    <row r="2274" spans="1:14" x14ac:dyDescent="0.25">
      <c r="A2274">
        <v>1763.1165579999999</v>
      </c>
      <c r="B2274" s="1">
        <f>DATE(2015,2,27) + TIME(2,47,50)</f>
        <v>42062.116550925923</v>
      </c>
      <c r="C2274">
        <v>80</v>
      </c>
      <c r="D2274">
        <v>71.699188231999997</v>
      </c>
      <c r="E2274">
        <v>50</v>
      </c>
      <c r="F2274">
        <v>49.980266571000001</v>
      </c>
      <c r="G2274">
        <v>1328.2418213000001</v>
      </c>
      <c r="H2274">
        <v>1326.7650146000001</v>
      </c>
      <c r="I2274">
        <v>1335.8680420000001</v>
      </c>
      <c r="J2274">
        <v>1334.2215576000001</v>
      </c>
      <c r="K2274">
        <v>0</v>
      </c>
      <c r="L2274">
        <v>1650</v>
      </c>
      <c r="M2274">
        <v>1650</v>
      </c>
      <c r="N2274">
        <v>0</v>
      </c>
    </row>
    <row r="2275" spans="1:14" x14ac:dyDescent="0.25">
      <c r="A2275">
        <v>1765</v>
      </c>
      <c r="B2275" s="1">
        <f>DATE(2015,3,1) + TIME(0,0,0)</f>
        <v>42064</v>
      </c>
      <c r="C2275">
        <v>80</v>
      </c>
      <c r="D2275">
        <v>71.421142578000001</v>
      </c>
      <c r="E2275">
        <v>50</v>
      </c>
      <c r="F2275">
        <v>49.980239867999998</v>
      </c>
      <c r="G2275">
        <v>1328.2048339999999</v>
      </c>
      <c r="H2275">
        <v>1326.7188721</v>
      </c>
      <c r="I2275">
        <v>1335.8652344</v>
      </c>
      <c r="J2275">
        <v>1334.2214355000001</v>
      </c>
      <c r="K2275">
        <v>0</v>
      </c>
      <c r="L2275">
        <v>1650</v>
      </c>
      <c r="M2275">
        <v>1650</v>
      </c>
      <c r="N2275">
        <v>0</v>
      </c>
    </row>
    <row r="2276" spans="1:14" x14ac:dyDescent="0.25">
      <c r="A2276">
        <v>1769.213166</v>
      </c>
      <c r="B2276" s="1">
        <f>DATE(2015,3,5) + TIME(5,6,57)</f>
        <v>42068.213159722225</v>
      </c>
      <c r="C2276">
        <v>80</v>
      </c>
      <c r="D2276">
        <v>71.194549561000002</v>
      </c>
      <c r="E2276">
        <v>50</v>
      </c>
      <c r="F2276">
        <v>49.980213165000002</v>
      </c>
      <c r="G2276">
        <v>1328.1820068</v>
      </c>
      <c r="H2276">
        <v>1326.6851807</v>
      </c>
      <c r="I2276">
        <v>1335.8640137</v>
      </c>
      <c r="J2276">
        <v>1334.2214355000001</v>
      </c>
      <c r="K2276">
        <v>0</v>
      </c>
      <c r="L2276">
        <v>1650</v>
      </c>
      <c r="M2276">
        <v>1650</v>
      </c>
      <c r="N2276">
        <v>0</v>
      </c>
    </row>
    <row r="2277" spans="1:14" x14ac:dyDescent="0.25">
      <c r="A2277">
        <v>1773.7087730000001</v>
      </c>
      <c r="B2277" s="1">
        <f>DATE(2015,3,9) + TIME(17,0,37)</f>
        <v>42072.708761574075</v>
      </c>
      <c r="C2277">
        <v>80</v>
      </c>
      <c r="D2277">
        <v>70.865074157999999</v>
      </c>
      <c r="E2277">
        <v>50</v>
      </c>
      <c r="F2277">
        <v>49.980182648000003</v>
      </c>
      <c r="G2277">
        <v>1328.1502685999999</v>
      </c>
      <c r="H2277">
        <v>1326.6477050999999</v>
      </c>
      <c r="I2277">
        <v>1335.8613281</v>
      </c>
      <c r="J2277">
        <v>1334.2214355000001</v>
      </c>
      <c r="K2277">
        <v>0</v>
      </c>
      <c r="L2277">
        <v>1650</v>
      </c>
      <c r="M2277">
        <v>1650</v>
      </c>
      <c r="N2277">
        <v>0</v>
      </c>
    </row>
    <row r="2278" spans="1:14" x14ac:dyDescent="0.25">
      <c r="A2278">
        <v>1778.396626</v>
      </c>
      <c r="B2278" s="1">
        <f>DATE(2015,3,14) + TIME(9,31,8)</f>
        <v>42077.396620370368</v>
      </c>
      <c r="C2278">
        <v>80</v>
      </c>
      <c r="D2278">
        <v>70.503974915000001</v>
      </c>
      <c r="E2278">
        <v>50</v>
      </c>
      <c r="F2278">
        <v>49.980148315000001</v>
      </c>
      <c r="G2278">
        <v>1328.1141356999999</v>
      </c>
      <c r="H2278">
        <v>1326.6022949000001</v>
      </c>
      <c r="I2278">
        <v>1335.8583983999999</v>
      </c>
      <c r="J2278">
        <v>1334.2213135</v>
      </c>
      <c r="K2278">
        <v>0</v>
      </c>
      <c r="L2278">
        <v>1650</v>
      </c>
      <c r="M2278">
        <v>1650</v>
      </c>
      <c r="N2278">
        <v>0</v>
      </c>
    </row>
    <row r="2279" spans="1:14" x14ac:dyDescent="0.25">
      <c r="A2279">
        <v>1783.275032</v>
      </c>
      <c r="B2279" s="1">
        <f>DATE(2015,3,19) + TIME(6,36,2)</f>
        <v>42082.275023148148</v>
      </c>
      <c r="C2279">
        <v>80</v>
      </c>
      <c r="D2279">
        <v>70.123863220000004</v>
      </c>
      <c r="E2279">
        <v>50</v>
      </c>
      <c r="F2279">
        <v>49.980110168000003</v>
      </c>
      <c r="G2279">
        <v>1328.0767822</v>
      </c>
      <c r="H2279">
        <v>1326.5551757999999</v>
      </c>
      <c r="I2279">
        <v>1335.8554687999999</v>
      </c>
      <c r="J2279">
        <v>1334.2211914</v>
      </c>
      <c r="K2279">
        <v>0</v>
      </c>
      <c r="L2279">
        <v>1650</v>
      </c>
      <c r="M2279">
        <v>1650</v>
      </c>
      <c r="N2279">
        <v>0</v>
      </c>
    </row>
    <row r="2280" spans="1:14" x14ac:dyDescent="0.25">
      <c r="A2280">
        <v>1788.218572</v>
      </c>
      <c r="B2280" s="1">
        <f>DATE(2015,3,24) + TIME(5,14,44)</f>
        <v>42087.218564814815</v>
      </c>
      <c r="C2280">
        <v>80</v>
      </c>
      <c r="D2280">
        <v>69.729904175000001</v>
      </c>
      <c r="E2280">
        <v>50</v>
      </c>
      <c r="F2280">
        <v>49.980075835999997</v>
      </c>
      <c r="G2280">
        <v>1328.0393065999999</v>
      </c>
      <c r="H2280">
        <v>1326.5074463000001</v>
      </c>
      <c r="I2280">
        <v>1335.8525391000001</v>
      </c>
      <c r="J2280">
        <v>1334.2210693</v>
      </c>
      <c r="K2280">
        <v>0</v>
      </c>
      <c r="L2280">
        <v>1650</v>
      </c>
      <c r="M2280">
        <v>1650</v>
      </c>
      <c r="N2280">
        <v>0</v>
      </c>
    </row>
    <row r="2281" spans="1:14" x14ac:dyDescent="0.25">
      <c r="A2281">
        <v>1793.296959</v>
      </c>
      <c r="B2281" s="1">
        <f>DATE(2015,3,29) + TIME(7,7,37)</f>
        <v>42092.296956018516</v>
      </c>
      <c r="C2281">
        <v>80</v>
      </c>
      <c r="D2281">
        <v>69.327659607000001</v>
      </c>
      <c r="E2281">
        <v>50</v>
      </c>
      <c r="F2281">
        <v>49.980041503999999</v>
      </c>
      <c r="G2281">
        <v>1328.0023193</v>
      </c>
      <c r="H2281">
        <v>1326.4603271000001</v>
      </c>
      <c r="I2281">
        <v>1335.8496094</v>
      </c>
      <c r="J2281">
        <v>1334.2208252</v>
      </c>
      <c r="K2281">
        <v>0</v>
      </c>
      <c r="L2281">
        <v>1650</v>
      </c>
      <c r="M2281">
        <v>1650</v>
      </c>
      <c r="N2281">
        <v>0</v>
      </c>
    </row>
    <row r="2282" spans="1:14" x14ac:dyDescent="0.25">
      <c r="A2282">
        <v>1796</v>
      </c>
      <c r="B2282" s="1">
        <f>DATE(2015,4,1) + TIME(0,0,0)</f>
        <v>42095</v>
      </c>
      <c r="C2282">
        <v>80</v>
      </c>
      <c r="D2282">
        <v>68.959823607999994</v>
      </c>
      <c r="E2282">
        <v>50</v>
      </c>
      <c r="F2282">
        <v>49.980010986000003</v>
      </c>
      <c r="G2282">
        <v>1327.9659423999999</v>
      </c>
      <c r="H2282">
        <v>1326.4147949000001</v>
      </c>
      <c r="I2282">
        <v>1335.8465576000001</v>
      </c>
      <c r="J2282">
        <v>1334.2207031</v>
      </c>
      <c r="K2282">
        <v>0</v>
      </c>
      <c r="L2282">
        <v>1650</v>
      </c>
      <c r="M2282">
        <v>1650</v>
      </c>
      <c r="N228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2022-06-27T14:03:56Z</dcterms:created>
  <dcterms:modified xsi:type="dcterms:W3CDTF">2022-06-27T14:04:35Z</dcterms:modified>
</cp:coreProperties>
</file>