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74D5E829-889B-4DF8-AA0F-0ACEF84B43CF}" xr6:coauthVersionLast="47" xr6:coauthVersionMax="47" xr10:uidLastSave="{00000000-0000-0000-0000-000000000000}"/>
  <bookViews>
    <workbookView xWindow="-28920" yWindow="-120" windowWidth="29040" windowHeight="15840" xr2:uid="{9072A553-25A4-4AE7-8A64-59F084E44FE6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35" i="1" l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<sst xmlns="http://schemas.openxmlformats.org/spreadsheetml/2006/main" count="15" uniqueCount="15">
  <si>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MODEL\SCENARIOS\2022\Parameterstudy_perm_storV_dT\perm100_V600_dt40.sr3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</si>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</sst>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B2CD0D-8887-474D-BD18-3422AA72AEDA}" name="Table1" displayName="Table1" ref="A3:N2335" totalsRowShown="0">
  <autoFilter ref="A3:N2335" xr:uid="{E0B2CD0D-8887-474D-BD18-3422AA72AEDA}"/>
  <tableColumns count="14">
    <tableColumn id="1" xr3:uid="{C931BA86-3885-4D5A-9EBF-6BADA5648293}" name="Time (day)"/>
    <tableColumn id="2" xr3:uid="{EC9A21DC-8CCF-4667-9776-FA996B9C1D0C}" name="Date" dataDxfId="0"/>
    <tableColumn id="3" xr3:uid="{B3096B81-8A96-489B-91AA-A05613AD5051}" name="Hot well INJ-Well bottom hole temperature (C)"/>
    <tableColumn id="4" xr3:uid="{2CBA8D90-F8FE-40F9-B9A2-779EAB40C3D0}" name="Hot well PROD-Well bottom hole temperature (C)"/>
    <tableColumn id="5" xr3:uid="{C052D5ED-AB94-4057-B27A-A815C38E810A}" name="Warm well INJ-Well bottom hole temperature (C)"/>
    <tableColumn id="6" xr3:uid="{7F753745-7F3B-415F-B681-1D01516F3A7A}" name="Warm well PROD-Well bottom hole temperature (C)"/>
    <tableColumn id="7" xr3:uid="{C88F1321-597B-45B1-AF74-7E58EC7749A4}" name="Hot well INJ-Well Bottom-hole Pressure (kPa)"/>
    <tableColumn id="8" xr3:uid="{F0F68C3D-1A5E-4471-9B59-511810002BEC}" name="Hot well PROD-Well Bottom-hole Pressure (kPa)"/>
    <tableColumn id="9" xr3:uid="{377DD3AB-CBBF-4EB5-AFEE-3EF43AAA74C0}" name="Warm well INJ-Well Bottom-hole Pressure (kPa)"/>
    <tableColumn id="10" xr3:uid="{78B563C2-B0C3-4CC7-8720-E9A6E522548A}" name="Warm well PROD-Well Bottom-hole Pressure (kPa)"/>
    <tableColumn id="11" xr3:uid="{0A399E3B-775A-4444-8D49-C0AD5C78B76A}" name="Hot well INJ-Fluid Rate SC (m³/day)"/>
    <tableColumn id="12" xr3:uid="{16999341-0C94-405E-9424-AC48563F8B67}" name="Hot well PROD-Fluid Rate SC (m³/day)"/>
    <tableColumn id="13" xr3:uid="{3E4822C2-16E2-4F73-83B4-B3A8057531E7}" name="Warm well INJ-Fluid Rate SC (m³/day)"/>
    <tableColumn id="14" xr3:uid="{B1F81D4A-8A5C-4517-80A9-6C397316B04E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640B-145A-42AD-BE90-5B8AA3F4C5A2}">
  <dimension ref="A1:N2335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15.000077248</v>
      </c>
      <c r="E4">
        <v>40</v>
      </c>
      <c r="F4">
        <v>14.999973297</v>
      </c>
      <c r="G4">
        <v>1332.3775635</v>
      </c>
      <c r="H4">
        <v>1329.6672363</v>
      </c>
      <c r="I4">
        <v>1329.1531981999999</v>
      </c>
      <c r="J4">
        <v>1326.4421387</v>
      </c>
      <c r="K4">
        <v>1650</v>
      </c>
      <c r="L4">
        <v>0</v>
      </c>
      <c r="M4">
        <v>0</v>
      </c>
      <c r="N4">
        <v>1650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15.00028038</v>
      </c>
      <c r="E5">
        <v>40</v>
      </c>
      <c r="F5">
        <v>14.999920845</v>
      </c>
      <c r="G5">
        <v>1332.8894043</v>
      </c>
      <c r="H5">
        <v>1330.1789550999999</v>
      </c>
      <c r="I5">
        <v>1328.6435547000001</v>
      </c>
      <c r="J5">
        <v>1325.9326172000001</v>
      </c>
      <c r="K5">
        <v>1650</v>
      </c>
      <c r="L5">
        <v>0</v>
      </c>
      <c r="M5">
        <v>0</v>
      </c>
      <c r="N5">
        <v>1650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15.000809669000001</v>
      </c>
      <c r="E6">
        <v>40</v>
      </c>
      <c r="F6">
        <v>14.999846458</v>
      </c>
      <c r="G6">
        <v>1333.6195068</v>
      </c>
      <c r="H6">
        <v>1330.9090576000001</v>
      </c>
      <c r="I6">
        <v>1327.9165039</v>
      </c>
      <c r="J6">
        <v>1325.2055664</v>
      </c>
      <c r="K6">
        <v>1650</v>
      </c>
      <c r="L6">
        <v>0</v>
      </c>
      <c r="M6">
        <v>0</v>
      </c>
      <c r="N6">
        <v>1650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15.002252579</v>
      </c>
      <c r="E7">
        <v>40</v>
      </c>
      <c r="F7">
        <v>14.999765396000001</v>
      </c>
      <c r="G7">
        <v>1334.4129639</v>
      </c>
      <c r="H7">
        <v>1331.7026367000001</v>
      </c>
      <c r="I7">
        <v>1327.1263428</v>
      </c>
      <c r="J7">
        <v>1324.4155272999999</v>
      </c>
      <c r="K7">
        <v>1650</v>
      </c>
      <c r="L7">
        <v>0</v>
      </c>
      <c r="M7">
        <v>0</v>
      </c>
      <c r="N7">
        <v>1650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15.006416321</v>
      </c>
      <c r="E8">
        <v>40</v>
      </c>
      <c r="F8">
        <v>14.999684333999999</v>
      </c>
      <c r="G8">
        <v>1335.197876</v>
      </c>
      <c r="H8">
        <v>1332.487793</v>
      </c>
      <c r="I8">
        <v>1326.3444824000001</v>
      </c>
      <c r="J8">
        <v>1323.6336670000001</v>
      </c>
      <c r="K8">
        <v>1650</v>
      </c>
      <c r="L8">
        <v>0</v>
      </c>
      <c r="M8">
        <v>0</v>
      </c>
      <c r="N8">
        <v>1650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15.018744469</v>
      </c>
      <c r="E9">
        <v>40</v>
      </c>
      <c r="F9">
        <v>14.999606133</v>
      </c>
      <c r="G9">
        <v>1335.9666748</v>
      </c>
      <c r="H9">
        <v>1333.2574463000001</v>
      </c>
      <c r="I9">
        <v>1325.5777588000001</v>
      </c>
      <c r="J9">
        <v>1322.8670654</v>
      </c>
      <c r="K9">
        <v>1650</v>
      </c>
      <c r="L9">
        <v>0</v>
      </c>
      <c r="M9">
        <v>0</v>
      </c>
      <c r="N9">
        <v>1650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15.055542945999999</v>
      </c>
      <c r="E10">
        <v>40</v>
      </c>
      <c r="F10">
        <v>14.999534606999999</v>
      </c>
      <c r="G10">
        <v>1336.6585693</v>
      </c>
      <c r="H10">
        <v>1333.9517822</v>
      </c>
      <c r="I10">
        <v>1324.8858643000001</v>
      </c>
      <c r="J10">
        <v>1322.1750488</v>
      </c>
      <c r="K10">
        <v>1650</v>
      </c>
      <c r="L10">
        <v>0</v>
      </c>
      <c r="M10">
        <v>0</v>
      </c>
      <c r="N10">
        <v>1650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15.165616034999999</v>
      </c>
      <c r="E11">
        <v>40</v>
      </c>
      <c r="F11">
        <v>14.999485016</v>
      </c>
      <c r="G11">
        <v>1337.1425781</v>
      </c>
      <c r="H11">
        <v>1334.4432373</v>
      </c>
      <c r="I11">
        <v>1324.3969727000001</v>
      </c>
      <c r="J11">
        <v>1321.6862793</v>
      </c>
      <c r="K11">
        <v>1650</v>
      </c>
      <c r="L11">
        <v>0</v>
      </c>
      <c r="M11">
        <v>0</v>
      </c>
      <c r="N11">
        <v>1650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15.494289397999999</v>
      </c>
      <c r="E12">
        <v>40</v>
      </c>
      <c r="F12">
        <v>14.999462127999999</v>
      </c>
      <c r="G12">
        <v>1337.3623047000001</v>
      </c>
      <c r="H12">
        <v>1334.6846923999999</v>
      </c>
      <c r="I12">
        <v>1324.1645507999999</v>
      </c>
      <c r="J12">
        <v>1321.4538574000001</v>
      </c>
      <c r="K12">
        <v>1650</v>
      </c>
      <c r="L12">
        <v>0</v>
      </c>
      <c r="M12">
        <v>0</v>
      </c>
      <c r="N12">
        <v>1650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16.468711852999999</v>
      </c>
      <c r="E13">
        <v>40</v>
      </c>
      <c r="F13">
        <v>14.999459267000001</v>
      </c>
      <c r="G13">
        <v>1337.3540039</v>
      </c>
      <c r="H13">
        <v>1334.7391356999999</v>
      </c>
      <c r="I13">
        <v>1324.1098632999999</v>
      </c>
      <c r="J13">
        <v>1321.3991699000001</v>
      </c>
      <c r="K13">
        <v>1650</v>
      </c>
      <c r="L13">
        <v>0</v>
      </c>
      <c r="M13">
        <v>0</v>
      </c>
      <c r="N13">
        <v>1650</v>
      </c>
    </row>
    <row r="14" spans="1:14" x14ac:dyDescent="0.25">
      <c r="A14">
        <v>4.9723999999999997E-2</v>
      </c>
      <c r="B14" s="1">
        <f>DATE(2010,5,1) + TIME(1,11,36)</f>
        <v>40299.049722222226</v>
      </c>
      <c r="C14">
        <v>80</v>
      </c>
      <c r="D14">
        <v>17.460525513</v>
      </c>
      <c r="E14">
        <v>40</v>
      </c>
      <c r="F14">
        <v>14.999461174</v>
      </c>
      <c r="G14">
        <v>1337.3026123</v>
      </c>
      <c r="H14">
        <v>1334.7390137</v>
      </c>
      <c r="I14">
        <v>1324.1069336</v>
      </c>
      <c r="J14">
        <v>1321.3961182</v>
      </c>
      <c r="K14">
        <v>1650</v>
      </c>
      <c r="L14">
        <v>0</v>
      </c>
      <c r="M14">
        <v>0</v>
      </c>
      <c r="N14">
        <v>1650</v>
      </c>
    </row>
    <row r="15" spans="1:14" x14ac:dyDescent="0.25">
      <c r="A15">
        <v>7.009E-2</v>
      </c>
      <c r="B15" s="1">
        <f>DATE(2010,5,1) + TIME(1,40,55)</f>
        <v>40299.070081018515</v>
      </c>
      <c r="C15">
        <v>80</v>
      </c>
      <c r="D15">
        <v>18.452850342000001</v>
      </c>
      <c r="E15">
        <v>40</v>
      </c>
      <c r="F15">
        <v>14.999463081</v>
      </c>
      <c r="G15">
        <v>1337.2482910000001</v>
      </c>
      <c r="H15">
        <v>1334.7324219</v>
      </c>
      <c r="I15">
        <v>1324.1076660000001</v>
      </c>
      <c r="J15">
        <v>1321.3968506000001</v>
      </c>
      <c r="K15">
        <v>1650</v>
      </c>
      <c r="L15">
        <v>0</v>
      </c>
      <c r="M15">
        <v>0</v>
      </c>
      <c r="N15">
        <v>1650</v>
      </c>
    </row>
    <row r="16" spans="1:14" x14ac:dyDescent="0.25">
      <c r="A16">
        <v>9.0614E-2</v>
      </c>
      <c r="B16" s="1">
        <f>DATE(2010,5,1) + TIME(2,10,29)</f>
        <v>40299.090613425928</v>
      </c>
      <c r="C16">
        <v>80</v>
      </c>
      <c r="D16">
        <v>19.445428847999999</v>
      </c>
      <c r="E16">
        <v>40</v>
      </c>
      <c r="F16">
        <v>14.999465942</v>
      </c>
      <c r="G16">
        <v>1337.1986084</v>
      </c>
      <c r="H16">
        <v>1334.7270507999999</v>
      </c>
      <c r="I16">
        <v>1324.1083983999999</v>
      </c>
      <c r="J16">
        <v>1321.3974608999999</v>
      </c>
      <c r="K16">
        <v>1650</v>
      </c>
      <c r="L16">
        <v>0</v>
      </c>
      <c r="M16">
        <v>0</v>
      </c>
      <c r="N16">
        <v>1650</v>
      </c>
    </row>
    <row r="17" spans="1:14" x14ac:dyDescent="0.25">
      <c r="A17">
        <v>0.111291</v>
      </c>
      <c r="B17" s="1">
        <f>DATE(2010,5,1) + TIME(2,40,15)</f>
        <v>40299.111284722225</v>
      </c>
      <c r="C17">
        <v>80</v>
      </c>
      <c r="D17">
        <v>20.438629150000001</v>
      </c>
      <c r="E17">
        <v>40</v>
      </c>
      <c r="F17">
        <v>14.99946785</v>
      </c>
      <c r="G17">
        <v>1337.1545410000001</v>
      </c>
      <c r="H17">
        <v>1334.7244873</v>
      </c>
      <c r="I17">
        <v>1324.1088867000001</v>
      </c>
      <c r="J17">
        <v>1321.3979492000001</v>
      </c>
      <c r="K17">
        <v>1650</v>
      </c>
      <c r="L17">
        <v>0</v>
      </c>
      <c r="M17">
        <v>0</v>
      </c>
      <c r="N17">
        <v>1650</v>
      </c>
    </row>
    <row r="18" spans="1:14" x14ac:dyDescent="0.25">
      <c r="A18">
        <v>0.13211000000000001</v>
      </c>
      <c r="B18" s="1">
        <f>DATE(2010,5,1) + TIME(3,10,14)</f>
        <v>40299.132106481484</v>
      </c>
      <c r="C18">
        <v>80</v>
      </c>
      <c r="D18">
        <v>21.432165145999999</v>
      </c>
      <c r="E18">
        <v>40</v>
      </c>
      <c r="F18">
        <v>14.999470711000001</v>
      </c>
      <c r="G18">
        <v>1337.1162108999999</v>
      </c>
      <c r="H18">
        <v>1334.7246094</v>
      </c>
      <c r="I18">
        <v>1324.109375</v>
      </c>
      <c r="J18">
        <v>1321.3983154</v>
      </c>
      <c r="K18">
        <v>1650</v>
      </c>
      <c r="L18">
        <v>0</v>
      </c>
      <c r="M18">
        <v>0</v>
      </c>
      <c r="N18">
        <v>1650</v>
      </c>
    </row>
    <row r="19" spans="1:14" x14ac:dyDescent="0.25">
      <c r="A19">
        <v>0.15306500000000001</v>
      </c>
      <c r="B19" s="1">
        <f>DATE(2010,5,1) + TIME(3,40,24)</f>
        <v>40299.153055555558</v>
      </c>
      <c r="C19">
        <v>80</v>
      </c>
      <c r="D19">
        <v>22.425409317</v>
      </c>
      <c r="E19">
        <v>40</v>
      </c>
      <c r="F19">
        <v>14.999472618</v>
      </c>
      <c r="G19">
        <v>1337.0832519999999</v>
      </c>
      <c r="H19">
        <v>1334.7274170000001</v>
      </c>
      <c r="I19">
        <v>1324.1098632999999</v>
      </c>
      <c r="J19">
        <v>1321.3986815999999</v>
      </c>
      <c r="K19">
        <v>1650</v>
      </c>
      <c r="L19">
        <v>0</v>
      </c>
      <c r="M19">
        <v>0</v>
      </c>
      <c r="N19">
        <v>1650</v>
      </c>
    </row>
    <row r="20" spans="1:14" x14ac:dyDescent="0.25">
      <c r="A20">
        <v>0.17416200000000001</v>
      </c>
      <c r="B20" s="1">
        <f>DATE(2010,5,1) + TIME(4,10,47)</f>
        <v>40299.174155092594</v>
      </c>
      <c r="C20">
        <v>80</v>
      </c>
      <c r="D20">
        <v>23.418809890999999</v>
      </c>
      <c r="E20">
        <v>40</v>
      </c>
      <c r="F20">
        <v>14.999474525</v>
      </c>
      <c r="G20">
        <v>1337.0554199000001</v>
      </c>
      <c r="H20">
        <v>1334.7327881000001</v>
      </c>
      <c r="I20">
        <v>1324.1103516000001</v>
      </c>
      <c r="J20">
        <v>1321.3990478999999</v>
      </c>
      <c r="K20">
        <v>1650</v>
      </c>
      <c r="L20">
        <v>0</v>
      </c>
      <c r="M20">
        <v>0</v>
      </c>
      <c r="N20">
        <v>1650</v>
      </c>
    </row>
    <row r="21" spans="1:14" x14ac:dyDescent="0.25">
      <c r="A21">
        <v>0.19539899999999999</v>
      </c>
      <c r="B21" s="1">
        <f>DATE(2010,5,1) + TIME(4,41,22)</f>
        <v>40299.195393518516</v>
      </c>
      <c r="C21">
        <v>80</v>
      </c>
      <c r="D21">
        <v>24.412342072000001</v>
      </c>
      <c r="E21">
        <v>40</v>
      </c>
      <c r="F21">
        <v>14.999477386000001</v>
      </c>
      <c r="G21">
        <v>1337.0324707</v>
      </c>
      <c r="H21">
        <v>1334.7407227000001</v>
      </c>
      <c r="I21">
        <v>1324.1108397999999</v>
      </c>
      <c r="J21">
        <v>1321.3992920000001</v>
      </c>
      <c r="K21">
        <v>1650</v>
      </c>
      <c r="L21">
        <v>0</v>
      </c>
      <c r="M21">
        <v>0</v>
      </c>
      <c r="N21">
        <v>1650</v>
      </c>
    </row>
    <row r="22" spans="1:14" x14ac:dyDescent="0.25">
      <c r="A22">
        <v>0.21677399999999999</v>
      </c>
      <c r="B22" s="1">
        <f>DATE(2010,5,1) + TIME(5,12,9)</f>
        <v>40299.216770833336</v>
      </c>
      <c r="C22">
        <v>80</v>
      </c>
      <c r="D22">
        <v>25.40625</v>
      </c>
      <c r="E22">
        <v>40</v>
      </c>
      <c r="F22">
        <v>14.999479294</v>
      </c>
      <c r="G22">
        <v>1337.0141602000001</v>
      </c>
      <c r="H22">
        <v>1334.7510986</v>
      </c>
      <c r="I22">
        <v>1324.1112060999999</v>
      </c>
      <c r="J22">
        <v>1321.3996582</v>
      </c>
      <c r="K22">
        <v>1650</v>
      </c>
      <c r="L22">
        <v>0</v>
      </c>
      <c r="M22">
        <v>0</v>
      </c>
      <c r="N22">
        <v>1650</v>
      </c>
    </row>
    <row r="23" spans="1:14" x14ac:dyDescent="0.25">
      <c r="A23">
        <v>0.23827999999999999</v>
      </c>
      <c r="B23" s="1">
        <f>DATE(2010,5,1) + TIME(5,43,7)</f>
        <v>40299.238275462965</v>
      </c>
      <c r="C23">
        <v>80</v>
      </c>
      <c r="D23">
        <v>26.400363922</v>
      </c>
      <c r="E23">
        <v>40</v>
      </c>
      <c r="F23">
        <v>14.999481201</v>
      </c>
      <c r="G23">
        <v>1337.0002440999999</v>
      </c>
      <c r="H23">
        <v>1334.7637939000001</v>
      </c>
      <c r="I23">
        <v>1324.1116943</v>
      </c>
      <c r="J23">
        <v>1321.3999022999999</v>
      </c>
      <c r="K23">
        <v>1650</v>
      </c>
      <c r="L23">
        <v>0</v>
      </c>
      <c r="M23">
        <v>0</v>
      </c>
      <c r="N23">
        <v>1650</v>
      </c>
    </row>
    <row r="24" spans="1:14" x14ac:dyDescent="0.25">
      <c r="A24">
        <v>0.25991399999999998</v>
      </c>
      <c r="B24" s="1">
        <f>DATE(2010,5,1) + TIME(6,14,16)</f>
        <v>40299.25990740741</v>
      </c>
      <c r="C24">
        <v>80</v>
      </c>
      <c r="D24">
        <v>27.394132614</v>
      </c>
      <c r="E24">
        <v>40</v>
      </c>
      <c r="F24">
        <v>14.999484062000001</v>
      </c>
      <c r="G24">
        <v>1336.9904785000001</v>
      </c>
      <c r="H24">
        <v>1334.7785644999999</v>
      </c>
      <c r="I24">
        <v>1324.1120605000001</v>
      </c>
      <c r="J24">
        <v>1321.4001464999999</v>
      </c>
      <c r="K24">
        <v>1650</v>
      </c>
      <c r="L24">
        <v>0</v>
      </c>
      <c r="M24">
        <v>0</v>
      </c>
      <c r="N24">
        <v>1650</v>
      </c>
    </row>
    <row r="25" spans="1:14" x14ac:dyDescent="0.25">
      <c r="A25">
        <v>0.28168300000000002</v>
      </c>
      <c r="B25" s="1">
        <f>DATE(2010,5,1) + TIME(6,45,37)</f>
        <v>40299.281678240739</v>
      </c>
      <c r="C25">
        <v>80</v>
      </c>
      <c r="D25">
        <v>28.387901306</v>
      </c>
      <c r="E25">
        <v>40</v>
      </c>
      <c r="F25">
        <v>14.99948597</v>
      </c>
      <c r="G25">
        <v>1336.9846190999999</v>
      </c>
      <c r="H25">
        <v>1334.7955322</v>
      </c>
      <c r="I25">
        <v>1324.1124268000001</v>
      </c>
      <c r="J25">
        <v>1321.4003906</v>
      </c>
      <c r="K25">
        <v>1650</v>
      </c>
      <c r="L25">
        <v>0</v>
      </c>
      <c r="M25">
        <v>0</v>
      </c>
      <c r="N25">
        <v>1650</v>
      </c>
    </row>
    <row r="26" spans="1:14" x14ac:dyDescent="0.25">
      <c r="A26">
        <v>0.303589</v>
      </c>
      <c r="B26" s="1">
        <f>DATE(2010,5,1) + TIME(7,17,10)</f>
        <v>40299.303587962961</v>
      </c>
      <c r="C26">
        <v>80</v>
      </c>
      <c r="D26">
        <v>29.381639481000001</v>
      </c>
      <c r="E26">
        <v>40</v>
      </c>
      <c r="F26">
        <v>14.999487877</v>
      </c>
      <c r="G26">
        <v>1336.9825439000001</v>
      </c>
      <c r="H26">
        <v>1334.8144531</v>
      </c>
      <c r="I26">
        <v>1324.112793</v>
      </c>
      <c r="J26">
        <v>1321.4006348</v>
      </c>
      <c r="K26">
        <v>1650</v>
      </c>
      <c r="L26">
        <v>0</v>
      </c>
      <c r="M26">
        <v>0</v>
      </c>
      <c r="N26">
        <v>1650</v>
      </c>
    </row>
    <row r="27" spans="1:14" x14ac:dyDescent="0.25">
      <c r="A27">
        <v>0.32563300000000001</v>
      </c>
      <c r="B27" s="1">
        <f>DATE(2010,5,1) + TIME(7,48,54)</f>
        <v>40299.325624999998</v>
      </c>
      <c r="C27">
        <v>80</v>
      </c>
      <c r="D27">
        <v>30.375396728999998</v>
      </c>
      <c r="E27">
        <v>40</v>
      </c>
      <c r="F27">
        <v>14.999490738</v>
      </c>
      <c r="G27">
        <v>1336.9838867000001</v>
      </c>
      <c r="H27">
        <v>1334.8353271000001</v>
      </c>
      <c r="I27">
        <v>1324.1132812000001</v>
      </c>
      <c r="J27">
        <v>1321.4008789</v>
      </c>
      <c r="K27">
        <v>1650</v>
      </c>
      <c r="L27">
        <v>0</v>
      </c>
      <c r="M27">
        <v>0</v>
      </c>
      <c r="N27">
        <v>1650</v>
      </c>
    </row>
    <row r="28" spans="1:14" x14ac:dyDescent="0.25">
      <c r="A28">
        <v>0.34781499999999999</v>
      </c>
      <c r="B28" s="1">
        <f>DATE(2010,5,1) + TIME(8,20,51)</f>
        <v>40299.347812499997</v>
      </c>
      <c r="C28">
        <v>80</v>
      </c>
      <c r="D28">
        <v>31.369110107000001</v>
      </c>
      <c r="E28">
        <v>40</v>
      </c>
      <c r="F28">
        <v>14.999492645</v>
      </c>
      <c r="G28">
        <v>1336.9885254000001</v>
      </c>
      <c r="H28">
        <v>1334.8579102000001</v>
      </c>
      <c r="I28">
        <v>1324.1136475000001</v>
      </c>
      <c r="J28">
        <v>1321.4011230000001</v>
      </c>
      <c r="K28">
        <v>1650</v>
      </c>
      <c r="L28">
        <v>0</v>
      </c>
      <c r="M28">
        <v>0</v>
      </c>
      <c r="N28">
        <v>1650</v>
      </c>
    </row>
    <row r="29" spans="1:14" x14ac:dyDescent="0.25">
      <c r="A29">
        <v>0.37013800000000002</v>
      </c>
      <c r="B29" s="1">
        <f>DATE(2010,5,1) + TIME(8,52,59)</f>
        <v>40299.370127314818</v>
      </c>
      <c r="C29">
        <v>80</v>
      </c>
      <c r="D29">
        <v>32.362552643000001</v>
      </c>
      <c r="E29">
        <v>40</v>
      </c>
      <c r="F29">
        <v>14.999494553</v>
      </c>
      <c r="G29">
        <v>1336.9963379000001</v>
      </c>
      <c r="H29">
        <v>1334.8822021000001</v>
      </c>
      <c r="I29">
        <v>1324.1140137</v>
      </c>
      <c r="J29">
        <v>1321.4013672000001</v>
      </c>
      <c r="K29">
        <v>1650</v>
      </c>
      <c r="L29">
        <v>0</v>
      </c>
      <c r="M29">
        <v>0</v>
      </c>
      <c r="N29">
        <v>1650</v>
      </c>
    </row>
    <row r="30" spans="1:14" x14ac:dyDescent="0.25">
      <c r="A30">
        <v>0.39260800000000001</v>
      </c>
      <c r="B30" s="1">
        <f>DATE(2010,5,1) + TIME(9,25,21)</f>
        <v>40299.392604166664</v>
      </c>
      <c r="C30">
        <v>80</v>
      </c>
      <c r="D30">
        <v>33.355815886999999</v>
      </c>
      <c r="E30">
        <v>40</v>
      </c>
      <c r="F30">
        <v>14.99949646</v>
      </c>
      <c r="G30">
        <v>1337.0072021000001</v>
      </c>
      <c r="H30">
        <v>1334.9082031</v>
      </c>
      <c r="I30">
        <v>1324.1143798999999</v>
      </c>
      <c r="J30">
        <v>1321.4014893000001</v>
      </c>
      <c r="K30">
        <v>1650</v>
      </c>
      <c r="L30">
        <v>0</v>
      </c>
      <c r="M30">
        <v>0</v>
      </c>
      <c r="N30">
        <v>1650</v>
      </c>
    </row>
    <row r="31" spans="1:14" x14ac:dyDescent="0.25">
      <c r="A31">
        <v>0.41522999999999999</v>
      </c>
      <c r="B31" s="1">
        <f>DATE(2010,5,1) + TIME(9,57,55)</f>
        <v>40299.415219907409</v>
      </c>
      <c r="C31">
        <v>80</v>
      </c>
      <c r="D31">
        <v>34.348865508999999</v>
      </c>
      <c r="E31">
        <v>40</v>
      </c>
      <c r="F31">
        <v>14.999499321</v>
      </c>
      <c r="G31">
        <v>1337.0207519999999</v>
      </c>
      <c r="H31">
        <v>1334.9357910000001</v>
      </c>
      <c r="I31">
        <v>1324.1147461</v>
      </c>
      <c r="J31">
        <v>1321.4017334</v>
      </c>
      <c r="K31">
        <v>1650</v>
      </c>
      <c r="L31">
        <v>0</v>
      </c>
      <c r="M31">
        <v>0</v>
      </c>
      <c r="N31">
        <v>1650</v>
      </c>
    </row>
    <row r="32" spans="1:14" x14ac:dyDescent="0.25">
      <c r="A32">
        <v>0.43801099999999998</v>
      </c>
      <c r="B32" s="1">
        <f>DATE(2010,5,1) + TIME(10,30,44)</f>
        <v>40299.438009259262</v>
      </c>
      <c r="C32">
        <v>80</v>
      </c>
      <c r="D32">
        <v>35.341667174999998</v>
      </c>
      <c r="E32">
        <v>40</v>
      </c>
      <c r="F32">
        <v>14.999501228</v>
      </c>
      <c r="G32">
        <v>1337.0369873</v>
      </c>
      <c r="H32">
        <v>1334.9647216999999</v>
      </c>
      <c r="I32">
        <v>1324.1151123</v>
      </c>
      <c r="J32">
        <v>1321.4018555</v>
      </c>
      <c r="K32">
        <v>1650</v>
      </c>
      <c r="L32">
        <v>0</v>
      </c>
      <c r="M32">
        <v>0</v>
      </c>
      <c r="N32">
        <v>1650</v>
      </c>
    </row>
    <row r="33" spans="1:14" x14ac:dyDescent="0.25">
      <c r="A33">
        <v>0.46095700000000001</v>
      </c>
      <c r="B33" s="1">
        <f>DATE(2010,5,1) + TIME(11,3,46)</f>
        <v>40299.460949074077</v>
      </c>
      <c r="C33">
        <v>80</v>
      </c>
      <c r="D33">
        <v>36.334178925000003</v>
      </c>
      <c r="E33">
        <v>40</v>
      </c>
      <c r="F33">
        <v>14.999503136</v>
      </c>
      <c r="G33">
        <v>1337.0557861</v>
      </c>
      <c r="H33">
        <v>1334.9952393000001</v>
      </c>
      <c r="I33">
        <v>1324.1154785000001</v>
      </c>
      <c r="J33">
        <v>1321.4020995999999</v>
      </c>
      <c r="K33">
        <v>1650</v>
      </c>
      <c r="L33">
        <v>0</v>
      </c>
      <c r="M33">
        <v>0</v>
      </c>
      <c r="N33">
        <v>1650</v>
      </c>
    </row>
    <row r="34" spans="1:14" x14ac:dyDescent="0.25">
      <c r="A34">
        <v>0.48407600000000001</v>
      </c>
      <c r="B34" s="1">
        <f>DATE(2010,5,1) + TIME(11,37,4)</f>
        <v>40299.484074074076</v>
      </c>
      <c r="C34">
        <v>80</v>
      </c>
      <c r="D34">
        <v>37.326362609999997</v>
      </c>
      <c r="E34">
        <v>40</v>
      </c>
      <c r="F34">
        <v>14.999505042999999</v>
      </c>
      <c r="G34">
        <v>1337.0767822</v>
      </c>
      <c r="H34">
        <v>1335.0268555</v>
      </c>
      <c r="I34">
        <v>1324.1157227000001</v>
      </c>
      <c r="J34">
        <v>1321.4022216999999</v>
      </c>
      <c r="K34">
        <v>1650</v>
      </c>
      <c r="L34">
        <v>0</v>
      </c>
      <c r="M34">
        <v>0</v>
      </c>
      <c r="N34">
        <v>1650</v>
      </c>
    </row>
    <row r="35" spans="1:14" x14ac:dyDescent="0.25">
      <c r="A35">
        <v>0.50737699999999997</v>
      </c>
      <c r="B35" s="1">
        <f>DATE(2010,5,1) + TIME(12,10,37)</f>
        <v>40299.507372685184</v>
      </c>
      <c r="C35">
        <v>80</v>
      </c>
      <c r="D35">
        <v>38.318183898999997</v>
      </c>
      <c r="E35">
        <v>40</v>
      </c>
      <c r="F35">
        <v>14.999506950000001</v>
      </c>
      <c r="G35">
        <v>1337.1000977000001</v>
      </c>
      <c r="H35">
        <v>1335.0599365</v>
      </c>
      <c r="I35">
        <v>1324.1160889</v>
      </c>
      <c r="J35">
        <v>1321.4023437999999</v>
      </c>
      <c r="K35">
        <v>1650</v>
      </c>
      <c r="L35">
        <v>0</v>
      </c>
      <c r="M35">
        <v>0</v>
      </c>
      <c r="N35">
        <v>1650</v>
      </c>
    </row>
    <row r="36" spans="1:14" x14ac:dyDescent="0.25">
      <c r="A36">
        <v>0.53087099999999998</v>
      </c>
      <c r="B36" s="1">
        <f>DATE(2010,5,1) + TIME(12,44,27)</f>
        <v>40299.530868055554</v>
      </c>
      <c r="C36">
        <v>80</v>
      </c>
      <c r="D36">
        <v>39.309597015000001</v>
      </c>
      <c r="E36">
        <v>40</v>
      </c>
      <c r="F36">
        <v>14.999508858</v>
      </c>
      <c r="G36">
        <v>1337.1256103999999</v>
      </c>
      <c r="H36">
        <v>1335.0941161999999</v>
      </c>
      <c r="I36">
        <v>1324.1164550999999</v>
      </c>
      <c r="J36">
        <v>1321.4024658000001</v>
      </c>
      <c r="K36">
        <v>1650</v>
      </c>
      <c r="L36">
        <v>0</v>
      </c>
      <c r="M36">
        <v>0</v>
      </c>
      <c r="N36">
        <v>1650</v>
      </c>
    </row>
    <row r="37" spans="1:14" x14ac:dyDescent="0.25">
      <c r="A37">
        <v>0.55456799999999995</v>
      </c>
      <c r="B37" s="1">
        <f>DATE(2010,5,1) + TIME(13,18,34)</f>
        <v>40299.554560185185</v>
      </c>
      <c r="C37">
        <v>80</v>
      </c>
      <c r="D37">
        <v>40.300636292</v>
      </c>
      <c r="E37">
        <v>40</v>
      </c>
      <c r="F37">
        <v>14.999511718999999</v>
      </c>
      <c r="G37">
        <v>1337.1530762</v>
      </c>
      <c r="H37">
        <v>1335.1293945</v>
      </c>
      <c r="I37">
        <v>1324.1168213000001</v>
      </c>
      <c r="J37">
        <v>1321.4025879000001</v>
      </c>
      <c r="K37">
        <v>1650</v>
      </c>
      <c r="L37">
        <v>0</v>
      </c>
      <c r="M37">
        <v>0</v>
      </c>
      <c r="N37">
        <v>1650</v>
      </c>
    </row>
    <row r="38" spans="1:14" x14ac:dyDescent="0.25">
      <c r="A38">
        <v>0.57847899999999997</v>
      </c>
      <c r="B38" s="1">
        <f>DATE(2010,5,1) + TIME(13,53,0)</f>
        <v>40299.578472222223</v>
      </c>
      <c r="C38">
        <v>80</v>
      </c>
      <c r="D38">
        <v>41.291282654</v>
      </c>
      <c r="E38">
        <v>40</v>
      </c>
      <c r="F38">
        <v>14.999513626000001</v>
      </c>
      <c r="G38">
        <v>1337.1823730000001</v>
      </c>
      <c r="H38">
        <v>1335.1657714999999</v>
      </c>
      <c r="I38">
        <v>1324.1170654</v>
      </c>
      <c r="J38">
        <v>1321.4027100000001</v>
      </c>
      <c r="K38">
        <v>1650</v>
      </c>
      <c r="L38">
        <v>0</v>
      </c>
      <c r="M38">
        <v>0</v>
      </c>
      <c r="N38">
        <v>1650</v>
      </c>
    </row>
    <row r="39" spans="1:14" x14ac:dyDescent="0.25">
      <c r="A39">
        <v>0.60261500000000001</v>
      </c>
      <c r="B39" s="1">
        <f>DATE(2010,5,1) + TIME(14,27,45)</f>
        <v>40299.60260416667</v>
      </c>
      <c r="C39">
        <v>80</v>
      </c>
      <c r="D39">
        <v>42.28125</v>
      </c>
      <c r="E39">
        <v>40</v>
      </c>
      <c r="F39">
        <v>14.999515533</v>
      </c>
      <c r="G39">
        <v>1337.213501</v>
      </c>
      <c r="H39">
        <v>1335.2032471</v>
      </c>
      <c r="I39">
        <v>1324.1174315999999</v>
      </c>
      <c r="J39">
        <v>1321.402832</v>
      </c>
      <c r="K39">
        <v>1650</v>
      </c>
      <c r="L39">
        <v>0</v>
      </c>
      <c r="M39">
        <v>0</v>
      </c>
      <c r="N39">
        <v>1650</v>
      </c>
    </row>
    <row r="40" spans="1:14" x14ac:dyDescent="0.25">
      <c r="A40">
        <v>0.62699700000000003</v>
      </c>
      <c r="B40" s="1">
        <f>DATE(2010,5,1) + TIME(15,2,52)</f>
        <v>40299.62699074074</v>
      </c>
      <c r="C40">
        <v>80</v>
      </c>
      <c r="D40">
        <v>43.270641327</v>
      </c>
      <c r="E40">
        <v>40</v>
      </c>
      <c r="F40">
        <v>14.999517441</v>
      </c>
      <c r="G40">
        <v>1337.2463379000001</v>
      </c>
      <c r="H40">
        <v>1335.2415771000001</v>
      </c>
      <c r="I40">
        <v>1324.1177978999999</v>
      </c>
      <c r="J40">
        <v>1321.4029541</v>
      </c>
      <c r="K40">
        <v>1650</v>
      </c>
      <c r="L40">
        <v>0</v>
      </c>
      <c r="M40">
        <v>0</v>
      </c>
      <c r="N40">
        <v>1650</v>
      </c>
    </row>
    <row r="41" spans="1:14" x14ac:dyDescent="0.25">
      <c r="A41">
        <v>0.65164</v>
      </c>
      <c r="B41" s="1">
        <f>DATE(2010,5,1) + TIME(15,38,21)</f>
        <v>40299.651631944442</v>
      </c>
      <c r="C41">
        <v>80</v>
      </c>
      <c r="D41">
        <v>44.259418488000001</v>
      </c>
      <c r="E41">
        <v>40</v>
      </c>
      <c r="F41">
        <v>14.999519348</v>
      </c>
      <c r="G41">
        <v>1337.2807617000001</v>
      </c>
      <c r="H41">
        <v>1335.2808838000001</v>
      </c>
      <c r="I41">
        <v>1324.1181641000001</v>
      </c>
      <c r="J41">
        <v>1321.4030762</v>
      </c>
      <c r="K41">
        <v>1650</v>
      </c>
      <c r="L41">
        <v>0</v>
      </c>
      <c r="M41">
        <v>0</v>
      </c>
      <c r="N41">
        <v>1650</v>
      </c>
    </row>
    <row r="42" spans="1:14" x14ac:dyDescent="0.25">
      <c r="A42">
        <v>0.676562</v>
      </c>
      <c r="B42" s="1">
        <f>DATE(2010,5,1) + TIME(16,14,14)</f>
        <v>40299.676550925928</v>
      </c>
      <c r="C42">
        <v>80</v>
      </c>
      <c r="D42">
        <v>45.247528076000002</v>
      </c>
      <c r="E42">
        <v>40</v>
      </c>
      <c r="F42">
        <v>14.999521254999999</v>
      </c>
      <c r="G42">
        <v>1337.3167725000001</v>
      </c>
      <c r="H42">
        <v>1335.3210449000001</v>
      </c>
      <c r="I42">
        <v>1324.1184082</v>
      </c>
      <c r="J42">
        <v>1321.4031981999999</v>
      </c>
      <c r="K42">
        <v>1650</v>
      </c>
      <c r="L42">
        <v>0</v>
      </c>
      <c r="M42">
        <v>0</v>
      </c>
      <c r="N42">
        <v>1650</v>
      </c>
    </row>
    <row r="43" spans="1:14" x14ac:dyDescent="0.25">
      <c r="A43">
        <v>0.70178499999999999</v>
      </c>
      <c r="B43" s="1">
        <f>DATE(2010,5,1) + TIME(16,50,34)</f>
        <v>40299.701782407406</v>
      </c>
      <c r="C43">
        <v>80</v>
      </c>
      <c r="D43">
        <v>46.234924315999997</v>
      </c>
      <c r="E43">
        <v>40</v>
      </c>
      <c r="F43">
        <v>14.999523162999999</v>
      </c>
      <c r="G43">
        <v>1337.354126</v>
      </c>
      <c r="H43">
        <v>1335.3620605000001</v>
      </c>
      <c r="I43">
        <v>1324.1187743999999</v>
      </c>
      <c r="J43">
        <v>1321.4031981999999</v>
      </c>
      <c r="K43">
        <v>1650</v>
      </c>
      <c r="L43">
        <v>0</v>
      </c>
      <c r="M43">
        <v>0</v>
      </c>
      <c r="N43">
        <v>1650</v>
      </c>
    </row>
    <row r="44" spans="1:14" x14ac:dyDescent="0.25">
      <c r="A44">
        <v>0.727329</v>
      </c>
      <c r="B44" s="1">
        <f>DATE(2010,5,1) + TIME(17,27,21)</f>
        <v>40299.727326388886</v>
      </c>
      <c r="C44">
        <v>80</v>
      </c>
      <c r="D44">
        <v>47.221553802000003</v>
      </c>
      <c r="E44">
        <v>40</v>
      </c>
      <c r="F44">
        <v>14.999525070000001</v>
      </c>
      <c r="G44">
        <v>1337.3929443</v>
      </c>
      <c r="H44">
        <v>1335.4038086</v>
      </c>
      <c r="I44">
        <v>1324.1190185999999</v>
      </c>
      <c r="J44">
        <v>1321.4033202999999</v>
      </c>
      <c r="K44">
        <v>1650</v>
      </c>
      <c r="L44">
        <v>0</v>
      </c>
      <c r="M44">
        <v>0</v>
      </c>
      <c r="N44">
        <v>1650</v>
      </c>
    </row>
    <row r="45" spans="1:14" x14ac:dyDescent="0.25">
      <c r="A45">
        <v>0.75322</v>
      </c>
      <c r="B45" s="1">
        <f>DATE(2010,5,1) + TIME(18,4,38)</f>
        <v>40299.753217592595</v>
      </c>
      <c r="C45">
        <v>80</v>
      </c>
      <c r="D45">
        <v>48.207366942999997</v>
      </c>
      <c r="E45">
        <v>40</v>
      </c>
      <c r="F45">
        <v>14.999526978</v>
      </c>
      <c r="G45">
        <v>1337.4331055</v>
      </c>
      <c r="H45">
        <v>1335.4464111</v>
      </c>
      <c r="I45">
        <v>1324.1193848</v>
      </c>
      <c r="J45">
        <v>1321.4034423999999</v>
      </c>
      <c r="K45">
        <v>1650</v>
      </c>
      <c r="L45">
        <v>0</v>
      </c>
      <c r="M45">
        <v>0</v>
      </c>
      <c r="N45">
        <v>1650</v>
      </c>
    </row>
    <row r="46" spans="1:14" x14ac:dyDescent="0.25">
      <c r="A46">
        <v>0.77948300000000004</v>
      </c>
      <c r="B46" s="1">
        <f>DATE(2010,5,1) + TIME(18,42,27)</f>
        <v>40299.779479166667</v>
      </c>
      <c r="C46">
        <v>80</v>
      </c>
      <c r="D46">
        <v>49.192302703999999</v>
      </c>
      <c r="E46">
        <v>40</v>
      </c>
      <c r="F46">
        <v>14.999528885</v>
      </c>
      <c r="G46">
        <v>1337.4744873</v>
      </c>
      <c r="H46">
        <v>1335.489624</v>
      </c>
      <c r="I46">
        <v>1324.119751</v>
      </c>
      <c r="J46">
        <v>1321.4035644999999</v>
      </c>
      <c r="K46">
        <v>1650</v>
      </c>
      <c r="L46">
        <v>0</v>
      </c>
      <c r="M46">
        <v>0</v>
      </c>
      <c r="N46">
        <v>1650</v>
      </c>
    </row>
    <row r="47" spans="1:14" x14ac:dyDescent="0.25">
      <c r="A47">
        <v>0.80614799999999998</v>
      </c>
      <c r="B47" s="1">
        <f>DATE(2010,5,1) + TIME(19,20,51)</f>
        <v>40299.806145833332</v>
      </c>
      <c r="C47">
        <v>80</v>
      </c>
      <c r="D47">
        <v>50.176212311</v>
      </c>
      <c r="E47">
        <v>40</v>
      </c>
      <c r="F47">
        <v>14.999530792</v>
      </c>
      <c r="G47">
        <v>1337.5170897999999</v>
      </c>
      <c r="H47">
        <v>1335.5335693</v>
      </c>
      <c r="I47">
        <v>1324.1199951000001</v>
      </c>
      <c r="J47">
        <v>1321.4035644999999</v>
      </c>
      <c r="K47">
        <v>1650</v>
      </c>
      <c r="L47">
        <v>0</v>
      </c>
      <c r="M47">
        <v>0</v>
      </c>
      <c r="N47">
        <v>1650</v>
      </c>
    </row>
    <row r="48" spans="1:14" x14ac:dyDescent="0.25">
      <c r="A48">
        <v>0.83324900000000002</v>
      </c>
      <c r="B48" s="1">
        <f>DATE(2010,5,1) + TIME(19,59,52)</f>
        <v>40299.833240740743</v>
      </c>
      <c r="C48">
        <v>80</v>
      </c>
      <c r="D48">
        <v>51.158805846999996</v>
      </c>
      <c r="E48">
        <v>40</v>
      </c>
      <c r="F48">
        <v>14.9995327</v>
      </c>
      <c r="G48">
        <v>1337.5609131000001</v>
      </c>
      <c r="H48">
        <v>1335.578125</v>
      </c>
      <c r="I48">
        <v>1324.1203613</v>
      </c>
      <c r="J48">
        <v>1321.4036865</v>
      </c>
      <c r="K48">
        <v>1650</v>
      </c>
      <c r="L48">
        <v>0</v>
      </c>
      <c r="M48">
        <v>0</v>
      </c>
      <c r="N48">
        <v>1650</v>
      </c>
    </row>
    <row r="49" spans="1:14" x14ac:dyDescent="0.25">
      <c r="A49">
        <v>0.86082999999999998</v>
      </c>
      <c r="B49" s="1">
        <f>DATE(2010,5,1) + TIME(20,39,35)</f>
        <v>40299.860821759263</v>
      </c>
      <c r="C49">
        <v>80</v>
      </c>
      <c r="D49">
        <v>52.140682220000002</v>
      </c>
      <c r="E49">
        <v>40</v>
      </c>
      <c r="F49">
        <v>14.999534606999999</v>
      </c>
      <c r="G49">
        <v>1337.6058350000001</v>
      </c>
      <c r="H49">
        <v>1335.6232910000001</v>
      </c>
      <c r="I49">
        <v>1324.1206055</v>
      </c>
      <c r="J49">
        <v>1321.4036865</v>
      </c>
      <c r="K49">
        <v>1650</v>
      </c>
      <c r="L49">
        <v>0</v>
      </c>
      <c r="M49">
        <v>0</v>
      </c>
      <c r="N49">
        <v>1650</v>
      </c>
    </row>
    <row r="50" spans="1:14" x14ac:dyDescent="0.25">
      <c r="A50">
        <v>0.88892000000000004</v>
      </c>
      <c r="B50" s="1">
        <f>DATE(2010,5,1) + TIME(21,20,2)</f>
        <v>40299.888912037037</v>
      </c>
      <c r="C50">
        <v>80</v>
      </c>
      <c r="D50">
        <v>53.121402740000001</v>
      </c>
      <c r="E50">
        <v>40</v>
      </c>
      <c r="F50">
        <v>14.999536514000001</v>
      </c>
      <c r="G50">
        <v>1337.6518555</v>
      </c>
      <c r="H50">
        <v>1335.6690673999999</v>
      </c>
      <c r="I50">
        <v>1324.1209716999999</v>
      </c>
      <c r="J50">
        <v>1321.4038086</v>
      </c>
      <c r="K50">
        <v>1650</v>
      </c>
      <c r="L50">
        <v>0</v>
      </c>
      <c r="M50">
        <v>0</v>
      </c>
      <c r="N50">
        <v>1650</v>
      </c>
    </row>
    <row r="51" spans="1:14" x14ac:dyDescent="0.25">
      <c r="A51">
        <v>0.91756199999999999</v>
      </c>
      <c r="B51" s="1">
        <f>DATE(2010,5,1) + TIME(22,1,17)</f>
        <v>40299.917557870373</v>
      </c>
      <c r="C51">
        <v>80</v>
      </c>
      <c r="D51">
        <v>54.100883484000001</v>
      </c>
      <c r="E51">
        <v>40</v>
      </c>
      <c r="F51">
        <v>14.999538422000001</v>
      </c>
      <c r="G51">
        <v>1337.6988524999999</v>
      </c>
      <c r="H51">
        <v>1335.715332</v>
      </c>
      <c r="I51">
        <v>1324.1213379000001</v>
      </c>
      <c r="J51">
        <v>1321.4038086</v>
      </c>
      <c r="K51">
        <v>1650</v>
      </c>
      <c r="L51">
        <v>0</v>
      </c>
      <c r="M51">
        <v>0</v>
      </c>
      <c r="N51">
        <v>1650</v>
      </c>
    </row>
    <row r="52" spans="1:14" x14ac:dyDescent="0.25">
      <c r="A52">
        <v>0.94680500000000001</v>
      </c>
      <c r="B52" s="1">
        <f>DATE(2010,5,1) + TIME(22,43,23)</f>
        <v>40299.946793981479</v>
      </c>
      <c r="C52">
        <v>80</v>
      </c>
      <c r="D52">
        <v>55.079029083000002</v>
      </c>
      <c r="E52">
        <v>40</v>
      </c>
      <c r="F52">
        <v>14.999541282999999</v>
      </c>
      <c r="G52">
        <v>1337.7469481999999</v>
      </c>
      <c r="H52">
        <v>1335.762207</v>
      </c>
      <c r="I52">
        <v>1324.121582</v>
      </c>
      <c r="J52">
        <v>1321.4039307</v>
      </c>
      <c r="K52">
        <v>1650</v>
      </c>
      <c r="L52">
        <v>0</v>
      </c>
      <c r="M52">
        <v>0</v>
      </c>
      <c r="N52">
        <v>1650</v>
      </c>
    </row>
    <row r="53" spans="1:14" x14ac:dyDescent="0.25">
      <c r="A53">
        <v>0.97670100000000004</v>
      </c>
      <c r="B53" s="1">
        <f>DATE(2010,5,1) + TIME(23,26,26)</f>
        <v>40299.976689814815</v>
      </c>
      <c r="C53">
        <v>80</v>
      </c>
      <c r="D53">
        <v>56.055736541999998</v>
      </c>
      <c r="E53">
        <v>40</v>
      </c>
      <c r="F53">
        <v>14.999543190000001</v>
      </c>
      <c r="G53">
        <v>1337.7960204999999</v>
      </c>
      <c r="H53">
        <v>1335.8095702999999</v>
      </c>
      <c r="I53">
        <v>1324.1219481999999</v>
      </c>
      <c r="J53">
        <v>1321.4040527</v>
      </c>
      <c r="K53">
        <v>1650</v>
      </c>
      <c r="L53">
        <v>0</v>
      </c>
      <c r="M53">
        <v>0</v>
      </c>
      <c r="N53">
        <v>1650</v>
      </c>
    </row>
    <row r="54" spans="1:14" x14ac:dyDescent="0.25">
      <c r="A54">
        <v>1.007309</v>
      </c>
      <c r="B54" s="1">
        <f>DATE(2010,5,2) + TIME(0,10,31)</f>
        <v>40300.007303240738</v>
      </c>
      <c r="C54">
        <v>80</v>
      </c>
      <c r="D54">
        <v>57.030891418000003</v>
      </c>
      <c r="E54">
        <v>40</v>
      </c>
      <c r="F54">
        <v>14.999545097</v>
      </c>
      <c r="G54">
        <v>1337.8460693</v>
      </c>
      <c r="H54">
        <v>1335.8575439000001</v>
      </c>
      <c r="I54">
        <v>1324.1223144999999</v>
      </c>
      <c r="J54">
        <v>1321.4040527</v>
      </c>
      <c r="K54">
        <v>1650</v>
      </c>
      <c r="L54">
        <v>0</v>
      </c>
      <c r="M54">
        <v>0</v>
      </c>
      <c r="N54">
        <v>1650</v>
      </c>
    </row>
    <row r="55" spans="1:14" x14ac:dyDescent="0.25">
      <c r="A55">
        <v>1.0386979999999999</v>
      </c>
      <c r="B55" s="1">
        <f>DATE(2010,5,2) + TIME(0,55,43)</f>
        <v>40300.03869212963</v>
      </c>
      <c r="C55">
        <v>80</v>
      </c>
      <c r="D55">
        <v>58.004371642999999</v>
      </c>
      <c r="E55">
        <v>40</v>
      </c>
      <c r="F55">
        <v>14.999547005</v>
      </c>
      <c r="G55">
        <v>1337.8970947</v>
      </c>
      <c r="H55">
        <v>1335.9058838000001</v>
      </c>
      <c r="I55">
        <v>1324.1225586</v>
      </c>
      <c r="J55">
        <v>1321.4041748</v>
      </c>
      <c r="K55">
        <v>1650</v>
      </c>
      <c r="L55">
        <v>0</v>
      </c>
      <c r="M55">
        <v>0</v>
      </c>
      <c r="N55">
        <v>1650</v>
      </c>
    </row>
    <row r="56" spans="1:14" x14ac:dyDescent="0.25">
      <c r="A56">
        <v>1.0709409999999999</v>
      </c>
      <c r="B56" s="1">
        <f>DATE(2010,5,2) + TIME(1,42,9)</f>
        <v>40300.070937500001</v>
      </c>
      <c r="C56">
        <v>80</v>
      </c>
      <c r="D56">
        <v>58.976036071999999</v>
      </c>
      <c r="E56">
        <v>40</v>
      </c>
      <c r="F56">
        <v>14.999548912</v>
      </c>
      <c r="G56">
        <v>1337.9489745999999</v>
      </c>
      <c r="H56">
        <v>1335.9547118999999</v>
      </c>
      <c r="I56">
        <v>1324.1229248</v>
      </c>
      <c r="J56">
        <v>1321.4041748</v>
      </c>
      <c r="K56">
        <v>1650</v>
      </c>
      <c r="L56">
        <v>0</v>
      </c>
      <c r="M56">
        <v>0</v>
      </c>
      <c r="N56">
        <v>1650</v>
      </c>
    </row>
    <row r="57" spans="1:14" x14ac:dyDescent="0.25">
      <c r="A57">
        <v>1.104125</v>
      </c>
      <c r="B57" s="1">
        <f>DATE(2010,5,2) + TIME(2,29,56)</f>
        <v>40300.104120370372</v>
      </c>
      <c r="C57">
        <v>80</v>
      </c>
      <c r="D57">
        <v>59.945724487</v>
      </c>
      <c r="E57">
        <v>40</v>
      </c>
      <c r="F57">
        <v>14.999550819</v>
      </c>
      <c r="G57">
        <v>1338.0018310999999</v>
      </c>
      <c r="H57">
        <v>1336.0041504000001</v>
      </c>
      <c r="I57">
        <v>1324.1232910000001</v>
      </c>
      <c r="J57">
        <v>1321.4041748</v>
      </c>
      <c r="K57">
        <v>1650</v>
      </c>
      <c r="L57">
        <v>0</v>
      </c>
      <c r="M57">
        <v>0</v>
      </c>
      <c r="N57">
        <v>1650</v>
      </c>
    </row>
    <row r="58" spans="1:14" x14ac:dyDescent="0.25">
      <c r="A58">
        <v>1.138347</v>
      </c>
      <c r="B58" s="1">
        <f>DATE(2010,5,2) + TIME(3,19,13)</f>
        <v>40300.138344907406</v>
      </c>
      <c r="C58">
        <v>80</v>
      </c>
      <c r="D58">
        <v>60.912593842</v>
      </c>
      <c r="E58">
        <v>40</v>
      </c>
      <c r="F58">
        <v>14.999552726999999</v>
      </c>
      <c r="G58">
        <v>1338.0556641000001</v>
      </c>
      <c r="H58">
        <v>1336.0538329999999</v>
      </c>
      <c r="I58">
        <v>1324.1236572</v>
      </c>
      <c r="J58">
        <v>1321.4042969</v>
      </c>
      <c r="K58">
        <v>1650</v>
      </c>
      <c r="L58">
        <v>0</v>
      </c>
      <c r="M58">
        <v>0</v>
      </c>
      <c r="N58">
        <v>1650</v>
      </c>
    </row>
    <row r="59" spans="1:14" x14ac:dyDescent="0.25">
      <c r="A59">
        <v>1.17374</v>
      </c>
      <c r="B59" s="1">
        <f>DATE(2010,5,2) + TIME(4,10,11)</f>
        <v>40300.173738425925</v>
      </c>
      <c r="C59">
        <v>80</v>
      </c>
      <c r="D59">
        <v>61.877658844000003</v>
      </c>
      <c r="E59">
        <v>40</v>
      </c>
      <c r="F59">
        <v>14.999555588</v>
      </c>
      <c r="G59">
        <v>1338.1103516000001</v>
      </c>
      <c r="H59">
        <v>1336.1040039</v>
      </c>
      <c r="I59">
        <v>1324.1240233999999</v>
      </c>
      <c r="J59">
        <v>1321.4042969</v>
      </c>
      <c r="K59">
        <v>1650</v>
      </c>
      <c r="L59">
        <v>0</v>
      </c>
      <c r="M59">
        <v>0</v>
      </c>
      <c r="N59">
        <v>1650</v>
      </c>
    </row>
    <row r="60" spans="1:14" x14ac:dyDescent="0.25">
      <c r="A60">
        <v>1.2104159999999999</v>
      </c>
      <c r="B60" s="1">
        <f>DATE(2010,5,2) + TIME(5,2,59)</f>
        <v>40300.210405092592</v>
      </c>
      <c r="C60">
        <v>80</v>
      </c>
      <c r="D60">
        <v>62.840175629000001</v>
      </c>
      <c r="E60">
        <v>40</v>
      </c>
      <c r="F60">
        <v>14.999557494999999</v>
      </c>
      <c r="G60">
        <v>1338.1660156</v>
      </c>
      <c r="H60">
        <v>1336.1547852000001</v>
      </c>
      <c r="I60">
        <v>1324.1242675999999</v>
      </c>
      <c r="J60">
        <v>1321.4044189000001</v>
      </c>
      <c r="K60">
        <v>1650</v>
      </c>
      <c r="L60">
        <v>0</v>
      </c>
      <c r="M60">
        <v>0</v>
      </c>
      <c r="N60">
        <v>1650</v>
      </c>
    </row>
    <row r="61" spans="1:14" x14ac:dyDescent="0.25">
      <c r="A61">
        <v>1.2485189999999999</v>
      </c>
      <c r="B61" s="1">
        <f>DATE(2010,5,2) + TIME(5,57,52)</f>
        <v>40300.248518518521</v>
      </c>
      <c r="C61">
        <v>80</v>
      </c>
      <c r="D61">
        <v>63.799827575999998</v>
      </c>
      <c r="E61">
        <v>40</v>
      </c>
      <c r="F61">
        <v>14.999559401999999</v>
      </c>
      <c r="G61">
        <v>1338.2225341999999</v>
      </c>
      <c r="H61">
        <v>1336.2058105000001</v>
      </c>
      <c r="I61">
        <v>1324.1246338000001</v>
      </c>
      <c r="J61">
        <v>1321.4045410000001</v>
      </c>
      <c r="K61">
        <v>1650</v>
      </c>
      <c r="L61">
        <v>0</v>
      </c>
      <c r="M61">
        <v>0</v>
      </c>
      <c r="N61">
        <v>1650</v>
      </c>
    </row>
    <row r="62" spans="1:14" x14ac:dyDescent="0.25">
      <c r="A62">
        <v>1.288224</v>
      </c>
      <c r="B62" s="1">
        <f>DATE(2010,5,2) + TIME(6,55,2)</f>
        <v>40300.288217592592</v>
      </c>
      <c r="C62">
        <v>80</v>
      </c>
      <c r="D62">
        <v>64.756301879999995</v>
      </c>
      <c r="E62">
        <v>40</v>
      </c>
      <c r="F62">
        <v>14.999561310000001</v>
      </c>
      <c r="G62">
        <v>1338.2801514</v>
      </c>
      <c r="H62">
        <v>1336.2573242000001</v>
      </c>
      <c r="I62">
        <v>1324.1251221</v>
      </c>
      <c r="J62">
        <v>1321.4045410000001</v>
      </c>
      <c r="K62">
        <v>1650</v>
      </c>
      <c r="L62">
        <v>0</v>
      </c>
      <c r="M62">
        <v>0</v>
      </c>
      <c r="N62">
        <v>1650</v>
      </c>
    </row>
    <row r="63" spans="1:14" x14ac:dyDescent="0.25">
      <c r="A63">
        <v>1.329736</v>
      </c>
      <c r="B63" s="1">
        <f>DATE(2010,5,2) + TIME(7,54,49)</f>
        <v>40300.329733796294</v>
      </c>
      <c r="C63">
        <v>80</v>
      </c>
      <c r="D63">
        <v>65.709419249999996</v>
      </c>
      <c r="E63">
        <v>40</v>
      </c>
      <c r="F63">
        <v>14.999564170999999</v>
      </c>
      <c r="G63">
        <v>1338.3386230000001</v>
      </c>
      <c r="H63">
        <v>1336.3093262</v>
      </c>
      <c r="I63">
        <v>1324.1254882999999</v>
      </c>
      <c r="J63">
        <v>1321.4046631000001</v>
      </c>
      <c r="K63">
        <v>1650</v>
      </c>
      <c r="L63">
        <v>0</v>
      </c>
      <c r="M63">
        <v>0</v>
      </c>
      <c r="N63">
        <v>1650</v>
      </c>
    </row>
    <row r="64" spans="1:14" x14ac:dyDescent="0.25">
      <c r="A64">
        <v>1.373291</v>
      </c>
      <c r="B64" s="1">
        <f>DATE(2010,5,2) + TIME(8,57,32)</f>
        <v>40300.373287037037</v>
      </c>
      <c r="C64">
        <v>80</v>
      </c>
      <c r="D64">
        <v>66.658470154</v>
      </c>
      <c r="E64">
        <v>40</v>
      </c>
      <c r="F64">
        <v>14.999566078000001</v>
      </c>
      <c r="G64">
        <v>1338.3981934000001</v>
      </c>
      <c r="H64">
        <v>1336.3616943</v>
      </c>
      <c r="I64">
        <v>1324.1258545000001</v>
      </c>
      <c r="J64">
        <v>1321.4046631000001</v>
      </c>
      <c r="K64">
        <v>1650</v>
      </c>
      <c r="L64">
        <v>0</v>
      </c>
      <c r="M64">
        <v>0</v>
      </c>
      <c r="N64">
        <v>1650</v>
      </c>
    </row>
    <row r="65" spans="1:14" x14ac:dyDescent="0.25">
      <c r="A65">
        <v>1.3954690000000001</v>
      </c>
      <c r="B65" s="1">
        <f>DATE(2010,5,2) + TIME(9,29,28)</f>
        <v>40300.395462962966</v>
      </c>
      <c r="C65">
        <v>80</v>
      </c>
      <c r="D65">
        <v>67.132293700999995</v>
      </c>
      <c r="E65">
        <v>40</v>
      </c>
      <c r="F65">
        <v>14.999567032</v>
      </c>
      <c r="G65">
        <v>1338.4686279</v>
      </c>
      <c r="H65">
        <v>1336.4123535000001</v>
      </c>
      <c r="I65">
        <v>1324.1262207</v>
      </c>
      <c r="J65">
        <v>1321.4047852000001</v>
      </c>
      <c r="K65">
        <v>1650</v>
      </c>
      <c r="L65">
        <v>0</v>
      </c>
      <c r="M65">
        <v>0</v>
      </c>
      <c r="N65">
        <v>1650</v>
      </c>
    </row>
    <row r="66" spans="1:14" x14ac:dyDescent="0.25">
      <c r="A66">
        <v>1.4176470000000001</v>
      </c>
      <c r="B66" s="1">
        <f>DATE(2010,5,2) + TIME(10,1,24)</f>
        <v>40300.417638888888</v>
      </c>
      <c r="C66">
        <v>80</v>
      </c>
      <c r="D66">
        <v>67.592895507999998</v>
      </c>
      <c r="E66">
        <v>40</v>
      </c>
      <c r="F66">
        <v>14.999568939</v>
      </c>
      <c r="G66">
        <v>1338.4992675999999</v>
      </c>
      <c r="H66">
        <v>1336.4388428</v>
      </c>
      <c r="I66">
        <v>1324.1264647999999</v>
      </c>
      <c r="J66">
        <v>1321.4047852000001</v>
      </c>
      <c r="K66">
        <v>1650</v>
      </c>
      <c r="L66">
        <v>0</v>
      </c>
      <c r="M66">
        <v>0</v>
      </c>
      <c r="N66">
        <v>1650</v>
      </c>
    </row>
    <row r="67" spans="1:14" x14ac:dyDescent="0.25">
      <c r="A67">
        <v>1.4398249999999999</v>
      </c>
      <c r="B67" s="1">
        <f>DATE(2010,5,2) + TIME(10,33,20)</f>
        <v>40300.439814814818</v>
      </c>
      <c r="C67">
        <v>80</v>
      </c>
      <c r="D67">
        <v>68.040428161999998</v>
      </c>
      <c r="E67">
        <v>40</v>
      </c>
      <c r="F67">
        <v>14.999569893</v>
      </c>
      <c r="G67">
        <v>1338.5295410000001</v>
      </c>
      <c r="H67">
        <v>1336.4647216999999</v>
      </c>
      <c r="I67">
        <v>1324.1265868999999</v>
      </c>
      <c r="J67">
        <v>1321.4049072</v>
      </c>
      <c r="K67">
        <v>1650</v>
      </c>
      <c r="L67">
        <v>0</v>
      </c>
      <c r="M67">
        <v>0</v>
      </c>
      <c r="N67">
        <v>1650</v>
      </c>
    </row>
    <row r="68" spans="1:14" x14ac:dyDescent="0.25">
      <c r="A68">
        <v>1.461873</v>
      </c>
      <c r="B68" s="1">
        <f>DATE(2010,5,2) + TIME(11,5,5)</f>
        <v>40300.461863425924</v>
      </c>
      <c r="C68">
        <v>80</v>
      </c>
      <c r="D68">
        <v>68.472610474000007</v>
      </c>
      <c r="E68">
        <v>40</v>
      </c>
      <c r="F68">
        <v>14.999570846999999</v>
      </c>
      <c r="G68">
        <v>1338.5592041</v>
      </c>
      <c r="H68">
        <v>1336.4901123</v>
      </c>
      <c r="I68">
        <v>1324.1268310999999</v>
      </c>
      <c r="J68">
        <v>1321.4049072</v>
      </c>
      <c r="K68">
        <v>1650</v>
      </c>
      <c r="L68">
        <v>0</v>
      </c>
      <c r="M68">
        <v>0</v>
      </c>
      <c r="N68">
        <v>1650</v>
      </c>
    </row>
    <row r="69" spans="1:14" x14ac:dyDescent="0.25">
      <c r="A69">
        <v>1.4837750000000001</v>
      </c>
      <c r="B69" s="1">
        <f>DATE(2010,5,2) + TIME(11,36,38)</f>
        <v>40300.483773148146</v>
      </c>
      <c r="C69">
        <v>80</v>
      </c>
      <c r="D69">
        <v>68.889495850000003</v>
      </c>
      <c r="E69">
        <v>40</v>
      </c>
      <c r="F69">
        <v>14.9995718</v>
      </c>
      <c r="G69">
        <v>1338.5882568</v>
      </c>
      <c r="H69">
        <v>1336.5146483999999</v>
      </c>
      <c r="I69">
        <v>1324.1270752</v>
      </c>
      <c r="J69">
        <v>1321.4049072</v>
      </c>
      <c r="K69">
        <v>1650</v>
      </c>
      <c r="L69">
        <v>0</v>
      </c>
      <c r="M69">
        <v>0</v>
      </c>
      <c r="N69">
        <v>1650</v>
      </c>
    </row>
    <row r="70" spans="1:14" x14ac:dyDescent="0.25">
      <c r="A70">
        <v>1.5055460000000001</v>
      </c>
      <c r="B70" s="1">
        <f>DATE(2010,5,2) + TIME(12,7,59)</f>
        <v>40300.505543981482</v>
      </c>
      <c r="C70">
        <v>80</v>
      </c>
      <c r="D70">
        <v>69.291786193999997</v>
      </c>
      <c r="E70">
        <v>40</v>
      </c>
      <c r="F70">
        <v>14.999572754000001</v>
      </c>
      <c r="G70">
        <v>1338.6165771000001</v>
      </c>
      <c r="H70">
        <v>1336.5385742000001</v>
      </c>
      <c r="I70">
        <v>1324.1271973</v>
      </c>
      <c r="J70">
        <v>1321.4049072</v>
      </c>
      <c r="K70">
        <v>1650</v>
      </c>
      <c r="L70">
        <v>0</v>
      </c>
      <c r="M70">
        <v>0</v>
      </c>
      <c r="N70">
        <v>1650</v>
      </c>
    </row>
    <row r="71" spans="1:14" x14ac:dyDescent="0.25">
      <c r="A71">
        <v>1.5271999999999999</v>
      </c>
      <c r="B71" s="1">
        <f>DATE(2010,5,2) + TIME(12,39,10)</f>
        <v>40300.527199074073</v>
      </c>
      <c r="C71">
        <v>80</v>
      </c>
      <c r="D71">
        <v>69.680130004999995</v>
      </c>
      <c r="E71">
        <v>40</v>
      </c>
      <c r="F71">
        <v>14.999573708</v>
      </c>
      <c r="G71">
        <v>1338.6441649999999</v>
      </c>
      <c r="H71">
        <v>1336.5617675999999</v>
      </c>
      <c r="I71">
        <v>1324.1274414</v>
      </c>
      <c r="J71">
        <v>1321.4050293</v>
      </c>
      <c r="K71">
        <v>1650</v>
      </c>
      <c r="L71">
        <v>0</v>
      </c>
      <c r="M71">
        <v>0</v>
      </c>
      <c r="N71">
        <v>1650</v>
      </c>
    </row>
    <row r="72" spans="1:14" x14ac:dyDescent="0.25">
      <c r="A72">
        <v>1.548753</v>
      </c>
      <c r="B72" s="1">
        <f>DATE(2010,5,2) + TIME(13,10,12)</f>
        <v>40300.548750000002</v>
      </c>
      <c r="C72">
        <v>80</v>
      </c>
      <c r="D72">
        <v>70.055099487000007</v>
      </c>
      <c r="E72">
        <v>40</v>
      </c>
      <c r="F72">
        <v>14.999575614999999</v>
      </c>
      <c r="G72">
        <v>1338.6711425999999</v>
      </c>
      <c r="H72">
        <v>1336.5843506000001</v>
      </c>
      <c r="I72">
        <v>1324.1275635</v>
      </c>
      <c r="J72">
        <v>1321.4050293</v>
      </c>
      <c r="K72">
        <v>1650</v>
      </c>
      <c r="L72">
        <v>0</v>
      </c>
      <c r="M72">
        <v>0</v>
      </c>
      <c r="N72">
        <v>1650</v>
      </c>
    </row>
    <row r="73" spans="1:14" x14ac:dyDescent="0.25">
      <c r="A73">
        <v>1.570219</v>
      </c>
      <c r="B73" s="1">
        <f>DATE(2010,5,2) + TIME(13,41,6)</f>
        <v>40300.570208333331</v>
      </c>
      <c r="C73">
        <v>80</v>
      </c>
      <c r="D73">
        <v>70.417076111</v>
      </c>
      <c r="E73">
        <v>40</v>
      </c>
      <c r="F73">
        <v>14.999576569</v>
      </c>
      <c r="G73">
        <v>1338.6973877</v>
      </c>
      <c r="H73">
        <v>1336.6062012</v>
      </c>
      <c r="I73">
        <v>1324.1278076000001</v>
      </c>
      <c r="J73">
        <v>1321.4050293</v>
      </c>
      <c r="K73">
        <v>1650</v>
      </c>
      <c r="L73">
        <v>0</v>
      </c>
      <c r="M73">
        <v>0</v>
      </c>
      <c r="N73">
        <v>1650</v>
      </c>
    </row>
    <row r="74" spans="1:14" x14ac:dyDescent="0.25">
      <c r="A74">
        <v>1.5916090000000001</v>
      </c>
      <c r="B74" s="1">
        <f>DATE(2010,5,2) + TIME(14,11,54)</f>
        <v>40300.591597222221</v>
      </c>
      <c r="C74">
        <v>80</v>
      </c>
      <c r="D74">
        <v>70.766815186000002</v>
      </c>
      <c r="E74">
        <v>40</v>
      </c>
      <c r="F74">
        <v>14.999577521999999</v>
      </c>
      <c r="G74">
        <v>1338.7231445</v>
      </c>
      <c r="H74">
        <v>1336.6275635</v>
      </c>
      <c r="I74">
        <v>1324.1279297000001</v>
      </c>
      <c r="J74">
        <v>1321.4051514</v>
      </c>
      <c r="K74">
        <v>1650</v>
      </c>
      <c r="L74">
        <v>0</v>
      </c>
      <c r="M74">
        <v>0</v>
      </c>
      <c r="N74">
        <v>1650</v>
      </c>
    </row>
    <row r="75" spans="1:14" x14ac:dyDescent="0.25">
      <c r="A75">
        <v>1.6129359999999999</v>
      </c>
      <c r="B75" s="1">
        <f>DATE(2010,5,2) + TIME(14,42,37)</f>
        <v>40300.612928240742</v>
      </c>
      <c r="C75">
        <v>80</v>
      </c>
      <c r="D75">
        <v>71.104812621999997</v>
      </c>
      <c r="E75">
        <v>40</v>
      </c>
      <c r="F75">
        <v>14.999578476</v>
      </c>
      <c r="G75">
        <v>1338.7481689000001</v>
      </c>
      <c r="H75">
        <v>1336.6483154</v>
      </c>
      <c r="I75">
        <v>1324.1281738</v>
      </c>
      <c r="J75">
        <v>1321.4051514</v>
      </c>
      <c r="K75">
        <v>1650</v>
      </c>
      <c r="L75">
        <v>0</v>
      </c>
      <c r="M75">
        <v>0</v>
      </c>
      <c r="N75">
        <v>1650</v>
      </c>
    </row>
    <row r="76" spans="1:14" x14ac:dyDescent="0.25">
      <c r="A76">
        <v>1.6342129999999999</v>
      </c>
      <c r="B76" s="1">
        <f>DATE(2010,5,2) + TIME(15,13,16)</f>
        <v>40300.634212962963</v>
      </c>
      <c r="C76">
        <v>80</v>
      </c>
      <c r="D76">
        <v>71.431541443</v>
      </c>
      <c r="E76">
        <v>40</v>
      </c>
      <c r="F76">
        <v>14.999579430000001</v>
      </c>
      <c r="G76">
        <v>1338.7727050999999</v>
      </c>
      <c r="H76">
        <v>1336.668457</v>
      </c>
      <c r="I76">
        <v>1324.1282959</v>
      </c>
      <c r="J76">
        <v>1321.4051514</v>
      </c>
      <c r="K76">
        <v>1650</v>
      </c>
      <c r="L76">
        <v>0</v>
      </c>
      <c r="M76">
        <v>0</v>
      </c>
      <c r="N76">
        <v>1650</v>
      </c>
    </row>
    <row r="77" spans="1:14" x14ac:dyDescent="0.25">
      <c r="A77">
        <v>1.655451</v>
      </c>
      <c r="B77" s="1">
        <f>DATE(2010,5,2) + TIME(15,43,50)</f>
        <v>40300.655439814815</v>
      </c>
      <c r="C77">
        <v>80</v>
      </c>
      <c r="D77">
        <v>71.747436523000005</v>
      </c>
      <c r="E77">
        <v>40</v>
      </c>
      <c r="F77">
        <v>14.999580383</v>
      </c>
      <c r="G77">
        <v>1338.7966309000001</v>
      </c>
      <c r="H77">
        <v>1336.6879882999999</v>
      </c>
      <c r="I77">
        <v>1324.1285399999999</v>
      </c>
      <c r="J77">
        <v>1321.4052733999999</v>
      </c>
      <c r="K77">
        <v>1650</v>
      </c>
      <c r="L77">
        <v>0</v>
      </c>
      <c r="M77">
        <v>0</v>
      </c>
      <c r="N77">
        <v>1650</v>
      </c>
    </row>
    <row r="78" spans="1:14" x14ac:dyDescent="0.25">
      <c r="A78">
        <v>1.676661</v>
      </c>
      <c r="B78" s="1">
        <f>DATE(2010,5,2) + TIME(16,14,23)</f>
        <v>40300.676655092589</v>
      </c>
      <c r="C78">
        <v>80</v>
      </c>
      <c r="D78">
        <v>72.052909850999995</v>
      </c>
      <c r="E78">
        <v>40</v>
      </c>
      <c r="F78">
        <v>14.999581337</v>
      </c>
      <c r="G78">
        <v>1338.8199463000001</v>
      </c>
      <c r="H78">
        <v>1336.7070312000001</v>
      </c>
      <c r="I78">
        <v>1324.1286620999999</v>
      </c>
      <c r="J78">
        <v>1321.4052733999999</v>
      </c>
      <c r="K78">
        <v>1650</v>
      </c>
      <c r="L78">
        <v>0</v>
      </c>
      <c r="M78">
        <v>0</v>
      </c>
      <c r="N78">
        <v>1650</v>
      </c>
    </row>
    <row r="79" spans="1:14" x14ac:dyDescent="0.25">
      <c r="A79">
        <v>1.6978530000000001</v>
      </c>
      <c r="B79" s="1">
        <f>DATE(2010,5,2) + TIME(16,44,54)</f>
        <v>40300.697847222225</v>
      </c>
      <c r="C79">
        <v>80</v>
      </c>
      <c r="D79">
        <v>72.348358153999996</v>
      </c>
      <c r="E79">
        <v>40</v>
      </c>
      <c r="F79">
        <v>14.999582290999999</v>
      </c>
      <c r="G79">
        <v>1338.8428954999999</v>
      </c>
      <c r="H79">
        <v>1336.7255858999999</v>
      </c>
      <c r="I79">
        <v>1324.1287841999999</v>
      </c>
      <c r="J79">
        <v>1321.4052733999999</v>
      </c>
      <c r="K79">
        <v>1650</v>
      </c>
      <c r="L79">
        <v>0</v>
      </c>
      <c r="M79">
        <v>0</v>
      </c>
      <c r="N79">
        <v>1650</v>
      </c>
    </row>
    <row r="80" spans="1:14" x14ac:dyDescent="0.25">
      <c r="A80">
        <v>1.719039</v>
      </c>
      <c r="B80" s="1">
        <f>DATE(2010,5,2) + TIME(17,15,24)</f>
        <v>40300.719027777777</v>
      </c>
      <c r="C80">
        <v>80</v>
      </c>
      <c r="D80">
        <v>72.634147643999995</v>
      </c>
      <c r="E80">
        <v>40</v>
      </c>
      <c r="F80">
        <v>14.999583244</v>
      </c>
      <c r="G80">
        <v>1338.8652344</v>
      </c>
      <c r="H80">
        <v>1336.7436522999999</v>
      </c>
      <c r="I80">
        <v>1324.1290283000001</v>
      </c>
      <c r="J80">
        <v>1321.4053954999999</v>
      </c>
      <c r="K80">
        <v>1650</v>
      </c>
      <c r="L80">
        <v>0</v>
      </c>
      <c r="M80">
        <v>0</v>
      </c>
      <c r="N80">
        <v>1650</v>
      </c>
    </row>
    <row r="81" spans="1:14" x14ac:dyDescent="0.25">
      <c r="A81">
        <v>1.7402249999999999</v>
      </c>
      <c r="B81" s="1">
        <f>DATE(2010,5,2) + TIME(17,45,55)</f>
        <v>40300.740219907406</v>
      </c>
      <c r="C81">
        <v>80</v>
      </c>
      <c r="D81">
        <v>72.910583496000001</v>
      </c>
      <c r="E81">
        <v>40</v>
      </c>
      <c r="F81">
        <v>14.999584198000001</v>
      </c>
      <c r="G81">
        <v>1338.8870850000001</v>
      </c>
      <c r="H81">
        <v>1336.7613524999999</v>
      </c>
      <c r="I81">
        <v>1324.1291504000001</v>
      </c>
      <c r="J81">
        <v>1321.4053954999999</v>
      </c>
      <c r="K81">
        <v>1650</v>
      </c>
      <c r="L81">
        <v>0</v>
      </c>
      <c r="M81">
        <v>0</v>
      </c>
      <c r="N81">
        <v>1650</v>
      </c>
    </row>
    <row r="82" spans="1:14" x14ac:dyDescent="0.25">
      <c r="A82">
        <v>1.7614110000000001</v>
      </c>
      <c r="B82" s="1">
        <f>DATE(2010,5,2) + TIME(18,16,25)</f>
        <v>40300.761400462965</v>
      </c>
      <c r="C82">
        <v>80</v>
      </c>
      <c r="D82">
        <v>73.177879333000007</v>
      </c>
      <c r="E82">
        <v>40</v>
      </c>
      <c r="F82">
        <v>14.999585152</v>
      </c>
      <c r="G82">
        <v>1338.9084473</v>
      </c>
      <c r="H82">
        <v>1336.7784423999999</v>
      </c>
      <c r="I82">
        <v>1324.1292725000001</v>
      </c>
      <c r="J82">
        <v>1321.4053954999999</v>
      </c>
      <c r="K82">
        <v>1650</v>
      </c>
      <c r="L82">
        <v>0</v>
      </c>
      <c r="M82">
        <v>0</v>
      </c>
      <c r="N82">
        <v>1650</v>
      </c>
    </row>
    <row r="83" spans="1:14" x14ac:dyDescent="0.25">
      <c r="A83">
        <v>1.7825979999999999</v>
      </c>
      <c r="B83" s="1">
        <f>DATE(2010,5,2) + TIME(18,46,56)</f>
        <v>40300.782592592594</v>
      </c>
      <c r="C83">
        <v>80</v>
      </c>
      <c r="D83">
        <v>73.436241150000001</v>
      </c>
      <c r="E83">
        <v>40</v>
      </c>
      <c r="F83">
        <v>14.999586105000001</v>
      </c>
      <c r="G83">
        <v>1338.9293213000001</v>
      </c>
      <c r="H83">
        <v>1336.7950439000001</v>
      </c>
      <c r="I83">
        <v>1324.1295166</v>
      </c>
      <c r="J83">
        <v>1321.4055175999999</v>
      </c>
      <c r="K83">
        <v>1650</v>
      </c>
      <c r="L83">
        <v>0</v>
      </c>
      <c r="M83">
        <v>0</v>
      </c>
      <c r="N83">
        <v>1650</v>
      </c>
    </row>
    <row r="84" spans="1:14" x14ac:dyDescent="0.25">
      <c r="A84">
        <v>1.8037840000000001</v>
      </c>
      <c r="B84" s="1">
        <f>DATE(2010,5,2) + TIME(19,17,26)</f>
        <v>40300.803773148145</v>
      </c>
      <c r="C84">
        <v>80</v>
      </c>
      <c r="D84">
        <v>73.685897827000005</v>
      </c>
      <c r="E84">
        <v>40</v>
      </c>
      <c r="F84">
        <v>14.999587059</v>
      </c>
      <c r="G84">
        <v>1338.949707</v>
      </c>
      <c r="H84">
        <v>1336.8112793</v>
      </c>
      <c r="I84">
        <v>1324.1296387</v>
      </c>
      <c r="J84">
        <v>1321.4055175999999</v>
      </c>
      <c r="K84">
        <v>1650</v>
      </c>
      <c r="L84">
        <v>0</v>
      </c>
      <c r="M84">
        <v>0</v>
      </c>
      <c r="N84">
        <v>1650</v>
      </c>
    </row>
    <row r="85" spans="1:14" x14ac:dyDescent="0.25">
      <c r="A85">
        <v>1.82497</v>
      </c>
      <c r="B85" s="1">
        <f>DATE(2010,5,2) + TIME(19,47,57)</f>
        <v>40300.824965277781</v>
      </c>
      <c r="C85">
        <v>80</v>
      </c>
      <c r="D85">
        <v>73.927062988000003</v>
      </c>
      <c r="E85">
        <v>40</v>
      </c>
      <c r="F85">
        <v>14.999588013</v>
      </c>
      <c r="G85">
        <v>1338.9697266000001</v>
      </c>
      <c r="H85">
        <v>1336.8270264</v>
      </c>
      <c r="I85">
        <v>1324.1297606999999</v>
      </c>
      <c r="J85">
        <v>1321.4055175999999</v>
      </c>
      <c r="K85">
        <v>1650</v>
      </c>
      <c r="L85">
        <v>0</v>
      </c>
      <c r="M85">
        <v>0</v>
      </c>
      <c r="N85">
        <v>1650</v>
      </c>
    </row>
    <row r="86" spans="1:14" x14ac:dyDescent="0.25">
      <c r="A86">
        <v>1.8461559999999999</v>
      </c>
      <c r="B86" s="1">
        <f>DATE(2010,5,2) + TIME(20,18,27)</f>
        <v>40300.846145833333</v>
      </c>
      <c r="C86">
        <v>80</v>
      </c>
      <c r="D86">
        <v>74.159942627000007</v>
      </c>
      <c r="E86">
        <v>40</v>
      </c>
      <c r="F86">
        <v>14.999588965999999</v>
      </c>
      <c r="G86">
        <v>1338.9892577999999</v>
      </c>
      <c r="H86">
        <v>1336.8424072</v>
      </c>
      <c r="I86">
        <v>1324.1300048999999</v>
      </c>
      <c r="J86">
        <v>1321.4055175999999</v>
      </c>
      <c r="K86">
        <v>1650</v>
      </c>
      <c r="L86">
        <v>0</v>
      </c>
      <c r="M86">
        <v>0</v>
      </c>
      <c r="N86">
        <v>1650</v>
      </c>
    </row>
    <row r="87" spans="1:14" x14ac:dyDescent="0.25">
      <c r="A87">
        <v>1.8673420000000001</v>
      </c>
      <c r="B87" s="1">
        <f>DATE(2010,5,2) + TIME(20,48,58)</f>
        <v>40300.867337962962</v>
      </c>
      <c r="C87">
        <v>80</v>
      </c>
      <c r="D87">
        <v>74.384757996000005</v>
      </c>
      <c r="E87">
        <v>40</v>
      </c>
      <c r="F87">
        <v>14.99958992</v>
      </c>
      <c r="G87">
        <v>1339.0083007999999</v>
      </c>
      <c r="H87">
        <v>1336.8572998</v>
      </c>
      <c r="I87">
        <v>1324.1301269999999</v>
      </c>
      <c r="J87">
        <v>1321.4056396000001</v>
      </c>
      <c r="K87">
        <v>1650</v>
      </c>
      <c r="L87">
        <v>0</v>
      </c>
      <c r="M87">
        <v>0</v>
      </c>
      <c r="N87">
        <v>1650</v>
      </c>
    </row>
    <row r="88" spans="1:14" x14ac:dyDescent="0.25">
      <c r="A88">
        <v>1.888528</v>
      </c>
      <c r="B88" s="1">
        <f>DATE(2010,5,2) + TIME(21,19,28)</f>
        <v>40300.888518518521</v>
      </c>
      <c r="C88">
        <v>80</v>
      </c>
      <c r="D88">
        <v>74.601715088000006</v>
      </c>
      <c r="E88">
        <v>40</v>
      </c>
      <c r="F88">
        <v>14.99958992</v>
      </c>
      <c r="G88">
        <v>1339.0267334</v>
      </c>
      <c r="H88">
        <v>1336.8717041</v>
      </c>
      <c r="I88">
        <v>1324.130249</v>
      </c>
      <c r="J88">
        <v>1321.4056396000001</v>
      </c>
      <c r="K88">
        <v>1650</v>
      </c>
      <c r="L88">
        <v>0</v>
      </c>
      <c r="M88">
        <v>0</v>
      </c>
      <c r="N88">
        <v>1650</v>
      </c>
    </row>
    <row r="89" spans="1:14" x14ac:dyDescent="0.25">
      <c r="A89">
        <v>1.9309000000000001</v>
      </c>
      <c r="B89" s="1">
        <f>DATE(2010,5,2) + TIME(22,20,29)</f>
        <v>40300.930891203701</v>
      </c>
      <c r="C89">
        <v>80</v>
      </c>
      <c r="D89">
        <v>75.004257202000005</v>
      </c>
      <c r="E89">
        <v>40</v>
      </c>
      <c r="F89">
        <v>14.999591827</v>
      </c>
      <c r="G89">
        <v>1339.0407714999999</v>
      </c>
      <c r="H89">
        <v>1336.8870850000001</v>
      </c>
      <c r="I89">
        <v>1324.1304932</v>
      </c>
      <c r="J89">
        <v>1321.4056396000001</v>
      </c>
      <c r="K89">
        <v>1650</v>
      </c>
      <c r="L89">
        <v>0</v>
      </c>
      <c r="M89">
        <v>0</v>
      </c>
      <c r="N89">
        <v>1650</v>
      </c>
    </row>
    <row r="90" spans="1:14" x14ac:dyDescent="0.25">
      <c r="A90">
        <v>1.9732940000000001</v>
      </c>
      <c r="B90" s="1">
        <f>DATE(2010,5,2) + TIME(23,21,32)</f>
        <v>40300.973287037035</v>
      </c>
      <c r="C90">
        <v>80</v>
      </c>
      <c r="D90">
        <v>75.379043578999998</v>
      </c>
      <c r="E90">
        <v>40</v>
      </c>
      <c r="F90">
        <v>14.999593734999999</v>
      </c>
      <c r="G90">
        <v>1339.0753173999999</v>
      </c>
      <c r="H90">
        <v>1336.9132079999999</v>
      </c>
      <c r="I90">
        <v>1324.1307373</v>
      </c>
      <c r="J90">
        <v>1321.4057617000001</v>
      </c>
      <c r="K90">
        <v>1650</v>
      </c>
      <c r="L90">
        <v>0</v>
      </c>
      <c r="M90">
        <v>0</v>
      </c>
      <c r="N90">
        <v>1650</v>
      </c>
    </row>
    <row r="91" spans="1:14" x14ac:dyDescent="0.25">
      <c r="A91">
        <v>2.0161380000000002</v>
      </c>
      <c r="B91" s="1">
        <f>DATE(2010,5,3) + TIME(0,23,14)</f>
        <v>40301.016134259262</v>
      </c>
      <c r="C91">
        <v>80</v>
      </c>
      <c r="D91">
        <v>75.731063843000001</v>
      </c>
      <c r="E91">
        <v>40</v>
      </c>
      <c r="F91">
        <v>14.999595641999999</v>
      </c>
      <c r="G91">
        <v>1339.1081543</v>
      </c>
      <c r="H91">
        <v>1336.9379882999999</v>
      </c>
      <c r="I91">
        <v>1324.1309814000001</v>
      </c>
      <c r="J91">
        <v>1321.4058838000001</v>
      </c>
      <c r="K91">
        <v>1650</v>
      </c>
      <c r="L91">
        <v>0</v>
      </c>
      <c r="M91">
        <v>0</v>
      </c>
      <c r="N91">
        <v>1650</v>
      </c>
    </row>
    <row r="92" spans="1:14" x14ac:dyDescent="0.25">
      <c r="A92">
        <v>2.059491</v>
      </c>
      <c r="B92" s="1">
        <f>DATE(2010,5,3) + TIME(1,25,40)</f>
        <v>40301.059490740743</v>
      </c>
      <c r="C92">
        <v>80</v>
      </c>
      <c r="D92">
        <v>76.061531067000004</v>
      </c>
      <c r="E92">
        <v>40</v>
      </c>
      <c r="F92">
        <v>14.999596596</v>
      </c>
      <c r="G92">
        <v>1339.1396483999999</v>
      </c>
      <c r="H92">
        <v>1336.9615478999999</v>
      </c>
      <c r="I92">
        <v>1324.1313477000001</v>
      </c>
      <c r="J92">
        <v>1321.4058838000001</v>
      </c>
      <c r="K92">
        <v>1650</v>
      </c>
      <c r="L92">
        <v>0</v>
      </c>
      <c r="M92">
        <v>0</v>
      </c>
      <c r="N92">
        <v>1650</v>
      </c>
    </row>
    <row r="93" spans="1:14" x14ac:dyDescent="0.25">
      <c r="A93">
        <v>2.1034269999999999</v>
      </c>
      <c r="B93" s="1">
        <f>DATE(2010,5,3) + TIME(2,28,56)</f>
        <v>40301.103425925925</v>
      </c>
      <c r="C93">
        <v>80</v>
      </c>
      <c r="D93">
        <v>76.371627808</v>
      </c>
      <c r="E93">
        <v>40</v>
      </c>
      <c r="F93">
        <v>14.999598503</v>
      </c>
      <c r="G93">
        <v>1339.1699219</v>
      </c>
      <c r="H93">
        <v>1336.9838867000001</v>
      </c>
      <c r="I93">
        <v>1324.1315918</v>
      </c>
      <c r="J93">
        <v>1321.4060059000001</v>
      </c>
      <c r="K93">
        <v>1650</v>
      </c>
      <c r="L93">
        <v>0</v>
      </c>
      <c r="M93">
        <v>0</v>
      </c>
      <c r="N93">
        <v>1650</v>
      </c>
    </row>
    <row r="94" spans="1:14" x14ac:dyDescent="0.25">
      <c r="A94">
        <v>2.1480199999999998</v>
      </c>
      <c r="B94" s="1">
        <f>DATE(2010,5,3) + TIME(3,33,8)</f>
        <v>40301.148009259261</v>
      </c>
      <c r="C94">
        <v>80</v>
      </c>
      <c r="D94">
        <v>76.662437439000001</v>
      </c>
      <c r="E94">
        <v>40</v>
      </c>
      <c r="F94">
        <v>14.999600409999999</v>
      </c>
      <c r="G94">
        <v>1339.1988524999999</v>
      </c>
      <c r="H94">
        <v>1337.0050048999999</v>
      </c>
      <c r="I94">
        <v>1324.1318358999999</v>
      </c>
      <c r="J94">
        <v>1321.4060059000001</v>
      </c>
      <c r="K94">
        <v>1650</v>
      </c>
      <c r="L94">
        <v>0</v>
      </c>
      <c r="M94">
        <v>0</v>
      </c>
      <c r="N94">
        <v>1650</v>
      </c>
    </row>
    <row r="95" spans="1:14" x14ac:dyDescent="0.25">
      <c r="A95">
        <v>2.1933500000000001</v>
      </c>
      <c r="B95" s="1">
        <f>DATE(2010,5,3) + TIME(4,38,25)</f>
        <v>40301.193344907406</v>
      </c>
      <c r="C95">
        <v>80</v>
      </c>
      <c r="D95">
        <v>76.934974670000003</v>
      </c>
      <c r="E95">
        <v>40</v>
      </c>
      <c r="F95">
        <v>14.999602318000001</v>
      </c>
      <c r="G95">
        <v>1339.2265625</v>
      </c>
      <c r="H95">
        <v>1337.0250243999999</v>
      </c>
      <c r="I95">
        <v>1324.1320800999999</v>
      </c>
      <c r="J95">
        <v>1321.4061279</v>
      </c>
      <c r="K95">
        <v>1650</v>
      </c>
      <c r="L95">
        <v>0</v>
      </c>
      <c r="M95">
        <v>0</v>
      </c>
      <c r="N95">
        <v>1650</v>
      </c>
    </row>
    <row r="96" spans="1:14" x14ac:dyDescent="0.25">
      <c r="A96">
        <v>2.2395</v>
      </c>
      <c r="B96" s="1">
        <f>DATE(2010,5,3) + TIME(5,44,52)</f>
        <v>40301.239490740743</v>
      </c>
      <c r="C96">
        <v>80</v>
      </c>
      <c r="D96">
        <v>77.190177917</v>
      </c>
      <c r="E96">
        <v>40</v>
      </c>
      <c r="F96">
        <v>14.999603271</v>
      </c>
      <c r="G96">
        <v>1339.2519531</v>
      </c>
      <c r="H96">
        <v>1337.0430908000001</v>
      </c>
      <c r="I96">
        <v>1324.1324463000001</v>
      </c>
      <c r="J96">
        <v>1321.40625</v>
      </c>
      <c r="K96">
        <v>1650</v>
      </c>
      <c r="L96">
        <v>0</v>
      </c>
      <c r="M96">
        <v>0</v>
      </c>
      <c r="N96">
        <v>1650</v>
      </c>
    </row>
    <row r="97" spans="1:14" x14ac:dyDescent="0.25">
      <c r="A97">
        <v>2.2865839999999999</v>
      </c>
      <c r="B97" s="1">
        <f>DATE(2010,5,3) + TIME(6,52,40)</f>
        <v>40301.286574074074</v>
      </c>
      <c r="C97">
        <v>80</v>
      </c>
      <c r="D97">
        <v>77.429031371999997</v>
      </c>
      <c r="E97">
        <v>40</v>
      </c>
      <c r="F97">
        <v>14.999605179</v>
      </c>
      <c r="G97">
        <v>1339.2749022999999</v>
      </c>
      <c r="H97">
        <v>1337.0592041</v>
      </c>
      <c r="I97">
        <v>1324.1326904</v>
      </c>
      <c r="J97">
        <v>1321.40625</v>
      </c>
      <c r="K97">
        <v>1650</v>
      </c>
      <c r="L97">
        <v>0</v>
      </c>
      <c r="M97">
        <v>0</v>
      </c>
      <c r="N97">
        <v>1650</v>
      </c>
    </row>
    <row r="98" spans="1:14" x14ac:dyDescent="0.25">
      <c r="A98">
        <v>2.3346849999999999</v>
      </c>
      <c r="B98" s="1">
        <f>DATE(2010,5,3) + TIME(8,1,56)</f>
        <v>40301.334675925929</v>
      </c>
      <c r="C98">
        <v>80</v>
      </c>
      <c r="D98">
        <v>77.652282714999998</v>
      </c>
      <c r="E98">
        <v>40</v>
      </c>
      <c r="F98">
        <v>14.999607085999999</v>
      </c>
      <c r="G98">
        <v>1339.2969971</v>
      </c>
      <c r="H98">
        <v>1337.0743408000001</v>
      </c>
      <c r="I98">
        <v>1324.1329346</v>
      </c>
      <c r="J98">
        <v>1321.4063721</v>
      </c>
      <c r="K98">
        <v>1650</v>
      </c>
      <c r="L98">
        <v>0</v>
      </c>
      <c r="M98">
        <v>0</v>
      </c>
      <c r="N98">
        <v>1650</v>
      </c>
    </row>
    <row r="99" spans="1:14" x14ac:dyDescent="0.25">
      <c r="A99">
        <v>2.3839039999999998</v>
      </c>
      <c r="B99" s="1">
        <f>DATE(2010,5,3) + TIME(9,12,49)</f>
        <v>40301.383900462963</v>
      </c>
      <c r="C99">
        <v>80</v>
      </c>
      <c r="D99">
        <v>77.860717773000005</v>
      </c>
      <c r="E99">
        <v>40</v>
      </c>
      <c r="F99">
        <v>14.99960804</v>
      </c>
      <c r="G99">
        <v>1339.3179932</v>
      </c>
      <c r="H99">
        <v>1337.088501</v>
      </c>
      <c r="I99">
        <v>1324.1331786999999</v>
      </c>
      <c r="J99">
        <v>1321.4064940999999</v>
      </c>
      <c r="K99">
        <v>1650</v>
      </c>
      <c r="L99">
        <v>0</v>
      </c>
      <c r="M99">
        <v>0</v>
      </c>
      <c r="N99">
        <v>1650</v>
      </c>
    </row>
    <row r="100" spans="1:14" x14ac:dyDescent="0.25">
      <c r="A100">
        <v>2.4343520000000001</v>
      </c>
      <c r="B100" s="1">
        <f>DATE(2010,5,3) + TIME(10,25,27)</f>
        <v>40301.434340277781</v>
      </c>
      <c r="C100">
        <v>80</v>
      </c>
      <c r="D100">
        <v>78.055084229000002</v>
      </c>
      <c r="E100">
        <v>40</v>
      </c>
      <c r="F100">
        <v>14.999609947</v>
      </c>
      <c r="G100">
        <v>1339.3381348</v>
      </c>
      <c r="H100">
        <v>1337.1019286999999</v>
      </c>
      <c r="I100">
        <v>1324.1334228999999</v>
      </c>
      <c r="J100">
        <v>1321.4064940999999</v>
      </c>
      <c r="K100">
        <v>1650</v>
      </c>
      <c r="L100">
        <v>0</v>
      </c>
      <c r="M100">
        <v>0</v>
      </c>
      <c r="N100">
        <v>1650</v>
      </c>
    </row>
    <row r="101" spans="1:14" x14ac:dyDescent="0.25">
      <c r="A101">
        <v>2.4861499999999999</v>
      </c>
      <c r="B101" s="1">
        <f>DATE(2010,5,3) + TIME(11,40,3)</f>
        <v>40301.486145833333</v>
      </c>
      <c r="C101">
        <v>80</v>
      </c>
      <c r="D101">
        <v>78.236061096</v>
      </c>
      <c r="E101">
        <v>40</v>
      </c>
      <c r="F101">
        <v>14.999611854999999</v>
      </c>
      <c r="G101">
        <v>1339.3572998</v>
      </c>
      <c r="H101">
        <v>1337.1143798999999</v>
      </c>
      <c r="I101">
        <v>1324.1336670000001</v>
      </c>
      <c r="J101">
        <v>1321.4066161999999</v>
      </c>
      <c r="K101">
        <v>1650</v>
      </c>
      <c r="L101">
        <v>0</v>
      </c>
      <c r="M101">
        <v>0</v>
      </c>
      <c r="N101">
        <v>1650</v>
      </c>
    </row>
    <row r="102" spans="1:14" x14ac:dyDescent="0.25">
      <c r="A102">
        <v>2.539431</v>
      </c>
      <c r="B102" s="1">
        <f>DATE(2010,5,3) + TIME(12,56,46)</f>
        <v>40301.539421296293</v>
      </c>
      <c r="C102">
        <v>80</v>
      </c>
      <c r="D102">
        <v>78.404319763000004</v>
      </c>
      <c r="E102">
        <v>40</v>
      </c>
      <c r="F102">
        <v>14.999612808</v>
      </c>
      <c r="G102">
        <v>1339.3754882999999</v>
      </c>
      <c r="H102">
        <v>1337.1259766000001</v>
      </c>
      <c r="I102">
        <v>1324.1339111</v>
      </c>
      <c r="J102">
        <v>1321.4067382999999</v>
      </c>
      <c r="K102">
        <v>1650</v>
      </c>
      <c r="L102">
        <v>0</v>
      </c>
      <c r="M102">
        <v>0</v>
      </c>
      <c r="N102">
        <v>1650</v>
      </c>
    </row>
    <row r="103" spans="1:14" x14ac:dyDescent="0.25">
      <c r="A103">
        <v>2.5943619999999998</v>
      </c>
      <c r="B103" s="1">
        <f>DATE(2010,5,3) + TIME(14,15,52)</f>
        <v>40301.594351851854</v>
      </c>
      <c r="C103">
        <v>80</v>
      </c>
      <c r="D103">
        <v>78.560531616000006</v>
      </c>
      <c r="E103">
        <v>40</v>
      </c>
      <c r="F103">
        <v>14.999614716</v>
      </c>
      <c r="G103">
        <v>1339.3927002</v>
      </c>
      <c r="H103">
        <v>1337.1367187999999</v>
      </c>
      <c r="I103">
        <v>1324.1341553</v>
      </c>
      <c r="J103">
        <v>1321.4068603999999</v>
      </c>
      <c r="K103">
        <v>1650</v>
      </c>
      <c r="L103">
        <v>0</v>
      </c>
      <c r="M103">
        <v>0</v>
      </c>
      <c r="N103">
        <v>1650</v>
      </c>
    </row>
    <row r="104" spans="1:14" x14ac:dyDescent="0.25">
      <c r="A104">
        <v>2.651116</v>
      </c>
      <c r="B104" s="1">
        <f>DATE(2010,5,3) + TIME(15,37,36)</f>
        <v>40301.65111111111</v>
      </c>
      <c r="C104">
        <v>80</v>
      </c>
      <c r="D104">
        <v>78.705291747999993</v>
      </c>
      <c r="E104">
        <v>40</v>
      </c>
      <c r="F104">
        <v>14.999616623</v>
      </c>
      <c r="G104">
        <v>1339.4089355000001</v>
      </c>
      <c r="H104">
        <v>1337.1466064000001</v>
      </c>
      <c r="I104">
        <v>1324.1343993999999</v>
      </c>
      <c r="J104">
        <v>1321.4068603999999</v>
      </c>
      <c r="K104">
        <v>1650</v>
      </c>
      <c r="L104">
        <v>0</v>
      </c>
      <c r="M104">
        <v>0</v>
      </c>
      <c r="N104">
        <v>1650</v>
      </c>
    </row>
    <row r="105" spans="1:14" x14ac:dyDescent="0.25">
      <c r="A105">
        <v>2.7096239999999998</v>
      </c>
      <c r="B105" s="1">
        <f>DATE(2010,5,3) + TIME(17,1,51)</f>
        <v>40301.709618055553</v>
      </c>
      <c r="C105">
        <v>80</v>
      </c>
      <c r="D105">
        <v>78.838638306000007</v>
      </c>
      <c r="E105">
        <v>40</v>
      </c>
      <c r="F105">
        <v>14.999617577</v>
      </c>
      <c r="G105">
        <v>1339.4243164</v>
      </c>
      <c r="H105">
        <v>1337.1556396000001</v>
      </c>
      <c r="I105">
        <v>1324.1346435999999</v>
      </c>
      <c r="J105">
        <v>1321.4069824000001</v>
      </c>
      <c r="K105">
        <v>1650</v>
      </c>
      <c r="L105">
        <v>0</v>
      </c>
      <c r="M105">
        <v>0</v>
      </c>
      <c r="N105">
        <v>1650</v>
      </c>
    </row>
    <row r="106" spans="1:14" x14ac:dyDescent="0.25">
      <c r="A106">
        <v>2.7697929999999999</v>
      </c>
      <c r="B106" s="1">
        <f>DATE(2010,5,3) + TIME(18,28,30)</f>
        <v>40301.769791666666</v>
      </c>
      <c r="C106">
        <v>80</v>
      </c>
      <c r="D106">
        <v>78.960731506000002</v>
      </c>
      <c r="E106">
        <v>40</v>
      </c>
      <c r="F106">
        <v>14.999619484</v>
      </c>
      <c r="G106">
        <v>1339.4387207</v>
      </c>
      <c r="H106">
        <v>1337.1638184000001</v>
      </c>
      <c r="I106">
        <v>1324.1348877</v>
      </c>
      <c r="J106">
        <v>1321.4071045000001</v>
      </c>
      <c r="K106">
        <v>1650</v>
      </c>
      <c r="L106">
        <v>0</v>
      </c>
      <c r="M106">
        <v>0</v>
      </c>
      <c r="N106">
        <v>1650</v>
      </c>
    </row>
    <row r="107" spans="1:14" x14ac:dyDescent="0.25">
      <c r="A107">
        <v>2.8317320000000001</v>
      </c>
      <c r="B107" s="1">
        <f>DATE(2010,5,3) + TIME(19,57,41)</f>
        <v>40301.831724537034</v>
      </c>
      <c r="C107">
        <v>80</v>
      </c>
      <c r="D107">
        <v>79.072204589999998</v>
      </c>
      <c r="E107">
        <v>40</v>
      </c>
      <c r="F107">
        <v>14.999621391</v>
      </c>
      <c r="G107">
        <v>1339.4520264</v>
      </c>
      <c r="H107">
        <v>1337.1711425999999</v>
      </c>
      <c r="I107">
        <v>1324.1352539</v>
      </c>
      <c r="J107">
        <v>1321.4072266000001</v>
      </c>
      <c r="K107">
        <v>1650</v>
      </c>
      <c r="L107">
        <v>0</v>
      </c>
      <c r="M107">
        <v>0</v>
      </c>
      <c r="N107">
        <v>1650</v>
      </c>
    </row>
    <row r="108" spans="1:14" x14ac:dyDescent="0.25">
      <c r="A108">
        <v>2.8956119999999999</v>
      </c>
      <c r="B108" s="1">
        <f>DATE(2010,5,3) + TIME(21,29,40)</f>
        <v>40301.895601851851</v>
      </c>
      <c r="C108">
        <v>80</v>
      </c>
      <c r="D108">
        <v>79.173751831000004</v>
      </c>
      <c r="E108">
        <v>40</v>
      </c>
      <c r="F108">
        <v>14.999623299</v>
      </c>
      <c r="G108">
        <v>1339.4641113</v>
      </c>
      <c r="H108">
        <v>1337.1772461</v>
      </c>
      <c r="I108">
        <v>1324.1354980000001</v>
      </c>
      <c r="J108">
        <v>1321.4072266000001</v>
      </c>
      <c r="K108">
        <v>1650</v>
      </c>
      <c r="L108">
        <v>0</v>
      </c>
      <c r="M108">
        <v>0</v>
      </c>
      <c r="N108">
        <v>1650</v>
      </c>
    </row>
    <row r="109" spans="1:14" x14ac:dyDescent="0.25">
      <c r="A109">
        <v>2.9616259999999999</v>
      </c>
      <c r="B109" s="1">
        <f>DATE(2010,5,3) + TIME(23,4,44)</f>
        <v>40301.96162037037</v>
      </c>
      <c r="C109">
        <v>80</v>
      </c>
      <c r="D109">
        <v>79.266021729000002</v>
      </c>
      <c r="E109">
        <v>40</v>
      </c>
      <c r="F109">
        <v>14.999625205999999</v>
      </c>
      <c r="G109">
        <v>1339.472168</v>
      </c>
      <c r="H109">
        <v>1337.1802978999999</v>
      </c>
      <c r="I109">
        <v>1324.1357422000001</v>
      </c>
      <c r="J109">
        <v>1321.4073486</v>
      </c>
      <c r="K109">
        <v>1650</v>
      </c>
      <c r="L109">
        <v>0</v>
      </c>
      <c r="M109">
        <v>0</v>
      </c>
      <c r="N109">
        <v>1650</v>
      </c>
    </row>
    <row r="110" spans="1:14" x14ac:dyDescent="0.25">
      <c r="A110">
        <v>3.0300050000000001</v>
      </c>
      <c r="B110" s="1">
        <f>DATE(2010,5,4) + TIME(0,43,12)</f>
        <v>40302.03</v>
      </c>
      <c r="C110">
        <v>80</v>
      </c>
      <c r="D110">
        <v>79.349662781000006</v>
      </c>
      <c r="E110">
        <v>40</v>
      </c>
      <c r="F110">
        <v>14.99962616</v>
      </c>
      <c r="G110">
        <v>1339.4793701000001</v>
      </c>
      <c r="H110">
        <v>1337.1826172000001</v>
      </c>
      <c r="I110">
        <v>1324.1359863</v>
      </c>
      <c r="J110">
        <v>1321.4074707</v>
      </c>
      <c r="K110">
        <v>1650</v>
      </c>
      <c r="L110">
        <v>0</v>
      </c>
      <c r="M110">
        <v>0</v>
      </c>
      <c r="N110">
        <v>1650</v>
      </c>
    </row>
    <row r="111" spans="1:14" x14ac:dyDescent="0.25">
      <c r="A111">
        <v>3.100876</v>
      </c>
      <c r="B111" s="1">
        <f>DATE(2010,5,4) + TIME(2,25,15)</f>
        <v>40302.100868055553</v>
      </c>
      <c r="C111">
        <v>80</v>
      </c>
      <c r="D111">
        <v>79.425148010000001</v>
      </c>
      <c r="E111">
        <v>40</v>
      </c>
      <c r="F111">
        <v>14.999628067</v>
      </c>
      <c r="G111">
        <v>1339.4857178</v>
      </c>
      <c r="H111">
        <v>1337.184082</v>
      </c>
      <c r="I111">
        <v>1324.1362305</v>
      </c>
      <c r="J111">
        <v>1321.4075928</v>
      </c>
      <c r="K111">
        <v>1650</v>
      </c>
      <c r="L111">
        <v>0</v>
      </c>
      <c r="M111">
        <v>0</v>
      </c>
      <c r="N111">
        <v>1650</v>
      </c>
    </row>
    <row r="112" spans="1:14" x14ac:dyDescent="0.25">
      <c r="A112">
        <v>3.1367690000000001</v>
      </c>
      <c r="B112" s="1">
        <f>DATE(2010,5,4) + TIME(3,16,56)</f>
        <v>40302.136759259258</v>
      </c>
      <c r="C112">
        <v>80</v>
      </c>
      <c r="D112">
        <v>79.460777282999999</v>
      </c>
      <c r="E112">
        <v>40</v>
      </c>
      <c r="F112">
        <v>14.999629021000001</v>
      </c>
      <c r="G112">
        <v>1339.4925536999999</v>
      </c>
      <c r="H112">
        <v>1337.1845702999999</v>
      </c>
      <c r="I112">
        <v>1324.1363524999999</v>
      </c>
      <c r="J112">
        <v>1321.4077147999999</v>
      </c>
      <c r="K112">
        <v>1650</v>
      </c>
      <c r="L112">
        <v>0</v>
      </c>
      <c r="M112">
        <v>0</v>
      </c>
      <c r="N112">
        <v>1650</v>
      </c>
    </row>
    <row r="113" spans="1:14" x14ac:dyDescent="0.25">
      <c r="A113">
        <v>3.1726619999999999</v>
      </c>
      <c r="B113" s="1">
        <f>DATE(2010,5,4) + TIME(4,8,38)</f>
        <v>40302.172662037039</v>
      </c>
      <c r="C113">
        <v>80</v>
      </c>
      <c r="D113">
        <v>79.493896484000004</v>
      </c>
      <c r="E113">
        <v>40</v>
      </c>
      <c r="F113">
        <v>14.999629973999999</v>
      </c>
      <c r="G113">
        <v>1339.4951172000001</v>
      </c>
      <c r="H113">
        <v>1337.1848144999999</v>
      </c>
      <c r="I113">
        <v>1324.1364745999999</v>
      </c>
      <c r="J113">
        <v>1321.4077147999999</v>
      </c>
      <c r="K113">
        <v>1650</v>
      </c>
      <c r="L113">
        <v>0</v>
      </c>
      <c r="M113">
        <v>0</v>
      </c>
      <c r="N113">
        <v>1650</v>
      </c>
    </row>
    <row r="114" spans="1:14" x14ac:dyDescent="0.25">
      <c r="A114">
        <v>3.2085560000000002</v>
      </c>
      <c r="B114" s="1">
        <f>DATE(2010,5,4) + TIME(5,0,19)</f>
        <v>40302.208553240744</v>
      </c>
      <c r="C114">
        <v>80</v>
      </c>
      <c r="D114">
        <v>79.524696349999999</v>
      </c>
      <c r="E114">
        <v>40</v>
      </c>
      <c r="F114">
        <v>14.999630928</v>
      </c>
      <c r="G114">
        <v>1339.4973144999999</v>
      </c>
      <c r="H114">
        <v>1337.1848144999999</v>
      </c>
      <c r="I114">
        <v>1324.1365966999999</v>
      </c>
      <c r="J114">
        <v>1321.4078368999999</v>
      </c>
      <c r="K114">
        <v>1650</v>
      </c>
      <c r="L114">
        <v>0</v>
      </c>
      <c r="M114">
        <v>0</v>
      </c>
      <c r="N114">
        <v>1650</v>
      </c>
    </row>
    <row r="115" spans="1:14" x14ac:dyDescent="0.25">
      <c r="A115">
        <v>3.2444489999999999</v>
      </c>
      <c r="B115" s="1">
        <f>DATE(2010,5,4) + TIME(5,52,0)</f>
        <v>40302.244444444441</v>
      </c>
      <c r="C115">
        <v>80</v>
      </c>
      <c r="D115">
        <v>79.553321838000002</v>
      </c>
      <c r="E115">
        <v>40</v>
      </c>
      <c r="F115">
        <v>14.999631881999999</v>
      </c>
      <c r="G115">
        <v>1339.4992675999999</v>
      </c>
      <c r="H115">
        <v>1337.1846923999999</v>
      </c>
      <c r="I115">
        <v>1324.1367187999999</v>
      </c>
      <c r="J115">
        <v>1321.4078368999999</v>
      </c>
      <c r="K115">
        <v>1650</v>
      </c>
      <c r="L115">
        <v>0</v>
      </c>
      <c r="M115">
        <v>0</v>
      </c>
      <c r="N115">
        <v>1650</v>
      </c>
    </row>
    <row r="116" spans="1:14" x14ac:dyDescent="0.25">
      <c r="A116">
        <v>3.2803420000000001</v>
      </c>
      <c r="B116" s="1">
        <f>DATE(2010,5,4) + TIME(6,43,41)</f>
        <v>40302.280335648145</v>
      </c>
      <c r="C116">
        <v>80</v>
      </c>
      <c r="D116">
        <v>79.579933166999993</v>
      </c>
      <c r="E116">
        <v>40</v>
      </c>
      <c r="F116">
        <v>14.999632835</v>
      </c>
      <c r="G116">
        <v>1339.5009766000001</v>
      </c>
      <c r="H116">
        <v>1337.1844481999999</v>
      </c>
      <c r="I116">
        <v>1324.1368408000001</v>
      </c>
      <c r="J116">
        <v>1321.4079589999999</v>
      </c>
      <c r="K116">
        <v>1650</v>
      </c>
      <c r="L116">
        <v>0</v>
      </c>
      <c r="M116">
        <v>0</v>
      </c>
      <c r="N116">
        <v>1650</v>
      </c>
    </row>
    <row r="117" spans="1:14" x14ac:dyDescent="0.25">
      <c r="A117">
        <v>3.3162349999999998</v>
      </c>
      <c r="B117" s="1">
        <f>DATE(2010,5,4) + TIME(7,35,22)</f>
        <v>40302.31622685185</v>
      </c>
      <c r="C117">
        <v>80</v>
      </c>
      <c r="D117">
        <v>79.604675293</v>
      </c>
      <c r="E117">
        <v>40</v>
      </c>
      <c r="F117">
        <v>14.999632835</v>
      </c>
      <c r="G117">
        <v>1339.5024414</v>
      </c>
      <c r="H117">
        <v>1337.1839600000001</v>
      </c>
      <c r="I117">
        <v>1324.1369629000001</v>
      </c>
      <c r="J117">
        <v>1321.4079589999999</v>
      </c>
      <c r="K117">
        <v>1650</v>
      </c>
      <c r="L117">
        <v>0</v>
      </c>
      <c r="M117">
        <v>0</v>
      </c>
      <c r="N117">
        <v>1650</v>
      </c>
    </row>
    <row r="118" spans="1:14" x14ac:dyDescent="0.25">
      <c r="A118">
        <v>3.352128</v>
      </c>
      <c r="B118" s="1">
        <f>DATE(2010,5,4) + TIME(8,27,3)</f>
        <v>40302.352118055554</v>
      </c>
      <c r="C118">
        <v>80</v>
      </c>
      <c r="D118">
        <v>79.627677917</v>
      </c>
      <c r="E118">
        <v>40</v>
      </c>
      <c r="F118">
        <v>14.999633789000001</v>
      </c>
      <c r="G118">
        <v>1339.5037841999999</v>
      </c>
      <c r="H118">
        <v>1337.1833495999999</v>
      </c>
      <c r="I118">
        <v>1324.1370850000001</v>
      </c>
      <c r="J118">
        <v>1321.4080810999999</v>
      </c>
      <c r="K118">
        <v>1650</v>
      </c>
      <c r="L118">
        <v>0</v>
      </c>
      <c r="M118">
        <v>0</v>
      </c>
      <c r="N118">
        <v>1650</v>
      </c>
    </row>
    <row r="119" spans="1:14" x14ac:dyDescent="0.25">
      <c r="A119">
        <v>3.3880210000000002</v>
      </c>
      <c r="B119" s="1">
        <f>DATE(2010,5,4) + TIME(9,18,45)</f>
        <v>40302.388020833336</v>
      </c>
      <c r="C119">
        <v>80</v>
      </c>
      <c r="D119">
        <v>79.649055481000005</v>
      </c>
      <c r="E119">
        <v>40</v>
      </c>
      <c r="F119">
        <v>14.999634743</v>
      </c>
      <c r="G119">
        <v>1339.5048827999999</v>
      </c>
      <c r="H119">
        <v>1337.1826172000001</v>
      </c>
      <c r="I119">
        <v>1324.137207</v>
      </c>
      <c r="J119">
        <v>1321.4080810999999</v>
      </c>
      <c r="K119">
        <v>1650</v>
      </c>
      <c r="L119">
        <v>0</v>
      </c>
      <c r="M119">
        <v>0</v>
      </c>
      <c r="N119">
        <v>1650</v>
      </c>
    </row>
    <row r="120" spans="1:14" x14ac:dyDescent="0.25">
      <c r="A120">
        <v>3.4239139999999999</v>
      </c>
      <c r="B120" s="1">
        <f>DATE(2010,5,4) + TIME(10,10,26)</f>
        <v>40302.42391203704</v>
      </c>
      <c r="C120">
        <v>80</v>
      </c>
      <c r="D120">
        <v>79.668922424000002</v>
      </c>
      <c r="E120">
        <v>40</v>
      </c>
      <c r="F120">
        <v>14.999635696</v>
      </c>
      <c r="G120">
        <v>1339.5057373</v>
      </c>
      <c r="H120">
        <v>1337.1817627</v>
      </c>
      <c r="I120">
        <v>1324.1373291</v>
      </c>
      <c r="J120">
        <v>1321.4082031</v>
      </c>
      <c r="K120">
        <v>1650</v>
      </c>
      <c r="L120">
        <v>0</v>
      </c>
      <c r="M120">
        <v>0</v>
      </c>
      <c r="N120">
        <v>1650</v>
      </c>
    </row>
    <row r="121" spans="1:14" x14ac:dyDescent="0.25">
      <c r="A121">
        <v>3.4598070000000001</v>
      </c>
      <c r="B121" s="1">
        <f>DATE(2010,5,4) + TIME(11,2,7)</f>
        <v>40302.459803240738</v>
      </c>
      <c r="C121">
        <v>80</v>
      </c>
      <c r="D121">
        <v>79.687400818</v>
      </c>
      <c r="E121">
        <v>40</v>
      </c>
      <c r="F121">
        <v>14.999636649999999</v>
      </c>
      <c r="G121">
        <v>1339.5063477000001</v>
      </c>
      <c r="H121">
        <v>1337.1807861</v>
      </c>
      <c r="I121">
        <v>1324.1374512</v>
      </c>
      <c r="J121">
        <v>1321.4082031</v>
      </c>
      <c r="K121">
        <v>1650</v>
      </c>
      <c r="L121">
        <v>0</v>
      </c>
      <c r="M121">
        <v>0</v>
      </c>
      <c r="N121">
        <v>1650</v>
      </c>
    </row>
    <row r="122" spans="1:14" x14ac:dyDescent="0.25">
      <c r="A122">
        <v>3.4956999999999998</v>
      </c>
      <c r="B122" s="1">
        <f>DATE(2010,5,4) + TIME(11,53,48)</f>
        <v>40302.495694444442</v>
      </c>
      <c r="C122">
        <v>80</v>
      </c>
      <c r="D122">
        <v>79.704574585000003</v>
      </c>
      <c r="E122">
        <v>40</v>
      </c>
      <c r="F122">
        <v>14.999637604</v>
      </c>
      <c r="G122">
        <v>1339.5068358999999</v>
      </c>
      <c r="H122">
        <v>1337.1796875</v>
      </c>
      <c r="I122">
        <v>1324.1375731999999</v>
      </c>
      <c r="J122">
        <v>1321.4083252</v>
      </c>
      <c r="K122">
        <v>1650</v>
      </c>
      <c r="L122">
        <v>0</v>
      </c>
      <c r="M122">
        <v>0</v>
      </c>
      <c r="N122">
        <v>1650</v>
      </c>
    </row>
    <row r="123" spans="1:14" x14ac:dyDescent="0.25">
      <c r="A123">
        <v>3.5674860000000002</v>
      </c>
      <c r="B123" s="1">
        <f>DATE(2010,5,4) + TIME(13,37,10)</f>
        <v>40302.567476851851</v>
      </c>
      <c r="C123">
        <v>80</v>
      </c>
      <c r="D123">
        <v>79.734375</v>
      </c>
      <c r="E123">
        <v>40</v>
      </c>
      <c r="F123">
        <v>14.999638557000001</v>
      </c>
      <c r="G123">
        <v>1339.5064697</v>
      </c>
      <c r="H123">
        <v>1337.1787108999999</v>
      </c>
      <c r="I123">
        <v>1324.1376952999999</v>
      </c>
      <c r="J123">
        <v>1321.4083252</v>
      </c>
      <c r="K123">
        <v>1650</v>
      </c>
      <c r="L123">
        <v>0</v>
      </c>
      <c r="M123">
        <v>0</v>
      </c>
      <c r="N123">
        <v>1650</v>
      </c>
    </row>
    <row r="124" spans="1:14" x14ac:dyDescent="0.25">
      <c r="A124">
        <v>3.6393629999999999</v>
      </c>
      <c r="B124" s="1">
        <f>DATE(2010,5,4) + TIME(15,20,40)</f>
        <v>40302.639351851853</v>
      </c>
      <c r="C124">
        <v>80</v>
      </c>
      <c r="D124">
        <v>79.760307311999995</v>
      </c>
      <c r="E124">
        <v>40</v>
      </c>
      <c r="F124">
        <v>14.999640465000001</v>
      </c>
      <c r="G124">
        <v>1339.5065918</v>
      </c>
      <c r="H124">
        <v>1337.1757812000001</v>
      </c>
      <c r="I124">
        <v>1324.1379394999999</v>
      </c>
      <c r="J124">
        <v>1321.4084473</v>
      </c>
      <c r="K124">
        <v>1650</v>
      </c>
      <c r="L124">
        <v>0</v>
      </c>
      <c r="M124">
        <v>0</v>
      </c>
      <c r="N124">
        <v>1650</v>
      </c>
    </row>
    <row r="125" spans="1:14" x14ac:dyDescent="0.25">
      <c r="A125">
        <v>3.7117119999999999</v>
      </c>
      <c r="B125" s="1">
        <f>DATE(2010,5,4) + TIME(17,4,51)</f>
        <v>40302.711701388886</v>
      </c>
      <c r="C125">
        <v>80</v>
      </c>
      <c r="D125">
        <v>79.782974242999998</v>
      </c>
      <c r="E125">
        <v>40</v>
      </c>
      <c r="F125">
        <v>14.999641418</v>
      </c>
      <c r="G125">
        <v>1339.5059814000001</v>
      </c>
      <c r="H125">
        <v>1337.1726074000001</v>
      </c>
      <c r="I125">
        <v>1324.1381836</v>
      </c>
      <c r="J125">
        <v>1321.4085693</v>
      </c>
      <c r="K125">
        <v>1650</v>
      </c>
      <c r="L125">
        <v>0</v>
      </c>
      <c r="M125">
        <v>0</v>
      </c>
      <c r="N125">
        <v>1650</v>
      </c>
    </row>
    <row r="126" spans="1:14" x14ac:dyDescent="0.25">
      <c r="A126">
        <v>3.7846440000000001</v>
      </c>
      <c r="B126" s="1">
        <f>DATE(2010,5,4) + TIME(18,49,53)</f>
        <v>40302.784641203703</v>
      </c>
      <c r="C126">
        <v>80</v>
      </c>
      <c r="D126">
        <v>79.802795410000002</v>
      </c>
      <c r="E126">
        <v>40</v>
      </c>
      <c r="F126">
        <v>14.999643325999999</v>
      </c>
      <c r="G126">
        <v>1339.5048827999999</v>
      </c>
      <c r="H126">
        <v>1337.1690673999999</v>
      </c>
      <c r="I126">
        <v>1324.1384277</v>
      </c>
      <c r="J126">
        <v>1321.4086914</v>
      </c>
      <c r="K126">
        <v>1650</v>
      </c>
      <c r="L126">
        <v>0</v>
      </c>
      <c r="M126">
        <v>0</v>
      </c>
      <c r="N126">
        <v>1650</v>
      </c>
    </row>
    <row r="127" spans="1:14" x14ac:dyDescent="0.25">
      <c r="A127">
        <v>3.8582719999999999</v>
      </c>
      <c r="B127" s="1">
        <f>DATE(2010,5,4) + TIME(20,35,54)</f>
        <v>40302.858263888891</v>
      </c>
      <c r="C127">
        <v>80</v>
      </c>
      <c r="D127">
        <v>79.820152282999999</v>
      </c>
      <c r="E127">
        <v>40</v>
      </c>
      <c r="F127">
        <v>14.999644279</v>
      </c>
      <c r="G127">
        <v>1339.5032959</v>
      </c>
      <c r="H127">
        <v>1337.1650391000001</v>
      </c>
      <c r="I127">
        <v>1324.1385498</v>
      </c>
      <c r="J127">
        <v>1321.4088135</v>
      </c>
      <c r="K127">
        <v>1650</v>
      </c>
      <c r="L127">
        <v>0</v>
      </c>
      <c r="M127">
        <v>0</v>
      </c>
      <c r="N127">
        <v>1650</v>
      </c>
    </row>
    <row r="128" spans="1:14" x14ac:dyDescent="0.25">
      <c r="A128">
        <v>3.9327100000000002</v>
      </c>
      <c r="B128" s="1">
        <f>DATE(2010,5,4) + TIME(22,23,6)</f>
        <v>40302.932708333334</v>
      </c>
      <c r="C128">
        <v>80</v>
      </c>
      <c r="D128">
        <v>79.835350036999998</v>
      </c>
      <c r="E128">
        <v>40</v>
      </c>
      <c r="F128">
        <v>14.999646187</v>
      </c>
      <c r="G128">
        <v>1339.5010986</v>
      </c>
      <c r="H128">
        <v>1337.1607666</v>
      </c>
      <c r="I128">
        <v>1324.1387939000001</v>
      </c>
      <c r="J128">
        <v>1321.4089355000001</v>
      </c>
      <c r="K128">
        <v>1650</v>
      </c>
      <c r="L128">
        <v>0</v>
      </c>
      <c r="M128">
        <v>0</v>
      </c>
      <c r="N128">
        <v>1650</v>
      </c>
    </row>
    <row r="129" spans="1:14" x14ac:dyDescent="0.25">
      <c r="A129">
        <v>4.0080739999999997</v>
      </c>
      <c r="B129" s="1">
        <f>DATE(2010,5,5) + TIME(0,11,37)</f>
        <v>40303.008067129631</v>
      </c>
      <c r="C129">
        <v>80</v>
      </c>
      <c r="D129">
        <v>79.848655700999998</v>
      </c>
      <c r="E129">
        <v>40</v>
      </c>
      <c r="F129">
        <v>14.999647141000001</v>
      </c>
      <c r="G129">
        <v>1339.4985352000001</v>
      </c>
      <c r="H129">
        <v>1337.1563721</v>
      </c>
      <c r="I129">
        <v>1324.1390381000001</v>
      </c>
      <c r="J129">
        <v>1321.4090576000001</v>
      </c>
      <c r="K129">
        <v>1650</v>
      </c>
      <c r="L129">
        <v>0</v>
      </c>
      <c r="M129">
        <v>0</v>
      </c>
      <c r="N129">
        <v>1650</v>
      </c>
    </row>
    <row r="130" spans="1:14" x14ac:dyDescent="0.25">
      <c r="A130">
        <v>4.0844860000000001</v>
      </c>
      <c r="B130" s="1">
        <f>DATE(2010,5,5) + TIME(2,1,39)</f>
        <v>40303.084479166668</v>
      </c>
      <c r="C130">
        <v>80</v>
      </c>
      <c r="D130">
        <v>79.860313415999997</v>
      </c>
      <c r="E130">
        <v>40</v>
      </c>
      <c r="F130">
        <v>14.999648093999999</v>
      </c>
      <c r="G130">
        <v>1339.4954834</v>
      </c>
      <c r="H130">
        <v>1337.1516113</v>
      </c>
      <c r="I130">
        <v>1324.1391602000001</v>
      </c>
      <c r="J130">
        <v>1321.4091797000001</v>
      </c>
      <c r="K130">
        <v>1650</v>
      </c>
      <c r="L130">
        <v>0</v>
      </c>
      <c r="M130">
        <v>0</v>
      </c>
      <c r="N130">
        <v>1650</v>
      </c>
    </row>
    <row r="131" spans="1:14" x14ac:dyDescent="0.25">
      <c r="A131">
        <v>4.1620689999999998</v>
      </c>
      <c r="B131" s="1">
        <f>DATE(2010,5,5) + TIME(3,53,22)</f>
        <v>40303.162060185183</v>
      </c>
      <c r="C131">
        <v>80</v>
      </c>
      <c r="D131">
        <v>79.870521545000003</v>
      </c>
      <c r="E131">
        <v>40</v>
      </c>
      <c r="F131">
        <v>14.999650001999999</v>
      </c>
      <c r="G131">
        <v>1339.4920654</v>
      </c>
      <c r="H131">
        <v>1337.1466064000001</v>
      </c>
      <c r="I131">
        <v>1324.1394043</v>
      </c>
      <c r="J131">
        <v>1321.4093018000001</v>
      </c>
      <c r="K131">
        <v>1650</v>
      </c>
      <c r="L131">
        <v>0</v>
      </c>
      <c r="M131">
        <v>0</v>
      </c>
      <c r="N131">
        <v>1650</v>
      </c>
    </row>
    <row r="132" spans="1:14" x14ac:dyDescent="0.25">
      <c r="A132">
        <v>4.2409559999999997</v>
      </c>
      <c r="B132" s="1">
        <f>DATE(2010,5,5) + TIME(5,46,58)</f>
        <v>40303.240949074076</v>
      </c>
      <c r="C132">
        <v>80</v>
      </c>
      <c r="D132">
        <v>79.879463196000003</v>
      </c>
      <c r="E132">
        <v>40</v>
      </c>
      <c r="F132">
        <v>14.999650955</v>
      </c>
      <c r="G132">
        <v>1339.4882812000001</v>
      </c>
      <c r="H132">
        <v>1337.1413574000001</v>
      </c>
      <c r="I132">
        <v>1324.1396483999999</v>
      </c>
      <c r="J132">
        <v>1321.4094238</v>
      </c>
      <c r="K132">
        <v>1650</v>
      </c>
      <c r="L132">
        <v>0</v>
      </c>
      <c r="M132">
        <v>0</v>
      </c>
      <c r="N132">
        <v>1650</v>
      </c>
    </row>
    <row r="133" spans="1:14" x14ac:dyDescent="0.25">
      <c r="A133">
        <v>4.3212900000000003</v>
      </c>
      <c r="B133" s="1">
        <f>DATE(2010,5,5) + TIME(7,42,39)</f>
        <v>40303.321284722224</v>
      </c>
      <c r="C133">
        <v>80</v>
      </c>
      <c r="D133">
        <v>79.887298584000007</v>
      </c>
      <c r="E133">
        <v>40</v>
      </c>
      <c r="F133">
        <v>14.999652863</v>
      </c>
      <c r="G133">
        <v>1339.4841309000001</v>
      </c>
      <c r="H133">
        <v>1337.1358643000001</v>
      </c>
      <c r="I133">
        <v>1324.1397704999999</v>
      </c>
      <c r="J133">
        <v>1321.4094238</v>
      </c>
      <c r="K133">
        <v>1650</v>
      </c>
      <c r="L133">
        <v>0</v>
      </c>
      <c r="M133">
        <v>0</v>
      </c>
      <c r="N133">
        <v>1650</v>
      </c>
    </row>
    <row r="134" spans="1:14" x14ac:dyDescent="0.25">
      <c r="A134">
        <v>4.4032489999999997</v>
      </c>
      <c r="B134" s="1">
        <f>DATE(2010,5,5) + TIME(9,40,40)</f>
        <v>40303.403240740743</v>
      </c>
      <c r="C134">
        <v>80</v>
      </c>
      <c r="D134">
        <v>79.894149780000006</v>
      </c>
      <c r="E134">
        <v>40</v>
      </c>
      <c r="F134">
        <v>14.999653816</v>
      </c>
      <c r="G134">
        <v>1339.4796143000001</v>
      </c>
      <c r="H134">
        <v>1337.130249</v>
      </c>
      <c r="I134">
        <v>1324.1400146000001</v>
      </c>
      <c r="J134">
        <v>1321.4095459</v>
      </c>
      <c r="K134">
        <v>1650</v>
      </c>
      <c r="L134">
        <v>0</v>
      </c>
      <c r="M134">
        <v>0</v>
      </c>
      <c r="N134">
        <v>1650</v>
      </c>
    </row>
    <row r="135" spans="1:14" x14ac:dyDescent="0.25">
      <c r="A135">
        <v>4.486961</v>
      </c>
      <c r="B135" s="1">
        <f>DATE(2010,5,5) + TIME(11,41,13)</f>
        <v>40303.486956018518</v>
      </c>
      <c r="C135">
        <v>80</v>
      </c>
      <c r="D135">
        <v>79.900146484000004</v>
      </c>
      <c r="E135">
        <v>40</v>
      </c>
      <c r="F135">
        <v>14.999654769999999</v>
      </c>
      <c r="G135">
        <v>1339.4736327999999</v>
      </c>
      <c r="H135">
        <v>1337.1235352000001</v>
      </c>
      <c r="I135">
        <v>1324.1402588000001</v>
      </c>
      <c r="J135">
        <v>1321.409668</v>
      </c>
      <c r="K135">
        <v>1650</v>
      </c>
      <c r="L135">
        <v>0</v>
      </c>
      <c r="M135">
        <v>0</v>
      </c>
      <c r="N135">
        <v>1650</v>
      </c>
    </row>
    <row r="136" spans="1:14" x14ac:dyDescent="0.25">
      <c r="A136">
        <v>4.5726089999999999</v>
      </c>
      <c r="B136" s="1">
        <f>DATE(2010,5,5) + TIME(13,44,33)</f>
        <v>40303.572604166664</v>
      </c>
      <c r="C136">
        <v>80</v>
      </c>
      <c r="D136">
        <v>79.905395507999998</v>
      </c>
      <c r="E136">
        <v>40</v>
      </c>
      <c r="F136">
        <v>14.999656677000001</v>
      </c>
      <c r="G136">
        <v>1339.4664307</v>
      </c>
      <c r="H136">
        <v>1337.1159668</v>
      </c>
      <c r="I136">
        <v>1324.1403809000001</v>
      </c>
      <c r="J136">
        <v>1321.4097899999999</v>
      </c>
      <c r="K136">
        <v>1650</v>
      </c>
      <c r="L136">
        <v>0</v>
      </c>
      <c r="M136">
        <v>0</v>
      </c>
      <c r="N136">
        <v>1650</v>
      </c>
    </row>
    <row r="137" spans="1:14" x14ac:dyDescent="0.25">
      <c r="A137">
        <v>4.6603859999999999</v>
      </c>
      <c r="B137" s="1">
        <f>DATE(2010,5,5) + TIME(15,50,57)</f>
        <v>40303.660381944443</v>
      </c>
      <c r="C137">
        <v>80</v>
      </c>
      <c r="D137">
        <v>79.909973144999995</v>
      </c>
      <c r="E137">
        <v>40</v>
      </c>
      <c r="F137">
        <v>14.999657631</v>
      </c>
      <c r="G137">
        <v>1339.4589844</v>
      </c>
      <c r="H137">
        <v>1337.1081543</v>
      </c>
      <c r="I137">
        <v>1324.140625</v>
      </c>
      <c r="J137">
        <v>1321.4100341999999</v>
      </c>
      <c r="K137">
        <v>1650</v>
      </c>
      <c r="L137">
        <v>0</v>
      </c>
      <c r="M137">
        <v>0</v>
      </c>
      <c r="N137">
        <v>1650</v>
      </c>
    </row>
    <row r="138" spans="1:14" x14ac:dyDescent="0.25">
      <c r="A138">
        <v>4.7504989999999996</v>
      </c>
      <c r="B138" s="1">
        <f>DATE(2010,5,5) + TIME(18,0,43)</f>
        <v>40303.750497685185</v>
      </c>
      <c r="C138">
        <v>80</v>
      </c>
      <c r="D138">
        <v>79.913970946999996</v>
      </c>
      <c r="E138">
        <v>40</v>
      </c>
      <c r="F138">
        <v>14.999659538</v>
      </c>
      <c r="G138">
        <v>1339.4512939000001</v>
      </c>
      <c r="H138">
        <v>1337.1003418</v>
      </c>
      <c r="I138">
        <v>1324.1408690999999</v>
      </c>
      <c r="J138">
        <v>1321.4101562000001</v>
      </c>
      <c r="K138">
        <v>1650</v>
      </c>
      <c r="L138">
        <v>0</v>
      </c>
      <c r="M138">
        <v>0</v>
      </c>
      <c r="N138">
        <v>1650</v>
      </c>
    </row>
    <row r="139" spans="1:14" x14ac:dyDescent="0.25">
      <c r="A139">
        <v>4.8431340000000001</v>
      </c>
      <c r="B139" s="1">
        <f>DATE(2010,5,5) + TIME(20,14,6)</f>
        <v>40303.843124999999</v>
      </c>
      <c r="C139">
        <v>80</v>
      </c>
      <c r="D139">
        <v>79.917457580999994</v>
      </c>
      <c r="E139">
        <v>40</v>
      </c>
      <c r="F139">
        <v>14.999660492</v>
      </c>
      <c r="G139">
        <v>1339.4433594</v>
      </c>
      <c r="H139">
        <v>1337.0921631000001</v>
      </c>
      <c r="I139">
        <v>1324.1409911999999</v>
      </c>
      <c r="J139">
        <v>1321.4102783000001</v>
      </c>
      <c r="K139">
        <v>1650</v>
      </c>
      <c r="L139">
        <v>0</v>
      </c>
      <c r="M139">
        <v>0</v>
      </c>
      <c r="N139">
        <v>1650</v>
      </c>
    </row>
    <row r="140" spans="1:14" x14ac:dyDescent="0.25">
      <c r="A140">
        <v>4.9382400000000004</v>
      </c>
      <c r="B140" s="1">
        <f>DATE(2010,5,5) + TIME(22,31,3)</f>
        <v>40303.93822916667</v>
      </c>
      <c r="C140">
        <v>80</v>
      </c>
      <c r="D140">
        <v>79.920494079999997</v>
      </c>
      <c r="E140">
        <v>40</v>
      </c>
      <c r="F140">
        <v>14.999662399</v>
      </c>
      <c r="G140">
        <v>1339.4350586</v>
      </c>
      <c r="H140">
        <v>1337.0839844</v>
      </c>
      <c r="I140">
        <v>1324.1412353999999</v>
      </c>
      <c r="J140">
        <v>1321.4104004000001</v>
      </c>
      <c r="K140">
        <v>1650</v>
      </c>
      <c r="L140">
        <v>0</v>
      </c>
      <c r="M140">
        <v>0</v>
      </c>
      <c r="N140">
        <v>1650</v>
      </c>
    </row>
    <row r="141" spans="1:14" x14ac:dyDescent="0.25">
      <c r="A141">
        <v>5.0360630000000004</v>
      </c>
      <c r="B141" s="1">
        <f>DATE(2010,5,6) + TIME(0,51,55)</f>
        <v>40304.036053240743</v>
      </c>
      <c r="C141">
        <v>80</v>
      </c>
      <c r="D141">
        <v>79.923126221000004</v>
      </c>
      <c r="E141">
        <v>40</v>
      </c>
      <c r="F141">
        <v>14.999663353000001</v>
      </c>
      <c r="G141">
        <v>1339.4265137</v>
      </c>
      <c r="H141">
        <v>1337.0755615</v>
      </c>
      <c r="I141">
        <v>1324.1414795000001</v>
      </c>
      <c r="J141">
        <v>1321.4105225000001</v>
      </c>
      <c r="K141">
        <v>1650</v>
      </c>
      <c r="L141">
        <v>0</v>
      </c>
      <c r="M141">
        <v>0</v>
      </c>
      <c r="N141">
        <v>1650</v>
      </c>
    </row>
    <row r="142" spans="1:14" x14ac:dyDescent="0.25">
      <c r="A142">
        <v>5.1368689999999999</v>
      </c>
      <c r="B142" s="1">
        <f>DATE(2010,5,6) + TIME(3,17,5)</f>
        <v>40304.136863425927</v>
      </c>
      <c r="C142">
        <v>80</v>
      </c>
      <c r="D142">
        <v>79.925415039000001</v>
      </c>
      <c r="E142">
        <v>40</v>
      </c>
      <c r="F142">
        <v>14.99966526</v>
      </c>
      <c r="G142">
        <v>1339.4177245999999</v>
      </c>
      <c r="H142">
        <v>1337.0670166</v>
      </c>
      <c r="I142">
        <v>1324.1417236</v>
      </c>
      <c r="J142">
        <v>1321.4106445</v>
      </c>
      <c r="K142">
        <v>1650</v>
      </c>
      <c r="L142">
        <v>0</v>
      </c>
      <c r="M142">
        <v>0</v>
      </c>
      <c r="N142">
        <v>1650</v>
      </c>
    </row>
    <row r="143" spans="1:14" x14ac:dyDescent="0.25">
      <c r="A143">
        <v>5.240348</v>
      </c>
      <c r="B143" s="1">
        <f>DATE(2010,5,6) + TIME(5,46,6)</f>
        <v>40304.240347222221</v>
      </c>
      <c r="C143">
        <v>80</v>
      </c>
      <c r="D143">
        <v>79.927391052000004</v>
      </c>
      <c r="E143">
        <v>40</v>
      </c>
      <c r="F143">
        <v>14.999666213999999</v>
      </c>
      <c r="G143">
        <v>1339.4085693</v>
      </c>
      <c r="H143">
        <v>1337.0582274999999</v>
      </c>
      <c r="I143">
        <v>1324.1419678</v>
      </c>
      <c r="J143">
        <v>1321.4107666</v>
      </c>
      <c r="K143">
        <v>1650</v>
      </c>
      <c r="L143">
        <v>0</v>
      </c>
      <c r="M143">
        <v>0</v>
      </c>
      <c r="N143">
        <v>1650</v>
      </c>
    </row>
    <row r="144" spans="1:14" x14ac:dyDescent="0.25">
      <c r="A144">
        <v>5.3459009999999996</v>
      </c>
      <c r="B144" s="1">
        <f>DATE(2010,5,6) + TIME(8,18,5)</f>
        <v>40304.345891203702</v>
      </c>
      <c r="C144">
        <v>80</v>
      </c>
      <c r="D144">
        <v>79.929092406999999</v>
      </c>
      <c r="E144">
        <v>40</v>
      </c>
      <c r="F144">
        <v>14.999667168</v>
      </c>
      <c r="G144">
        <v>1339.3992920000001</v>
      </c>
      <c r="H144">
        <v>1337.0493164</v>
      </c>
      <c r="I144">
        <v>1324.1422118999999</v>
      </c>
      <c r="J144">
        <v>1321.4110106999999</v>
      </c>
      <c r="K144">
        <v>1650</v>
      </c>
      <c r="L144">
        <v>0</v>
      </c>
      <c r="M144">
        <v>0</v>
      </c>
      <c r="N144">
        <v>1650</v>
      </c>
    </row>
    <row r="145" spans="1:14" x14ac:dyDescent="0.25">
      <c r="A145">
        <v>5.398682</v>
      </c>
      <c r="B145" s="1">
        <f>DATE(2010,5,6) + TIME(9,34,6)</f>
        <v>40304.398680555554</v>
      </c>
      <c r="C145">
        <v>80</v>
      </c>
      <c r="D145">
        <v>79.929870605000005</v>
      </c>
      <c r="E145">
        <v>40</v>
      </c>
      <c r="F145">
        <v>14.999668120999999</v>
      </c>
      <c r="G145">
        <v>1339.3897704999999</v>
      </c>
      <c r="H145">
        <v>1337.0400391000001</v>
      </c>
      <c r="I145">
        <v>1324.1423339999999</v>
      </c>
      <c r="J145">
        <v>1321.4111327999999</v>
      </c>
      <c r="K145">
        <v>1650</v>
      </c>
      <c r="L145">
        <v>0</v>
      </c>
      <c r="M145">
        <v>0</v>
      </c>
      <c r="N145">
        <v>1650</v>
      </c>
    </row>
    <row r="146" spans="1:14" x14ac:dyDescent="0.25">
      <c r="A146">
        <v>5.4514639999999996</v>
      </c>
      <c r="B146" s="1">
        <f>DATE(2010,5,6) + TIME(10,50,6)</f>
        <v>40304.451458333337</v>
      </c>
      <c r="C146">
        <v>80</v>
      </c>
      <c r="D146">
        <v>79.930580139</v>
      </c>
      <c r="E146">
        <v>40</v>
      </c>
      <c r="F146">
        <v>14.999669075</v>
      </c>
      <c r="G146">
        <v>1339.3850098</v>
      </c>
      <c r="H146">
        <v>1337.0355225000001</v>
      </c>
      <c r="I146">
        <v>1324.1424560999999</v>
      </c>
      <c r="J146">
        <v>1321.4111327999999</v>
      </c>
      <c r="K146">
        <v>1650</v>
      </c>
      <c r="L146">
        <v>0</v>
      </c>
      <c r="M146">
        <v>0</v>
      </c>
      <c r="N146">
        <v>1650</v>
      </c>
    </row>
    <row r="147" spans="1:14" x14ac:dyDescent="0.25">
      <c r="A147">
        <v>5.5042450000000001</v>
      </c>
      <c r="B147" s="1">
        <f>DATE(2010,5,6) + TIME(12,6,6)</f>
        <v>40304.504236111112</v>
      </c>
      <c r="C147">
        <v>80</v>
      </c>
      <c r="D147">
        <v>79.931228637999993</v>
      </c>
      <c r="E147">
        <v>40</v>
      </c>
      <c r="F147">
        <v>14.999670029000001</v>
      </c>
      <c r="G147">
        <v>1339.3803711</v>
      </c>
      <c r="H147">
        <v>1337.0311279</v>
      </c>
      <c r="I147">
        <v>1324.1425781</v>
      </c>
      <c r="J147">
        <v>1321.4112548999999</v>
      </c>
      <c r="K147">
        <v>1650</v>
      </c>
      <c r="L147">
        <v>0</v>
      </c>
      <c r="M147">
        <v>0</v>
      </c>
      <c r="N147">
        <v>1650</v>
      </c>
    </row>
    <row r="148" spans="1:14" x14ac:dyDescent="0.25">
      <c r="A148">
        <v>5.5570259999999996</v>
      </c>
      <c r="B148" s="1">
        <f>DATE(2010,5,6) + TIME(13,22,7)</f>
        <v>40304.557025462964</v>
      </c>
      <c r="C148">
        <v>80</v>
      </c>
      <c r="D148">
        <v>79.931823730000005</v>
      </c>
      <c r="E148">
        <v>40</v>
      </c>
      <c r="F148">
        <v>14.999670029000001</v>
      </c>
      <c r="G148">
        <v>1339.3756103999999</v>
      </c>
      <c r="H148">
        <v>1337.0267334</v>
      </c>
      <c r="I148">
        <v>1324.1427002</v>
      </c>
      <c r="J148">
        <v>1321.4113769999999</v>
      </c>
      <c r="K148">
        <v>1650</v>
      </c>
      <c r="L148">
        <v>0</v>
      </c>
      <c r="M148">
        <v>0</v>
      </c>
      <c r="N148">
        <v>1650</v>
      </c>
    </row>
    <row r="149" spans="1:14" x14ac:dyDescent="0.25">
      <c r="A149">
        <v>5.6098080000000001</v>
      </c>
      <c r="B149" s="1">
        <f>DATE(2010,5,6) + TIME(14,38,7)</f>
        <v>40304.609803240739</v>
      </c>
      <c r="C149">
        <v>80</v>
      </c>
      <c r="D149">
        <v>79.932365417</v>
      </c>
      <c r="E149">
        <v>40</v>
      </c>
      <c r="F149">
        <v>14.999670982</v>
      </c>
      <c r="G149">
        <v>1339.3709716999999</v>
      </c>
      <c r="H149">
        <v>1337.0223389</v>
      </c>
      <c r="I149">
        <v>1324.1428223</v>
      </c>
      <c r="J149">
        <v>1321.4113769999999</v>
      </c>
      <c r="K149">
        <v>1650</v>
      </c>
      <c r="L149">
        <v>0</v>
      </c>
      <c r="M149">
        <v>0</v>
      </c>
      <c r="N149">
        <v>1650</v>
      </c>
    </row>
    <row r="150" spans="1:14" x14ac:dyDescent="0.25">
      <c r="A150">
        <v>5.6625889999999997</v>
      </c>
      <c r="B150" s="1">
        <f>DATE(2010,5,6) + TIME(15,54,7)</f>
        <v>40304.662581018521</v>
      </c>
      <c r="C150">
        <v>80</v>
      </c>
      <c r="D150">
        <v>79.932868958</v>
      </c>
      <c r="E150">
        <v>40</v>
      </c>
      <c r="F150">
        <v>14.999671936</v>
      </c>
      <c r="G150">
        <v>1339.3662108999999</v>
      </c>
      <c r="H150">
        <v>1337.0179443</v>
      </c>
      <c r="I150">
        <v>1324.1429443</v>
      </c>
      <c r="J150">
        <v>1321.411499</v>
      </c>
      <c r="K150">
        <v>1650</v>
      </c>
      <c r="L150">
        <v>0</v>
      </c>
      <c r="M150">
        <v>0</v>
      </c>
      <c r="N150">
        <v>1650</v>
      </c>
    </row>
    <row r="151" spans="1:14" x14ac:dyDescent="0.25">
      <c r="A151">
        <v>5.7153710000000002</v>
      </c>
      <c r="B151" s="1">
        <f>DATE(2010,5,6) + TIME(17,10,8)</f>
        <v>40304.715370370373</v>
      </c>
      <c r="C151">
        <v>80</v>
      </c>
      <c r="D151">
        <v>79.933334350999999</v>
      </c>
      <c r="E151">
        <v>40</v>
      </c>
      <c r="F151">
        <v>14.999672889999999</v>
      </c>
      <c r="G151">
        <v>1339.3615723</v>
      </c>
      <c r="H151">
        <v>1337.0136719</v>
      </c>
      <c r="I151">
        <v>1324.1430664</v>
      </c>
      <c r="J151">
        <v>1321.411499</v>
      </c>
      <c r="K151">
        <v>1650</v>
      </c>
      <c r="L151">
        <v>0</v>
      </c>
      <c r="M151">
        <v>0</v>
      </c>
      <c r="N151">
        <v>1650</v>
      </c>
    </row>
    <row r="152" spans="1:14" x14ac:dyDescent="0.25">
      <c r="A152">
        <v>5.7681519999999997</v>
      </c>
      <c r="B152" s="1">
        <f>DATE(2010,5,6) + TIME(18,26,8)</f>
        <v>40304.768148148149</v>
      </c>
      <c r="C152">
        <v>80</v>
      </c>
      <c r="D152">
        <v>79.933753967000001</v>
      </c>
      <c r="E152">
        <v>40</v>
      </c>
      <c r="F152">
        <v>14.999672889999999</v>
      </c>
      <c r="G152">
        <v>1339.3569336</v>
      </c>
      <c r="H152">
        <v>1337.0093993999999</v>
      </c>
      <c r="I152">
        <v>1324.1431885</v>
      </c>
      <c r="J152">
        <v>1321.4116211</v>
      </c>
      <c r="K152">
        <v>1650</v>
      </c>
      <c r="L152">
        <v>0</v>
      </c>
      <c r="M152">
        <v>0</v>
      </c>
      <c r="N152">
        <v>1650</v>
      </c>
    </row>
    <row r="153" spans="1:14" x14ac:dyDescent="0.25">
      <c r="A153">
        <v>5.8737149999999998</v>
      </c>
      <c r="B153" s="1">
        <f>DATE(2010,5,6) + TIME(20,58,8)</f>
        <v>40304.873703703706</v>
      </c>
      <c r="C153">
        <v>80</v>
      </c>
      <c r="D153">
        <v>79.934486389</v>
      </c>
      <c r="E153">
        <v>40</v>
      </c>
      <c r="F153">
        <v>14.999674797000001</v>
      </c>
      <c r="G153">
        <v>1339.3522949000001</v>
      </c>
      <c r="H153">
        <v>1337.0053711</v>
      </c>
      <c r="I153">
        <v>1324.1433105000001</v>
      </c>
      <c r="J153">
        <v>1321.4117432</v>
      </c>
      <c r="K153">
        <v>1650</v>
      </c>
      <c r="L153">
        <v>0</v>
      </c>
      <c r="M153">
        <v>0</v>
      </c>
      <c r="N153">
        <v>1650</v>
      </c>
    </row>
    <row r="154" spans="1:14" x14ac:dyDescent="0.25">
      <c r="A154">
        <v>5.9794090000000004</v>
      </c>
      <c r="B154" s="1">
        <f>DATE(2010,5,6) + TIME(23,30,20)</f>
        <v>40304.979398148149</v>
      </c>
      <c r="C154">
        <v>80</v>
      </c>
      <c r="D154">
        <v>79.935104370000005</v>
      </c>
      <c r="E154">
        <v>40</v>
      </c>
      <c r="F154">
        <v>14.999675751</v>
      </c>
      <c r="G154">
        <v>1339.3431396000001</v>
      </c>
      <c r="H154">
        <v>1336.9969481999999</v>
      </c>
      <c r="I154">
        <v>1324.1435547000001</v>
      </c>
      <c r="J154">
        <v>1321.4118652</v>
      </c>
      <c r="K154">
        <v>1650</v>
      </c>
      <c r="L154">
        <v>0</v>
      </c>
      <c r="M154">
        <v>0</v>
      </c>
      <c r="N154">
        <v>1650</v>
      </c>
    </row>
    <row r="155" spans="1:14" x14ac:dyDescent="0.25">
      <c r="A155">
        <v>6.0857020000000004</v>
      </c>
      <c r="B155" s="1">
        <f>DATE(2010,5,7) + TIME(2,3,24)</f>
        <v>40305.085694444446</v>
      </c>
      <c r="C155">
        <v>80</v>
      </c>
      <c r="D155">
        <v>79.935646057</v>
      </c>
      <c r="E155">
        <v>40</v>
      </c>
      <c r="F155">
        <v>14.999676704000001</v>
      </c>
      <c r="G155">
        <v>1339.3338623</v>
      </c>
      <c r="H155">
        <v>1336.9887695</v>
      </c>
      <c r="I155">
        <v>1324.1437988</v>
      </c>
      <c r="J155">
        <v>1321.4119873</v>
      </c>
      <c r="K155">
        <v>1650</v>
      </c>
      <c r="L155">
        <v>0</v>
      </c>
      <c r="M155">
        <v>0</v>
      </c>
      <c r="N155">
        <v>1650</v>
      </c>
    </row>
    <row r="156" spans="1:14" x14ac:dyDescent="0.25">
      <c r="A156">
        <v>6.1927640000000004</v>
      </c>
      <c r="B156" s="1">
        <f>DATE(2010,5,7) + TIME(4,37,34)</f>
        <v>40305.192754629628</v>
      </c>
      <c r="C156">
        <v>80</v>
      </c>
      <c r="D156">
        <v>79.936119079999997</v>
      </c>
      <c r="E156">
        <v>40</v>
      </c>
      <c r="F156">
        <v>14.999678612</v>
      </c>
      <c r="G156">
        <v>1339.324707</v>
      </c>
      <c r="H156">
        <v>1336.9804687999999</v>
      </c>
      <c r="I156">
        <v>1324.144043</v>
      </c>
      <c r="J156">
        <v>1321.4122314000001</v>
      </c>
      <c r="K156">
        <v>1650</v>
      </c>
      <c r="L156">
        <v>0</v>
      </c>
      <c r="M156">
        <v>0</v>
      </c>
      <c r="N156">
        <v>1650</v>
      </c>
    </row>
    <row r="157" spans="1:14" x14ac:dyDescent="0.25">
      <c r="A157">
        <v>6.3007660000000003</v>
      </c>
      <c r="B157" s="1">
        <f>DATE(2010,5,7) + TIME(7,13,6)</f>
        <v>40305.300763888888</v>
      </c>
      <c r="C157">
        <v>80</v>
      </c>
      <c r="D157">
        <v>79.936523437999995</v>
      </c>
      <c r="E157">
        <v>40</v>
      </c>
      <c r="F157">
        <v>14.999679564999999</v>
      </c>
      <c r="G157">
        <v>1339.3154297000001</v>
      </c>
      <c r="H157">
        <v>1336.9722899999999</v>
      </c>
      <c r="I157">
        <v>1324.1442870999999</v>
      </c>
      <c r="J157">
        <v>1321.4123535000001</v>
      </c>
      <c r="K157">
        <v>1650</v>
      </c>
      <c r="L157">
        <v>0</v>
      </c>
      <c r="M157">
        <v>0</v>
      </c>
      <c r="N157">
        <v>1650</v>
      </c>
    </row>
    <row r="158" spans="1:14" x14ac:dyDescent="0.25">
      <c r="A158">
        <v>6.4098810000000004</v>
      </c>
      <c r="B158" s="1">
        <f>DATE(2010,5,7) + TIME(9,50,13)</f>
        <v>40305.409872685188</v>
      </c>
      <c r="C158">
        <v>80</v>
      </c>
      <c r="D158">
        <v>79.936882018999995</v>
      </c>
      <c r="E158">
        <v>40</v>
      </c>
      <c r="F158">
        <v>14.999680519</v>
      </c>
      <c r="G158">
        <v>1339.3062743999999</v>
      </c>
      <c r="H158">
        <v>1336.9642334</v>
      </c>
      <c r="I158">
        <v>1324.1445312000001</v>
      </c>
      <c r="J158">
        <v>1321.4124756000001</v>
      </c>
      <c r="K158">
        <v>1650</v>
      </c>
      <c r="L158">
        <v>0</v>
      </c>
      <c r="M158">
        <v>0</v>
      </c>
      <c r="N158">
        <v>1650</v>
      </c>
    </row>
    <row r="159" spans="1:14" x14ac:dyDescent="0.25">
      <c r="A159">
        <v>6.5202859999999996</v>
      </c>
      <c r="B159" s="1">
        <f>DATE(2010,5,7) + TIME(12,29,12)</f>
        <v>40305.520277777781</v>
      </c>
      <c r="C159">
        <v>80</v>
      </c>
      <c r="D159">
        <v>79.937194824000002</v>
      </c>
      <c r="E159">
        <v>40</v>
      </c>
      <c r="F159">
        <v>14.999681473000001</v>
      </c>
      <c r="G159">
        <v>1339.2971190999999</v>
      </c>
      <c r="H159">
        <v>1336.9561768000001</v>
      </c>
      <c r="I159">
        <v>1324.1447754000001</v>
      </c>
      <c r="J159">
        <v>1321.4127197</v>
      </c>
      <c r="K159">
        <v>1650</v>
      </c>
      <c r="L159">
        <v>0</v>
      </c>
      <c r="M159">
        <v>0</v>
      </c>
      <c r="N159">
        <v>1650</v>
      </c>
    </row>
    <row r="160" spans="1:14" x14ac:dyDescent="0.25">
      <c r="A160">
        <v>6.6321649999999996</v>
      </c>
      <c r="B160" s="1">
        <f>DATE(2010,5,7) + TIME(15,10,19)</f>
        <v>40305.632164351853</v>
      </c>
      <c r="C160">
        <v>80</v>
      </c>
      <c r="D160">
        <v>79.937469481999997</v>
      </c>
      <c r="E160">
        <v>40</v>
      </c>
      <c r="F160">
        <v>14.99968338</v>
      </c>
      <c r="G160">
        <v>1339.2878418</v>
      </c>
      <c r="H160">
        <v>1336.9482422000001</v>
      </c>
      <c r="I160">
        <v>1324.1448975000001</v>
      </c>
      <c r="J160">
        <v>1321.4128418</v>
      </c>
      <c r="K160">
        <v>1650</v>
      </c>
      <c r="L160">
        <v>0</v>
      </c>
      <c r="M160">
        <v>0</v>
      </c>
      <c r="N160">
        <v>1650</v>
      </c>
    </row>
    <row r="161" spans="1:14" x14ac:dyDescent="0.25">
      <c r="A161">
        <v>6.7457089999999997</v>
      </c>
      <c r="B161" s="1">
        <f>DATE(2010,5,7) + TIME(17,53,49)</f>
        <v>40305.745706018519</v>
      </c>
      <c r="C161">
        <v>80</v>
      </c>
      <c r="D161">
        <v>79.937713622999993</v>
      </c>
      <c r="E161">
        <v>40</v>
      </c>
      <c r="F161">
        <v>14.999684333999999</v>
      </c>
      <c r="G161">
        <v>1339.2785644999999</v>
      </c>
      <c r="H161">
        <v>1336.9401855000001</v>
      </c>
      <c r="I161">
        <v>1324.1451416</v>
      </c>
      <c r="J161">
        <v>1321.4129639</v>
      </c>
      <c r="K161">
        <v>1650</v>
      </c>
      <c r="L161">
        <v>0</v>
      </c>
      <c r="M161">
        <v>0</v>
      </c>
      <c r="N161">
        <v>1650</v>
      </c>
    </row>
    <row r="162" spans="1:14" x14ac:dyDescent="0.25">
      <c r="A162">
        <v>6.8611190000000004</v>
      </c>
      <c r="B162" s="1">
        <f>DATE(2010,5,7) + TIME(20,40,0)</f>
        <v>40305.861111111109</v>
      </c>
      <c r="C162">
        <v>80</v>
      </c>
      <c r="D162">
        <v>79.937927246000001</v>
      </c>
      <c r="E162">
        <v>40</v>
      </c>
      <c r="F162">
        <v>14.999685287</v>
      </c>
      <c r="G162">
        <v>1339.2692870999999</v>
      </c>
      <c r="H162">
        <v>1336.932251</v>
      </c>
      <c r="I162">
        <v>1324.1453856999999</v>
      </c>
      <c r="J162">
        <v>1321.4130858999999</v>
      </c>
      <c r="K162">
        <v>1650</v>
      </c>
      <c r="L162">
        <v>0</v>
      </c>
      <c r="M162">
        <v>0</v>
      </c>
      <c r="N162">
        <v>1650</v>
      </c>
    </row>
    <row r="163" spans="1:14" x14ac:dyDescent="0.25">
      <c r="A163">
        <v>6.978637</v>
      </c>
      <c r="B163" s="1">
        <f>DATE(2010,5,7) + TIME(23,29,14)</f>
        <v>40305.978634259256</v>
      </c>
      <c r="C163">
        <v>80</v>
      </c>
      <c r="D163">
        <v>79.938110351999995</v>
      </c>
      <c r="E163">
        <v>40</v>
      </c>
      <c r="F163">
        <v>14.999686240999999</v>
      </c>
      <c r="G163">
        <v>1339.2600098</v>
      </c>
      <c r="H163">
        <v>1336.9243164</v>
      </c>
      <c r="I163">
        <v>1324.1456298999999</v>
      </c>
      <c r="J163">
        <v>1321.4133300999999</v>
      </c>
      <c r="K163">
        <v>1650</v>
      </c>
      <c r="L163">
        <v>0</v>
      </c>
      <c r="M163">
        <v>0</v>
      </c>
      <c r="N163">
        <v>1650</v>
      </c>
    </row>
    <row r="164" spans="1:14" x14ac:dyDescent="0.25">
      <c r="A164">
        <v>7.0984870000000004</v>
      </c>
      <c r="B164" s="1">
        <f>DATE(2010,5,8) + TIME(2,21,49)</f>
        <v>40306.098483796297</v>
      </c>
      <c r="C164">
        <v>80</v>
      </c>
      <c r="D164">
        <v>79.938278198000006</v>
      </c>
      <c r="E164">
        <v>40</v>
      </c>
      <c r="F164">
        <v>14.999688148000001</v>
      </c>
      <c r="G164">
        <v>1339.2506103999999</v>
      </c>
      <c r="H164">
        <v>1336.9163818</v>
      </c>
      <c r="I164">
        <v>1324.145874</v>
      </c>
      <c r="J164">
        <v>1321.4134521000001</v>
      </c>
      <c r="K164">
        <v>1650</v>
      </c>
      <c r="L164">
        <v>0</v>
      </c>
      <c r="M164">
        <v>0</v>
      </c>
      <c r="N164">
        <v>1650</v>
      </c>
    </row>
    <row r="165" spans="1:14" x14ac:dyDescent="0.25">
      <c r="A165">
        <v>7.2208930000000002</v>
      </c>
      <c r="B165" s="1">
        <f>DATE(2010,5,8) + TIME(5,18,5)</f>
        <v>40306.220891203702</v>
      </c>
      <c r="C165">
        <v>80</v>
      </c>
      <c r="D165">
        <v>79.938423157000003</v>
      </c>
      <c r="E165">
        <v>40</v>
      </c>
      <c r="F165">
        <v>14.999689102</v>
      </c>
      <c r="G165">
        <v>1339.2410889</v>
      </c>
      <c r="H165">
        <v>1336.9084473</v>
      </c>
      <c r="I165">
        <v>1324.1462402</v>
      </c>
      <c r="J165">
        <v>1321.4136963000001</v>
      </c>
      <c r="K165">
        <v>1650</v>
      </c>
      <c r="L165">
        <v>0</v>
      </c>
      <c r="M165">
        <v>0</v>
      </c>
      <c r="N165">
        <v>1650</v>
      </c>
    </row>
    <row r="166" spans="1:14" x14ac:dyDescent="0.25">
      <c r="A166">
        <v>7.3461210000000001</v>
      </c>
      <c r="B166" s="1">
        <f>DATE(2010,5,8) + TIME(8,18,24)</f>
        <v>40306.34611111111</v>
      </c>
      <c r="C166">
        <v>80</v>
      </c>
      <c r="D166">
        <v>79.938545227000006</v>
      </c>
      <c r="E166">
        <v>40</v>
      </c>
      <c r="F166">
        <v>14.999690056</v>
      </c>
      <c r="G166">
        <v>1339.2314452999999</v>
      </c>
      <c r="H166">
        <v>1336.9003906</v>
      </c>
      <c r="I166">
        <v>1324.1464844</v>
      </c>
      <c r="J166">
        <v>1321.4138184000001</v>
      </c>
      <c r="K166">
        <v>1650</v>
      </c>
      <c r="L166">
        <v>0</v>
      </c>
      <c r="M166">
        <v>0</v>
      </c>
      <c r="N166">
        <v>1650</v>
      </c>
    </row>
    <row r="167" spans="1:14" x14ac:dyDescent="0.25">
      <c r="A167">
        <v>7.4743899999999996</v>
      </c>
      <c r="B167" s="1">
        <f>DATE(2010,5,8) + TIME(11,23,7)</f>
        <v>40306.474386574075</v>
      </c>
      <c r="C167">
        <v>80</v>
      </c>
      <c r="D167">
        <v>79.938659668</v>
      </c>
      <c r="E167">
        <v>40</v>
      </c>
      <c r="F167">
        <v>14.999691963</v>
      </c>
      <c r="G167">
        <v>1339.2218018000001</v>
      </c>
      <c r="H167">
        <v>1336.8924560999999</v>
      </c>
      <c r="I167">
        <v>1324.1467285000001</v>
      </c>
      <c r="J167">
        <v>1321.4139404</v>
      </c>
      <c r="K167">
        <v>1650</v>
      </c>
      <c r="L167">
        <v>0</v>
      </c>
      <c r="M167">
        <v>0</v>
      </c>
      <c r="N167">
        <v>1650</v>
      </c>
    </row>
    <row r="168" spans="1:14" x14ac:dyDescent="0.25">
      <c r="A168">
        <v>7.6052999999999997</v>
      </c>
      <c r="B168" s="1">
        <f>DATE(2010,5,8) + TIME(14,31,37)</f>
        <v>40306.60528935185</v>
      </c>
      <c r="C168">
        <v>80</v>
      </c>
      <c r="D168">
        <v>79.938751221000004</v>
      </c>
      <c r="E168">
        <v>40</v>
      </c>
      <c r="F168">
        <v>14.999692917000001</v>
      </c>
      <c r="G168">
        <v>1339.2120361</v>
      </c>
      <c r="H168">
        <v>1336.8843993999999</v>
      </c>
      <c r="I168">
        <v>1324.1469727000001</v>
      </c>
      <c r="J168">
        <v>1321.4141846</v>
      </c>
      <c r="K168">
        <v>1650</v>
      </c>
      <c r="L168">
        <v>0</v>
      </c>
      <c r="M168">
        <v>0</v>
      </c>
      <c r="N168">
        <v>1650</v>
      </c>
    </row>
    <row r="169" spans="1:14" x14ac:dyDescent="0.25">
      <c r="A169">
        <v>7.7391399999999999</v>
      </c>
      <c r="B169" s="1">
        <f>DATE(2010,5,8) + TIME(17,44,21)</f>
        <v>40306.739131944443</v>
      </c>
      <c r="C169">
        <v>80</v>
      </c>
      <c r="D169">
        <v>79.938835143999995</v>
      </c>
      <c r="E169">
        <v>40</v>
      </c>
      <c r="F169">
        <v>14.999693871</v>
      </c>
      <c r="G169">
        <v>1339.2021483999999</v>
      </c>
      <c r="H169">
        <v>1336.8763428</v>
      </c>
      <c r="I169">
        <v>1324.1472168</v>
      </c>
      <c r="J169">
        <v>1321.4143065999999</v>
      </c>
      <c r="K169">
        <v>1650</v>
      </c>
      <c r="L169">
        <v>0</v>
      </c>
      <c r="M169">
        <v>0</v>
      </c>
      <c r="N169">
        <v>1650</v>
      </c>
    </row>
    <row r="170" spans="1:14" x14ac:dyDescent="0.25">
      <c r="A170">
        <v>7.876214</v>
      </c>
      <c r="B170" s="1">
        <f>DATE(2010,5,8) + TIME(21,1,44)</f>
        <v>40306.876203703701</v>
      </c>
      <c r="C170">
        <v>80</v>
      </c>
      <c r="D170">
        <v>79.938903808999996</v>
      </c>
      <c r="E170">
        <v>40</v>
      </c>
      <c r="F170">
        <v>14.999695778</v>
      </c>
      <c r="G170">
        <v>1339.1922606999999</v>
      </c>
      <c r="H170">
        <v>1336.8681641000001</v>
      </c>
      <c r="I170">
        <v>1324.1475829999999</v>
      </c>
      <c r="J170">
        <v>1321.4145507999999</v>
      </c>
      <c r="K170">
        <v>1650</v>
      </c>
      <c r="L170">
        <v>0</v>
      </c>
      <c r="M170">
        <v>0</v>
      </c>
      <c r="N170">
        <v>1650</v>
      </c>
    </row>
    <row r="171" spans="1:14" x14ac:dyDescent="0.25">
      <c r="A171">
        <v>7.9452540000000003</v>
      </c>
      <c r="B171" s="1">
        <f>DATE(2010,5,8) + TIME(22,41,9)</f>
        <v>40306.945243055554</v>
      </c>
      <c r="C171">
        <v>80</v>
      </c>
      <c r="D171">
        <v>79.938934325999995</v>
      </c>
      <c r="E171">
        <v>40</v>
      </c>
      <c r="F171">
        <v>14.999695778</v>
      </c>
      <c r="G171">
        <v>1339.1820068</v>
      </c>
      <c r="H171">
        <v>1336.8598632999999</v>
      </c>
      <c r="I171">
        <v>1324.1478271000001</v>
      </c>
      <c r="J171">
        <v>1321.4146728999999</v>
      </c>
      <c r="K171">
        <v>1650</v>
      </c>
      <c r="L171">
        <v>0</v>
      </c>
      <c r="M171">
        <v>0</v>
      </c>
      <c r="N171">
        <v>1650</v>
      </c>
    </row>
    <row r="172" spans="1:14" x14ac:dyDescent="0.25">
      <c r="A172">
        <v>8.0142939999999996</v>
      </c>
      <c r="B172" s="1">
        <f>DATE(2010,5,9) + TIME(0,20,34)</f>
        <v>40307.014282407406</v>
      </c>
      <c r="C172">
        <v>80</v>
      </c>
      <c r="D172">
        <v>79.938957213999998</v>
      </c>
      <c r="E172">
        <v>40</v>
      </c>
      <c r="F172">
        <v>14.999696732</v>
      </c>
      <c r="G172">
        <v>1339.1770019999999</v>
      </c>
      <c r="H172">
        <v>1336.8557129000001</v>
      </c>
      <c r="I172">
        <v>1324.1479492000001</v>
      </c>
      <c r="J172">
        <v>1321.4147949000001</v>
      </c>
      <c r="K172">
        <v>1650</v>
      </c>
      <c r="L172">
        <v>0</v>
      </c>
      <c r="M172">
        <v>0</v>
      </c>
      <c r="N172">
        <v>1650</v>
      </c>
    </row>
    <row r="173" spans="1:14" x14ac:dyDescent="0.25">
      <c r="A173">
        <v>8.0833340000000007</v>
      </c>
      <c r="B173" s="1">
        <f>DATE(2010,5,9) + TIME(2,0,0)</f>
        <v>40307.083333333336</v>
      </c>
      <c r="C173">
        <v>80</v>
      </c>
      <c r="D173">
        <v>79.938980103000006</v>
      </c>
      <c r="E173">
        <v>40</v>
      </c>
      <c r="F173">
        <v>14.999697684999999</v>
      </c>
      <c r="G173">
        <v>1339.1719971</v>
      </c>
      <c r="H173">
        <v>1336.8516846</v>
      </c>
      <c r="I173">
        <v>1324.1480713000001</v>
      </c>
      <c r="J173">
        <v>1321.4149170000001</v>
      </c>
      <c r="K173">
        <v>1650</v>
      </c>
      <c r="L173">
        <v>0</v>
      </c>
      <c r="M173">
        <v>0</v>
      </c>
      <c r="N173">
        <v>1650</v>
      </c>
    </row>
    <row r="174" spans="1:14" x14ac:dyDescent="0.25">
      <c r="A174">
        <v>8.152374</v>
      </c>
      <c r="B174" s="1">
        <f>DATE(2010,5,9) + TIME(3,39,25)</f>
        <v>40307.152372685188</v>
      </c>
      <c r="C174">
        <v>80</v>
      </c>
      <c r="D174">
        <v>79.939002990999995</v>
      </c>
      <c r="E174">
        <v>40</v>
      </c>
      <c r="F174">
        <v>14.999697684999999</v>
      </c>
      <c r="G174">
        <v>1339.1671143000001</v>
      </c>
      <c r="H174">
        <v>1336.8476562000001</v>
      </c>
      <c r="I174">
        <v>1324.1481934000001</v>
      </c>
      <c r="J174">
        <v>1321.4150391000001</v>
      </c>
      <c r="K174">
        <v>1650</v>
      </c>
      <c r="L174">
        <v>0</v>
      </c>
      <c r="M174">
        <v>0</v>
      </c>
      <c r="N174">
        <v>1650</v>
      </c>
    </row>
    <row r="175" spans="1:14" x14ac:dyDescent="0.25">
      <c r="A175">
        <v>8.2214139999999993</v>
      </c>
      <c r="B175" s="1">
        <f>DATE(2010,5,9) + TIME(5,18,50)</f>
        <v>40307.221412037034</v>
      </c>
      <c r="C175">
        <v>80</v>
      </c>
      <c r="D175">
        <v>79.939018250000004</v>
      </c>
      <c r="E175">
        <v>40</v>
      </c>
      <c r="F175">
        <v>14.999698639</v>
      </c>
      <c r="G175">
        <v>1339.1622314000001</v>
      </c>
      <c r="H175">
        <v>1336.84375</v>
      </c>
      <c r="I175">
        <v>1324.1483154</v>
      </c>
      <c r="J175">
        <v>1321.4150391000001</v>
      </c>
      <c r="K175">
        <v>1650</v>
      </c>
      <c r="L175">
        <v>0</v>
      </c>
      <c r="M175">
        <v>0</v>
      </c>
      <c r="N175">
        <v>1650</v>
      </c>
    </row>
    <row r="176" spans="1:14" x14ac:dyDescent="0.25">
      <c r="A176">
        <v>8.2904540000000004</v>
      </c>
      <c r="B176" s="1">
        <f>DATE(2010,5,9) + TIME(6,58,15)</f>
        <v>40307.290451388886</v>
      </c>
      <c r="C176">
        <v>80</v>
      </c>
      <c r="D176">
        <v>79.939033507999994</v>
      </c>
      <c r="E176">
        <v>40</v>
      </c>
      <c r="F176">
        <v>14.999699593000001</v>
      </c>
      <c r="G176">
        <v>1339.1573486</v>
      </c>
      <c r="H176">
        <v>1336.8398437999999</v>
      </c>
      <c r="I176">
        <v>1324.1484375</v>
      </c>
      <c r="J176">
        <v>1321.4151611</v>
      </c>
      <c r="K176">
        <v>1650</v>
      </c>
      <c r="L176">
        <v>0</v>
      </c>
      <c r="M176">
        <v>0</v>
      </c>
      <c r="N176">
        <v>1650</v>
      </c>
    </row>
    <row r="177" spans="1:14" x14ac:dyDescent="0.25">
      <c r="A177">
        <v>8.3594939999999998</v>
      </c>
      <c r="B177" s="1">
        <f>DATE(2010,5,9) + TIME(8,37,40)</f>
        <v>40307.359490740739</v>
      </c>
      <c r="C177">
        <v>80</v>
      </c>
      <c r="D177">
        <v>79.939048767000003</v>
      </c>
      <c r="E177">
        <v>40</v>
      </c>
      <c r="F177">
        <v>14.999699593000001</v>
      </c>
      <c r="G177">
        <v>1339.1524658000001</v>
      </c>
      <c r="H177">
        <v>1336.8359375</v>
      </c>
      <c r="I177">
        <v>1324.1486815999999</v>
      </c>
      <c r="J177">
        <v>1321.4152832</v>
      </c>
      <c r="K177">
        <v>1650</v>
      </c>
      <c r="L177">
        <v>0</v>
      </c>
      <c r="M177">
        <v>0</v>
      </c>
      <c r="N177">
        <v>1650</v>
      </c>
    </row>
    <row r="178" spans="1:14" x14ac:dyDescent="0.25">
      <c r="A178">
        <v>8.4285340000000009</v>
      </c>
      <c r="B178" s="1">
        <f>DATE(2010,5,9) + TIME(10,17,5)</f>
        <v>40307.428530092591</v>
      </c>
      <c r="C178">
        <v>80</v>
      </c>
      <c r="D178">
        <v>79.939064025999997</v>
      </c>
      <c r="E178">
        <v>40</v>
      </c>
      <c r="F178">
        <v>14.999700546</v>
      </c>
      <c r="G178">
        <v>1339.1477050999999</v>
      </c>
      <c r="H178">
        <v>1336.8321533000001</v>
      </c>
      <c r="I178">
        <v>1324.1488036999999</v>
      </c>
      <c r="J178">
        <v>1321.4154053</v>
      </c>
      <c r="K178">
        <v>1650</v>
      </c>
      <c r="L178">
        <v>0</v>
      </c>
      <c r="M178">
        <v>0</v>
      </c>
      <c r="N178">
        <v>1650</v>
      </c>
    </row>
    <row r="179" spans="1:14" x14ac:dyDescent="0.25">
      <c r="A179">
        <v>8.4975740000000002</v>
      </c>
      <c r="B179" s="1">
        <f>DATE(2010,5,9) + TIME(11,56,30)</f>
        <v>40307.497569444444</v>
      </c>
      <c r="C179">
        <v>80</v>
      </c>
      <c r="D179">
        <v>79.939071655000006</v>
      </c>
      <c r="E179">
        <v>40</v>
      </c>
      <c r="F179">
        <v>14.9997015</v>
      </c>
      <c r="G179">
        <v>1339.1429443</v>
      </c>
      <c r="H179">
        <v>1336.8282471</v>
      </c>
      <c r="I179">
        <v>1324.1489257999999</v>
      </c>
      <c r="J179">
        <v>1321.4154053</v>
      </c>
      <c r="K179">
        <v>1650</v>
      </c>
      <c r="L179">
        <v>0</v>
      </c>
      <c r="M179">
        <v>0</v>
      </c>
      <c r="N179">
        <v>1650</v>
      </c>
    </row>
    <row r="180" spans="1:14" x14ac:dyDescent="0.25">
      <c r="A180">
        <v>8.5666139999999995</v>
      </c>
      <c r="B180" s="1">
        <f>DATE(2010,5,9) + TIME(13,35,55)</f>
        <v>40307.566608796296</v>
      </c>
      <c r="C180">
        <v>80</v>
      </c>
      <c r="D180">
        <v>79.939086914000001</v>
      </c>
      <c r="E180">
        <v>40</v>
      </c>
      <c r="F180">
        <v>14.9997015</v>
      </c>
      <c r="G180">
        <v>1339.1381836</v>
      </c>
      <c r="H180">
        <v>1336.8244629000001</v>
      </c>
      <c r="I180">
        <v>1324.1490478999999</v>
      </c>
      <c r="J180">
        <v>1321.4155272999999</v>
      </c>
      <c r="K180">
        <v>1650</v>
      </c>
      <c r="L180">
        <v>0</v>
      </c>
      <c r="M180">
        <v>0</v>
      </c>
      <c r="N180">
        <v>1650</v>
      </c>
    </row>
    <row r="181" spans="1:14" x14ac:dyDescent="0.25">
      <c r="A181">
        <v>8.6356540000000006</v>
      </c>
      <c r="B181" s="1">
        <f>DATE(2010,5,9) + TIME(15,15,20)</f>
        <v>40307.635648148149</v>
      </c>
      <c r="C181">
        <v>80</v>
      </c>
      <c r="D181">
        <v>79.939094542999996</v>
      </c>
      <c r="E181">
        <v>40</v>
      </c>
      <c r="F181">
        <v>14.999702453999999</v>
      </c>
      <c r="G181">
        <v>1339.1334228999999</v>
      </c>
      <c r="H181">
        <v>1336.8208007999999</v>
      </c>
      <c r="I181">
        <v>1324.1491699000001</v>
      </c>
      <c r="J181">
        <v>1321.4156493999999</v>
      </c>
      <c r="K181">
        <v>1650</v>
      </c>
      <c r="L181">
        <v>0</v>
      </c>
      <c r="M181">
        <v>0</v>
      </c>
      <c r="N181">
        <v>1650</v>
      </c>
    </row>
    <row r="182" spans="1:14" x14ac:dyDescent="0.25">
      <c r="A182">
        <v>8.7737339999999993</v>
      </c>
      <c r="B182" s="1">
        <f>DATE(2010,5,9) + TIME(18,34,10)</f>
        <v>40307.773726851854</v>
      </c>
      <c r="C182">
        <v>80</v>
      </c>
      <c r="D182">
        <v>79.939109802000004</v>
      </c>
      <c r="E182">
        <v>40</v>
      </c>
      <c r="F182">
        <v>14.999703407</v>
      </c>
      <c r="G182">
        <v>1339.1289062000001</v>
      </c>
      <c r="H182">
        <v>1336.8172606999999</v>
      </c>
      <c r="I182">
        <v>1324.1494141000001</v>
      </c>
      <c r="J182">
        <v>1321.4157714999999</v>
      </c>
      <c r="K182">
        <v>1650</v>
      </c>
      <c r="L182">
        <v>0</v>
      </c>
      <c r="M182">
        <v>0</v>
      </c>
      <c r="N182">
        <v>1650</v>
      </c>
    </row>
    <row r="183" spans="1:14" x14ac:dyDescent="0.25">
      <c r="A183">
        <v>8.9119530000000005</v>
      </c>
      <c r="B183" s="1">
        <f>DATE(2010,5,9) + TIME(21,53,12)</f>
        <v>40307.911944444444</v>
      </c>
      <c r="C183">
        <v>80</v>
      </c>
      <c r="D183">
        <v>79.939117432000003</v>
      </c>
      <c r="E183">
        <v>40</v>
      </c>
      <c r="F183">
        <v>14.999704360999999</v>
      </c>
      <c r="G183">
        <v>1339.1196289</v>
      </c>
      <c r="H183">
        <v>1336.8099365</v>
      </c>
      <c r="I183">
        <v>1324.1496582</v>
      </c>
      <c r="J183">
        <v>1321.4160156</v>
      </c>
      <c r="K183">
        <v>1650</v>
      </c>
      <c r="L183">
        <v>0</v>
      </c>
      <c r="M183">
        <v>0</v>
      </c>
      <c r="N183">
        <v>1650</v>
      </c>
    </row>
    <row r="184" spans="1:14" x14ac:dyDescent="0.25">
      <c r="A184">
        <v>9.0511970000000002</v>
      </c>
      <c r="B184" s="1">
        <f>DATE(2010,5,10) + TIME(1,13,43)</f>
        <v>40308.051192129627</v>
      </c>
      <c r="C184">
        <v>80</v>
      </c>
      <c r="D184">
        <v>79.939125060999999</v>
      </c>
      <c r="E184">
        <v>40</v>
      </c>
      <c r="F184">
        <v>14.999706268000001</v>
      </c>
      <c r="G184">
        <v>1339.1104736</v>
      </c>
      <c r="H184">
        <v>1336.8027344</v>
      </c>
      <c r="I184">
        <v>1324.1499022999999</v>
      </c>
      <c r="J184">
        <v>1321.4161377</v>
      </c>
      <c r="K184">
        <v>1650</v>
      </c>
      <c r="L184">
        <v>0</v>
      </c>
      <c r="M184">
        <v>0</v>
      </c>
      <c r="N184">
        <v>1650</v>
      </c>
    </row>
    <row r="185" spans="1:14" x14ac:dyDescent="0.25">
      <c r="A185">
        <v>9.1917010000000001</v>
      </c>
      <c r="B185" s="1">
        <f>DATE(2010,5,10) + TIME(4,36,2)</f>
        <v>40308.191689814812</v>
      </c>
      <c r="C185">
        <v>80</v>
      </c>
      <c r="D185">
        <v>79.939125060999999</v>
      </c>
      <c r="E185">
        <v>40</v>
      </c>
      <c r="F185">
        <v>14.999707222</v>
      </c>
      <c r="G185">
        <v>1339.1013184000001</v>
      </c>
      <c r="H185">
        <v>1336.7955322</v>
      </c>
      <c r="I185">
        <v>1324.1502685999999</v>
      </c>
      <c r="J185">
        <v>1321.4163818</v>
      </c>
      <c r="K185">
        <v>1650</v>
      </c>
      <c r="L185">
        <v>0</v>
      </c>
      <c r="M185">
        <v>0</v>
      </c>
      <c r="N185">
        <v>1650</v>
      </c>
    </row>
    <row r="186" spans="1:14" x14ac:dyDescent="0.25">
      <c r="A186">
        <v>9.3337050000000001</v>
      </c>
      <c r="B186" s="1">
        <f>DATE(2010,5,10) + TIME(8,0,32)</f>
        <v>40308.333703703705</v>
      </c>
      <c r="C186">
        <v>80</v>
      </c>
      <c r="D186">
        <v>79.939117432000003</v>
      </c>
      <c r="E186">
        <v>40</v>
      </c>
      <c r="F186">
        <v>14.999708176</v>
      </c>
      <c r="G186">
        <v>1339.0922852000001</v>
      </c>
      <c r="H186">
        <v>1336.7885742000001</v>
      </c>
      <c r="I186">
        <v>1324.1505127</v>
      </c>
      <c r="J186">
        <v>1321.4165039</v>
      </c>
      <c r="K186">
        <v>1650</v>
      </c>
      <c r="L186">
        <v>0</v>
      </c>
      <c r="M186">
        <v>0</v>
      </c>
      <c r="N186">
        <v>1650</v>
      </c>
    </row>
    <row r="187" spans="1:14" x14ac:dyDescent="0.25">
      <c r="A187">
        <v>9.4774589999999996</v>
      </c>
      <c r="B187" s="1">
        <f>DATE(2010,5,10) + TIME(11,27,32)</f>
        <v>40308.477453703701</v>
      </c>
      <c r="C187">
        <v>80</v>
      </c>
      <c r="D187">
        <v>79.939109802000004</v>
      </c>
      <c r="E187">
        <v>40</v>
      </c>
      <c r="F187">
        <v>14.999709128999999</v>
      </c>
      <c r="G187">
        <v>1339.0831298999999</v>
      </c>
      <c r="H187">
        <v>1336.7814940999999</v>
      </c>
      <c r="I187">
        <v>1324.1507568</v>
      </c>
      <c r="J187">
        <v>1321.4167480000001</v>
      </c>
      <c r="K187">
        <v>1650</v>
      </c>
      <c r="L187">
        <v>0</v>
      </c>
      <c r="M187">
        <v>0</v>
      </c>
      <c r="N187">
        <v>1650</v>
      </c>
    </row>
    <row r="188" spans="1:14" x14ac:dyDescent="0.25">
      <c r="A188">
        <v>9.6232229999999994</v>
      </c>
      <c r="B188" s="1">
        <f>DATE(2010,5,10) + TIME(14,57,26)</f>
        <v>40308.623217592591</v>
      </c>
      <c r="C188">
        <v>80</v>
      </c>
      <c r="D188">
        <v>79.939102172999995</v>
      </c>
      <c r="E188">
        <v>40</v>
      </c>
      <c r="F188">
        <v>14.999710083</v>
      </c>
      <c r="G188">
        <v>1339.0740966999999</v>
      </c>
      <c r="H188">
        <v>1336.7745361</v>
      </c>
      <c r="I188">
        <v>1324.1511230000001</v>
      </c>
      <c r="J188">
        <v>1321.4169922000001</v>
      </c>
      <c r="K188">
        <v>1650</v>
      </c>
      <c r="L188">
        <v>0</v>
      </c>
      <c r="M188">
        <v>0</v>
      </c>
      <c r="N188">
        <v>1650</v>
      </c>
    </row>
    <row r="189" spans="1:14" x14ac:dyDescent="0.25">
      <c r="A189">
        <v>9.7712679999999992</v>
      </c>
      <c r="B189" s="1">
        <f>DATE(2010,5,10) + TIME(18,30,37)</f>
        <v>40308.771261574075</v>
      </c>
      <c r="C189">
        <v>80</v>
      </c>
      <c r="D189">
        <v>79.939079285000005</v>
      </c>
      <c r="E189">
        <v>40</v>
      </c>
      <c r="F189">
        <v>14.99971199</v>
      </c>
      <c r="G189">
        <v>1339.0650635</v>
      </c>
      <c r="H189">
        <v>1336.7675781</v>
      </c>
      <c r="I189">
        <v>1324.1513672000001</v>
      </c>
      <c r="J189">
        <v>1321.4171143000001</v>
      </c>
      <c r="K189">
        <v>1650</v>
      </c>
      <c r="L189">
        <v>0</v>
      </c>
      <c r="M189">
        <v>0</v>
      </c>
      <c r="N189">
        <v>1650</v>
      </c>
    </row>
    <row r="190" spans="1:14" x14ac:dyDescent="0.25">
      <c r="A190">
        <v>9.9219150000000003</v>
      </c>
      <c r="B190" s="1">
        <f>DATE(2010,5,10) + TIME(22,7,33)</f>
        <v>40308.921909722223</v>
      </c>
      <c r="C190">
        <v>80</v>
      </c>
      <c r="D190">
        <v>79.939064025999997</v>
      </c>
      <c r="E190">
        <v>40</v>
      </c>
      <c r="F190">
        <v>14.999712944000001</v>
      </c>
      <c r="G190">
        <v>1339.0560303</v>
      </c>
      <c r="H190">
        <v>1336.7606201000001</v>
      </c>
      <c r="I190">
        <v>1324.1517334</v>
      </c>
      <c r="J190">
        <v>1321.4173584</v>
      </c>
      <c r="K190">
        <v>1650</v>
      </c>
      <c r="L190">
        <v>0</v>
      </c>
      <c r="M190">
        <v>0</v>
      </c>
      <c r="N190">
        <v>1650</v>
      </c>
    </row>
    <row r="191" spans="1:14" x14ac:dyDescent="0.25">
      <c r="A191">
        <v>10.075473000000001</v>
      </c>
      <c r="B191" s="1">
        <f>DATE(2010,5,11) + TIME(1,48,40)</f>
        <v>40309.075462962966</v>
      </c>
      <c r="C191">
        <v>80</v>
      </c>
      <c r="D191">
        <v>79.939041137999993</v>
      </c>
      <c r="E191">
        <v>40</v>
      </c>
      <c r="F191">
        <v>14.999713898</v>
      </c>
      <c r="G191">
        <v>1339.046875</v>
      </c>
      <c r="H191">
        <v>1336.7536620999999</v>
      </c>
      <c r="I191">
        <v>1324.1519774999999</v>
      </c>
      <c r="J191">
        <v>1321.4176024999999</v>
      </c>
      <c r="K191">
        <v>1650</v>
      </c>
      <c r="L191">
        <v>0</v>
      </c>
      <c r="M191">
        <v>0</v>
      </c>
      <c r="N191">
        <v>1650</v>
      </c>
    </row>
    <row r="192" spans="1:14" x14ac:dyDescent="0.25">
      <c r="A192">
        <v>10.232239999999999</v>
      </c>
      <c r="B192" s="1">
        <f>DATE(2010,5,11) + TIME(5,34,25)</f>
        <v>40309.232233796298</v>
      </c>
      <c r="C192">
        <v>80</v>
      </c>
      <c r="D192">
        <v>79.939018250000004</v>
      </c>
      <c r="E192">
        <v>40</v>
      </c>
      <c r="F192">
        <v>14.999714851</v>
      </c>
      <c r="G192">
        <v>1339.0377197</v>
      </c>
      <c r="H192">
        <v>1336.7467041</v>
      </c>
      <c r="I192">
        <v>1324.1523437999999</v>
      </c>
      <c r="J192">
        <v>1321.4178466999999</v>
      </c>
      <c r="K192">
        <v>1650</v>
      </c>
      <c r="L192">
        <v>0</v>
      </c>
      <c r="M192">
        <v>0</v>
      </c>
      <c r="N192">
        <v>1650</v>
      </c>
    </row>
    <row r="193" spans="1:14" x14ac:dyDescent="0.25">
      <c r="A193">
        <v>10.392315999999999</v>
      </c>
      <c r="B193" s="1">
        <f>DATE(2010,5,11) + TIME(9,24,56)</f>
        <v>40309.392314814817</v>
      </c>
      <c r="C193">
        <v>80</v>
      </c>
      <c r="D193">
        <v>79.938987732000001</v>
      </c>
      <c r="E193">
        <v>40</v>
      </c>
      <c r="F193">
        <v>14.999715804999999</v>
      </c>
      <c r="G193">
        <v>1339.0284423999999</v>
      </c>
      <c r="H193">
        <v>1336.7397461</v>
      </c>
      <c r="I193">
        <v>1324.1527100000001</v>
      </c>
      <c r="J193">
        <v>1321.4179687999999</v>
      </c>
      <c r="K193">
        <v>1650</v>
      </c>
      <c r="L193">
        <v>0</v>
      </c>
      <c r="M193">
        <v>0</v>
      </c>
      <c r="N193">
        <v>1650</v>
      </c>
    </row>
    <row r="194" spans="1:14" x14ac:dyDescent="0.25">
      <c r="A194">
        <v>10.55514</v>
      </c>
      <c r="B194" s="1">
        <f>DATE(2010,5,11) + TIME(13,19,24)</f>
        <v>40309.555138888885</v>
      </c>
      <c r="C194">
        <v>80</v>
      </c>
      <c r="D194">
        <v>79.938957213999998</v>
      </c>
      <c r="E194">
        <v>40</v>
      </c>
      <c r="F194">
        <v>14.999717712000001</v>
      </c>
      <c r="G194">
        <v>1339.0191649999999</v>
      </c>
      <c r="H194">
        <v>1336.7327881000001</v>
      </c>
      <c r="I194">
        <v>1324.1529541</v>
      </c>
      <c r="J194">
        <v>1321.4182129000001</v>
      </c>
      <c r="K194">
        <v>1650</v>
      </c>
      <c r="L194">
        <v>0</v>
      </c>
      <c r="M194">
        <v>0</v>
      </c>
      <c r="N194">
        <v>1650</v>
      </c>
    </row>
    <row r="195" spans="1:14" x14ac:dyDescent="0.25">
      <c r="A195">
        <v>10.721093</v>
      </c>
      <c r="B195" s="1">
        <f>DATE(2010,5,11) + TIME(17,18,22)</f>
        <v>40309.721087962964</v>
      </c>
      <c r="C195">
        <v>80</v>
      </c>
      <c r="D195">
        <v>79.938926696999999</v>
      </c>
      <c r="E195">
        <v>40</v>
      </c>
      <c r="F195">
        <v>14.999718666</v>
      </c>
      <c r="G195">
        <v>1339.0098877</v>
      </c>
      <c r="H195">
        <v>1336.7258300999999</v>
      </c>
      <c r="I195">
        <v>1324.1533202999999</v>
      </c>
      <c r="J195">
        <v>1321.418457</v>
      </c>
      <c r="K195">
        <v>1650</v>
      </c>
      <c r="L195">
        <v>0</v>
      </c>
      <c r="M195">
        <v>0</v>
      </c>
      <c r="N195">
        <v>1650</v>
      </c>
    </row>
    <row r="196" spans="1:14" x14ac:dyDescent="0.25">
      <c r="A196">
        <v>10.890485</v>
      </c>
      <c r="B196" s="1">
        <f>DATE(2010,5,11) + TIME(21,22,17)</f>
        <v>40309.890474537038</v>
      </c>
      <c r="C196">
        <v>80</v>
      </c>
      <c r="D196">
        <v>79.938896178999997</v>
      </c>
      <c r="E196">
        <v>40</v>
      </c>
      <c r="F196">
        <v>14.99971962</v>
      </c>
      <c r="G196">
        <v>1339.0004882999999</v>
      </c>
      <c r="H196">
        <v>1336.71875</v>
      </c>
      <c r="I196">
        <v>1324.1536865</v>
      </c>
      <c r="J196">
        <v>1321.4187012</v>
      </c>
      <c r="K196">
        <v>1650</v>
      </c>
      <c r="L196">
        <v>0</v>
      </c>
      <c r="M196">
        <v>0</v>
      </c>
      <c r="N196">
        <v>1650</v>
      </c>
    </row>
    <row r="197" spans="1:14" x14ac:dyDescent="0.25">
      <c r="A197">
        <v>10.975942999999999</v>
      </c>
      <c r="B197" s="1">
        <f>DATE(2010,5,11) + TIME(23,25,21)</f>
        <v>40309.975937499999</v>
      </c>
      <c r="C197">
        <v>80</v>
      </c>
      <c r="D197">
        <v>79.938865661999998</v>
      </c>
      <c r="E197">
        <v>40</v>
      </c>
      <c r="F197">
        <v>14.999720572999999</v>
      </c>
      <c r="G197">
        <v>1338.9908447</v>
      </c>
      <c r="H197">
        <v>1336.7115478999999</v>
      </c>
      <c r="I197">
        <v>1324.1539307</v>
      </c>
      <c r="J197">
        <v>1321.4189452999999</v>
      </c>
      <c r="K197">
        <v>1650</v>
      </c>
      <c r="L197">
        <v>0</v>
      </c>
      <c r="M197">
        <v>0</v>
      </c>
      <c r="N197">
        <v>1650</v>
      </c>
    </row>
    <row r="198" spans="1:14" x14ac:dyDescent="0.25">
      <c r="A198">
        <v>11.061400000000001</v>
      </c>
      <c r="B198" s="1">
        <f>DATE(2010,5,12) + TIME(1,28,24)</f>
        <v>40310.061388888891</v>
      </c>
      <c r="C198">
        <v>80</v>
      </c>
      <c r="D198">
        <v>79.938842773000005</v>
      </c>
      <c r="E198">
        <v>40</v>
      </c>
      <c r="F198">
        <v>14.999720572999999</v>
      </c>
      <c r="G198">
        <v>1338.9862060999999</v>
      </c>
      <c r="H198">
        <v>1336.7080077999999</v>
      </c>
      <c r="I198">
        <v>1324.1541748</v>
      </c>
      <c r="J198">
        <v>1321.4189452999999</v>
      </c>
      <c r="K198">
        <v>1650</v>
      </c>
      <c r="L198">
        <v>0</v>
      </c>
      <c r="M198">
        <v>0</v>
      </c>
      <c r="N198">
        <v>1650</v>
      </c>
    </row>
    <row r="199" spans="1:14" x14ac:dyDescent="0.25">
      <c r="A199">
        <v>11.146858</v>
      </c>
      <c r="B199" s="1">
        <f>DATE(2010,5,12) + TIME(3,31,28)</f>
        <v>40310.146851851852</v>
      </c>
      <c r="C199">
        <v>80</v>
      </c>
      <c r="D199">
        <v>79.938819885000001</v>
      </c>
      <c r="E199">
        <v>40</v>
      </c>
      <c r="F199">
        <v>14.999721527</v>
      </c>
      <c r="G199">
        <v>1338.9814452999999</v>
      </c>
      <c r="H199">
        <v>1336.7045897999999</v>
      </c>
      <c r="I199">
        <v>1324.1542969</v>
      </c>
      <c r="J199">
        <v>1321.4190673999999</v>
      </c>
      <c r="K199">
        <v>1650</v>
      </c>
      <c r="L199">
        <v>0</v>
      </c>
      <c r="M199">
        <v>0</v>
      </c>
      <c r="N199">
        <v>1650</v>
      </c>
    </row>
    <row r="200" spans="1:14" x14ac:dyDescent="0.25">
      <c r="A200">
        <v>11.232316000000001</v>
      </c>
      <c r="B200" s="1">
        <f>DATE(2010,5,12) + TIME(5,34,32)</f>
        <v>40310.232314814813</v>
      </c>
      <c r="C200">
        <v>80</v>
      </c>
      <c r="D200">
        <v>79.938796996999997</v>
      </c>
      <c r="E200">
        <v>40</v>
      </c>
      <c r="F200">
        <v>14.999722480999999</v>
      </c>
      <c r="G200">
        <v>1338.9768065999999</v>
      </c>
      <c r="H200">
        <v>1336.7011719</v>
      </c>
      <c r="I200">
        <v>1324.1545410000001</v>
      </c>
      <c r="J200">
        <v>1321.4191894999999</v>
      </c>
      <c r="K200">
        <v>1650</v>
      </c>
      <c r="L200">
        <v>0</v>
      </c>
      <c r="M200">
        <v>0</v>
      </c>
      <c r="N200">
        <v>1650</v>
      </c>
    </row>
    <row r="201" spans="1:14" x14ac:dyDescent="0.25">
      <c r="A201">
        <v>11.317773000000001</v>
      </c>
      <c r="B201" s="1">
        <f>DATE(2010,5,12) + TIME(7,37,35)</f>
        <v>40310.317766203705</v>
      </c>
      <c r="C201">
        <v>80</v>
      </c>
      <c r="D201">
        <v>79.938774108999993</v>
      </c>
      <c r="E201">
        <v>40</v>
      </c>
      <c r="F201">
        <v>14.999722480999999</v>
      </c>
      <c r="G201">
        <v>1338.9722899999999</v>
      </c>
      <c r="H201">
        <v>1336.6977539</v>
      </c>
      <c r="I201">
        <v>1324.1546631000001</v>
      </c>
      <c r="J201">
        <v>1321.4193115</v>
      </c>
      <c r="K201">
        <v>1650</v>
      </c>
      <c r="L201">
        <v>0</v>
      </c>
      <c r="M201">
        <v>0</v>
      </c>
      <c r="N201">
        <v>1650</v>
      </c>
    </row>
    <row r="202" spans="1:14" x14ac:dyDescent="0.25">
      <c r="A202">
        <v>11.403231</v>
      </c>
      <c r="B202" s="1">
        <f>DATE(2010,5,12) + TIME(9,40,39)</f>
        <v>40310.403229166666</v>
      </c>
      <c r="C202">
        <v>80</v>
      </c>
      <c r="D202">
        <v>79.938758849999999</v>
      </c>
      <c r="E202">
        <v>40</v>
      </c>
      <c r="F202">
        <v>14.999723434</v>
      </c>
      <c r="G202">
        <v>1338.9676514</v>
      </c>
      <c r="H202">
        <v>1336.6943358999999</v>
      </c>
      <c r="I202">
        <v>1324.1549072</v>
      </c>
      <c r="J202">
        <v>1321.4194336</v>
      </c>
      <c r="K202">
        <v>1650</v>
      </c>
      <c r="L202">
        <v>0</v>
      </c>
      <c r="M202">
        <v>0</v>
      </c>
      <c r="N202">
        <v>1650</v>
      </c>
    </row>
    <row r="203" spans="1:14" x14ac:dyDescent="0.25">
      <c r="A203">
        <v>11.488689000000001</v>
      </c>
      <c r="B203" s="1">
        <f>DATE(2010,5,12) + TIME(11,43,42)</f>
        <v>40310.488680555558</v>
      </c>
      <c r="C203">
        <v>80</v>
      </c>
      <c r="D203">
        <v>79.938735961999996</v>
      </c>
      <c r="E203">
        <v>40</v>
      </c>
      <c r="F203">
        <v>14.999724388000001</v>
      </c>
      <c r="G203">
        <v>1338.9631348</v>
      </c>
      <c r="H203">
        <v>1336.6910399999999</v>
      </c>
      <c r="I203">
        <v>1324.1550293</v>
      </c>
      <c r="J203">
        <v>1321.4195557</v>
      </c>
      <c r="K203">
        <v>1650</v>
      </c>
      <c r="L203">
        <v>0</v>
      </c>
      <c r="M203">
        <v>0</v>
      </c>
      <c r="N203">
        <v>1650</v>
      </c>
    </row>
    <row r="204" spans="1:14" x14ac:dyDescent="0.25">
      <c r="A204">
        <v>11.574146000000001</v>
      </c>
      <c r="B204" s="1">
        <f>DATE(2010,5,12) + TIME(13,46,46)</f>
        <v>40310.574143518519</v>
      </c>
      <c r="C204">
        <v>80</v>
      </c>
      <c r="D204">
        <v>79.938713074000006</v>
      </c>
      <c r="E204">
        <v>40</v>
      </c>
      <c r="F204">
        <v>14.999724388000001</v>
      </c>
      <c r="G204">
        <v>1338.9586182</v>
      </c>
      <c r="H204">
        <v>1336.6877440999999</v>
      </c>
      <c r="I204">
        <v>1324.1552733999999</v>
      </c>
      <c r="J204">
        <v>1321.4196777</v>
      </c>
      <c r="K204">
        <v>1650</v>
      </c>
      <c r="L204">
        <v>0</v>
      </c>
      <c r="M204">
        <v>0</v>
      </c>
      <c r="N204">
        <v>1650</v>
      </c>
    </row>
    <row r="205" spans="1:14" x14ac:dyDescent="0.25">
      <c r="A205">
        <v>11.659604</v>
      </c>
      <c r="B205" s="1">
        <f>DATE(2010,5,12) + TIME(15,49,49)</f>
        <v>40310.659594907411</v>
      </c>
      <c r="C205">
        <v>80</v>
      </c>
      <c r="D205">
        <v>79.938690186000002</v>
      </c>
      <c r="E205">
        <v>40</v>
      </c>
      <c r="F205">
        <v>14.999725342</v>
      </c>
      <c r="G205">
        <v>1338.9541016000001</v>
      </c>
      <c r="H205">
        <v>1336.6844481999999</v>
      </c>
      <c r="I205">
        <v>1324.1553954999999</v>
      </c>
      <c r="J205">
        <v>1321.4197998</v>
      </c>
      <c r="K205">
        <v>1650</v>
      </c>
      <c r="L205">
        <v>0</v>
      </c>
      <c r="M205">
        <v>0</v>
      </c>
      <c r="N205">
        <v>1650</v>
      </c>
    </row>
    <row r="206" spans="1:14" x14ac:dyDescent="0.25">
      <c r="A206">
        <v>11.745062000000001</v>
      </c>
      <c r="B206" s="1">
        <f>DATE(2010,5,12) + TIME(17,52,53)</f>
        <v>40310.745057870372</v>
      </c>
      <c r="C206">
        <v>80</v>
      </c>
      <c r="D206">
        <v>79.938667296999995</v>
      </c>
      <c r="E206">
        <v>40</v>
      </c>
      <c r="F206">
        <v>14.999725342</v>
      </c>
      <c r="G206">
        <v>1338.949707</v>
      </c>
      <c r="H206">
        <v>1336.6812743999999</v>
      </c>
      <c r="I206">
        <v>1324.1555175999999</v>
      </c>
      <c r="J206">
        <v>1321.4199219</v>
      </c>
      <c r="K206">
        <v>1650</v>
      </c>
      <c r="L206">
        <v>0</v>
      </c>
      <c r="M206">
        <v>0</v>
      </c>
      <c r="N206">
        <v>1650</v>
      </c>
    </row>
    <row r="207" spans="1:14" x14ac:dyDescent="0.25">
      <c r="A207">
        <v>11.830519000000001</v>
      </c>
      <c r="B207" s="1">
        <f>DATE(2010,5,12) + TIME(19,55,56)</f>
        <v>40310.830509259256</v>
      </c>
      <c r="C207">
        <v>80</v>
      </c>
      <c r="D207">
        <v>79.938644409000005</v>
      </c>
      <c r="E207">
        <v>40</v>
      </c>
      <c r="F207">
        <v>14.999726295</v>
      </c>
      <c r="G207">
        <v>1338.9453125</v>
      </c>
      <c r="H207">
        <v>1336.6779785000001</v>
      </c>
      <c r="I207">
        <v>1324.1557617000001</v>
      </c>
      <c r="J207">
        <v>1321.4200439000001</v>
      </c>
      <c r="K207">
        <v>1650</v>
      </c>
      <c r="L207">
        <v>0</v>
      </c>
      <c r="M207">
        <v>0</v>
      </c>
      <c r="N207">
        <v>1650</v>
      </c>
    </row>
    <row r="208" spans="1:14" x14ac:dyDescent="0.25">
      <c r="A208">
        <v>11.915977</v>
      </c>
      <c r="B208" s="1">
        <f>DATE(2010,5,12) + TIME(21,59,0)</f>
        <v>40310.915972222225</v>
      </c>
      <c r="C208">
        <v>80</v>
      </c>
      <c r="D208">
        <v>79.938621521000002</v>
      </c>
      <c r="E208">
        <v>40</v>
      </c>
      <c r="F208">
        <v>14.999727248999999</v>
      </c>
      <c r="G208">
        <v>1338.940918</v>
      </c>
      <c r="H208">
        <v>1336.6748047000001</v>
      </c>
      <c r="I208">
        <v>1324.1558838000001</v>
      </c>
      <c r="J208">
        <v>1321.4201660000001</v>
      </c>
      <c r="K208">
        <v>1650</v>
      </c>
      <c r="L208">
        <v>0</v>
      </c>
      <c r="M208">
        <v>0</v>
      </c>
      <c r="N208">
        <v>1650</v>
      </c>
    </row>
    <row r="209" spans="1:14" x14ac:dyDescent="0.25">
      <c r="A209">
        <v>12.001435000000001</v>
      </c>
      <c r="B209" s="1">
        <f>DATE(2010,5,13) + TIME(0,2,3)</f>
        <v>40311.001423611109</v>
      </c>
      <c r="C209">
        <v>80</v>
      </c>
      <c r="D209">
        <v>79.938598632999998</v>
      </c>
      <c r="E209">
        <v>40</v>
      </c>
      <c r="F209">
        <v>14.999727248999999</v>
      </c>
      <c r="G209">
        <v>1338.9365233999999</v>
      </c>
      <c r="H209">
        <v>1336.6716309000001</v>
      </c>
      <c r="I209">
        <v>1324.1561279</v>
      </c>
      <c r="J209">
        <v>1321.4202881000001</v>
      </c>
      <c r="K209">
        <v>1650</v>
      </c>
      <c r="L209">
        <v>0</v>
      </c>
      <c r="M209">
        <v>0</v>
      </c>
      <c r="N209">
        <v>1650</v>
      </c>
    </row>
    <row r="210" spans="1:14" x14ac:dyDescent="0.25">
      <c r="A210">
        <v>12.17235</v>
      </c>
      <c r="B210" s="1">
        <f>DATE(2010,5,13) + TIME(4,8,11)</f>
        <v>40311.172349537039</v>
      </c>
      <c r="C210">
        <v>80</v>
      </c>
      <c r="D210">
        <v>79.938560486</v>
      </c>
      <c r="E210">
        <v>40</v>
      </c>
      <c r="F210">
        <v>14.999728203</v>
      </c>
      <c r="G210">
        <v>1338.9323730000001</v>
      </c>
      <c r="H210">
        <v>1336.6687012</v>
      </c>
      <c r="I210">
        <v>1324.15625</v>
      </c>
      <c r="J210">
        <v>1321.4204102000001</v>
      </c>
      <c r="K210">
        <v>1650</v>
      </c>
      <c r="L210">
        <v>0</v>
      </c>
      <c r="M210">
        <v>0</v>
      </c>
      <c r="N210">
        <v>1650</v>
      </c>
    </row>
    <row r="211" spans="1:14" x14ac:dyDescent="0.25">
      <c r="A211">
        <v>12.343384</v>
      </c>
      <c r="B211" s="1">
        <f>DATE(2010,5,13) + TIME(8,14,28)</f>
        <v>40311.34337962963</v>
      </c>
      <c r="C211">
        <v>80</v>
      </c>
      <c r="D211">
        <v>79.938522339000002</v>
      </c>
      <c r="E211">
        <v>40</v>
      </c>
      <c r="F211">
        <v>14.99973011</v>
      </c>
      <c r="G211">
        <v>1338.9238281</v>
      </c>
      <c r="H211">
        <v>1336.6624756000001</v>
      </c>
      <c r="I211">
        <v>1324.1566161999999</v>
      </c>
      <c r="J211">
        <v>1321.4206543</v>
      </c>
      <c r="K211">
        <v>1650</v>
      </c>
      <c r="L211">
        <v>0</v>
      </c>
      <c r="M211">
        <v>0</v>
      </c>
      <c r="N211">
        <v>1650</v>
      </c>
    </row>
    <row r="212" spans="1:14" x14ac:dyDescent="0.25">
      <c r="A212">
        <v>12.515936</v>
      </c>
      <c r="B212" s="1">
        <f>DATE(2010,5,13) + TIME(12,22,56)</f>
        <v>40311.515925925924</v>
      </c>
      <c r="C212">
        <v>80</v>
      </c>
      <c r="D212">
        <v>79.938484192000004</v>
      </c>
      <c r="E212">
        <v>40</v>
      </c>
      <c r="F212">
        <v>14.999731064000001</v>
      </c>
      <c r="G212">
        <v>1338.9152832</v>
      </c>
      <c r="H212">
        <v>1336.6563721</v>
      </c>
      <c r="I212">
        <v>1324.1569824000001</v>
      </c>
      <c r="J212">
        <v>1321.4208983999999</v>
      </c>
      <c r="K212">
        <v>1650</v>
      </c>
      <c r="L212">
        <v>0</v>
      </c>
      <c r="M212">
        <v>0</v>
      </c>
      <c r="N212">
        <v>1650</v>
      </c>
    </row>
    <row r="213" spans="1:14" x14ac:dyDescent="0.25">
      <c r="A213">
        <v>12.690321000000001</v>
      </c>
      <c r="B213" s="1">
        <f>DATE(2010,5,13) + TIME(16,34,3)</f>
        <v>40311.690312500003</v>
      </c>
      <c r="C213">
        <v>80</v>
      </c>
      <c r="D213">
        <v>79.938446045000006</v>
      </c>
      <c r="E213">
        <v>40</v>
      </c>
      <c r="F213">
        <v>14.999732018</v>
      </c>
      <c r="G213">
        <v>1338.9068603999999</v>
      </c>
      <c r="H213">
        <v>1336.6502685999999</v>
      </c>
      <c r="I213">
        <v>1324.1573486</v>
      </c>
      <c r="J213">
        <v>1321.4211425999999</v>
      </c>
      <c r="K213">
        <v>1650</v>
      </c>
      <c r="L213">
        <v>0</v>
      </c>
      <c r="M213">
        <v>0</v>
      </c>
      <c r="N213">
        <v>1650</v>
      </c>
    </row>
    <row r="214" spans="1:14" x14ac:dyDescent="0.25">
      <c r="A214">
        <v>12.866868</v>
      </c>
      <c r="B214" s="1">
        <f>DATE(2010,5,13) + TIME(20,48,17)</f>
        <v>40311.866863425923</v>
      </c>
      <c r="C214">
        <v>80</v>
      </c>
      <c r="D214">
        <v>79.938400268999999</v>
      </c>
      <c r="E214">
        <v>40</v>
      </c>
      <c r="F214">
        <v>14.999732971</v>
      </c>
      <c r="G214">
        <v>1338.8984375</v>
      </c>
      <c r="H214">
        <v>1336.6441649999999</v>
      </c>
      <c r="I214">
        <v>1324.1577147999999</v>
      </c>
      <c r="J214">
        <v>1321.4213867000001</v>
      </c>
      <c r="K214">
        <v>1650</v>
      </c>
      <c r="L214">
        <v>0</v>
      </c>
      <c r="M214">
        <v>0</v>
      </c>
      <c r="N214">
        <v>1650</v>
      </c>
    </row>
    <row r="215" spans="1:14" x14ac:dyDescent="0.25">
      <c r="A215">
        <v>13.045921999999999</v>
      </c>
      <c r="B215" s="1">
        <f>DATE(2010,5,14) + TIME(1,6,7)</f>
        <v>40312.045914351853</v>
      </c>
      <c r="C215">
        <v>80</v>
      </c>
      <c r="D215">
        <v>79.938354492000002</v>
      </c>
      <c r="E215">
        <v>40</v>
      </c>
      <c r="F215">
        <v>14.999733924999999</v>
      </c>
      <c r="G215">
        <v>1338.8900146000001</v>
      </c>
      <c r="H215">
        <v>1336.6381836</v>
      </c>
      <c r="I215">
        <v>1324.1580810999999</v>
      </c>
      <c r="J215">
        <v>1321.4216309000001</v>
      </c>
      <c r="K215">
        <v>1650</v>
      </c>
      <c r="L215">
        <v>0</v>
      </c>
      <c r="M215">
        <v>0</v>
      </c>
      <c r="N215">
        <v>1650</v>
      </c>
    </row>
    <row r="216" spans="1:14" x14ac:dyDescent="0.25">
      <c r="A216">
        <v>13.227847000000001</v>
      </c>
      <c r="B216" s="1">
        <f>DATE(2010,5,14) + TIME(5,28,5)</f>
        <v>40312.227835648147</v>
      </c>
      <c r="C216">
        <v>80</v>
      </c>
      <c r="D216">
        <v>79.938308715999995</v>
      </c>
      <c r="E216">
        <v>40</v>
      </c>
      <c r="F216">
        <v>14.999734879</v>
      </c>
      <c r="G216">
        <v>1338.8815918</v>
      </c>
      <c r="H216">
        <v>1336.6320800999999</v>
      </c>
      <c r="I216">
        <v>1324.1584473</v>
      </c>
      <c r="J216">
        <v>1321.421875</v>
      </c>
      <c r="K216">
        <v>1650</v>
      </c>
      <c r="L216">
        <v>0</v>
      </c>
      <c r="M216">
        <v>0</v>
      </c>
      <c r="N216">
        <v>1650</v>
      </c>
    </row>
    <row r="217" spans="1:14" x14ac:dyDescent="0.25">
      <c r="A217">
        <v>13.41309</v>
      </c>
      <c r="B217" s="1">
        <f>DATE(2010,5,14) + TIME(9,54,50)</f>
        <v>40312.413078703707</v>
      </c>
      <c r="C217">
        <v>80</v>
      </c>
      <c r="D217">
        <v>79.938262938999998</v>
      </c>
      <c r="E217">
        <v>40</v>
      </c>
      <c r="F217">
        <v>14.999735832000001</v>
      </c>
      <c r="G217">
        <v>1338.8731689000001</v>
      </c>
      <c r="H217">
        <v>1336.6260986</v>
      </c>
      <c r="I217">
        <v>1324.1588135</v>
      </c>
      <c r="J217">
        <v>1321.4221190999999</v>
      </c>
      <c r="K217">
        <v>1650</v>
      </c>
      <c r="L217">
        <v>0</v>
      </c>
      <c r="M217">
        <v>0</v>
      </c>
      <c r="N217">
        <v>1650</v>
      </c>
    </row>
    <row r="218" spans="1:14" x14ac:dyDescent="0.25">
      <c r="A218">
        <v>13.602023000000001</v>
      </c>
      <c r="B218" s="1">
        <f>DATE(2010,5,14) + TIME(14,26,54)</f>
        <v>40312.602013888885</v>
      </c>
      <c r="C218">
        <v>80</v>
      </c>
      <c r="D218">
        <v>79.938209533999995</v>
      </c>
      <c r="E218">
        <v>40</v>
      </c>
      <c r="F218">
        <v>14.999736786</v>
      </c>
      <c r="G218">
        <v>1338.864624</v>
      </c>
      <c r="H218">
        <v>1336.6199951000001</v>
      </c>
      <c r="I218">
        <v>1324.1591797000001</v>
      </c>
      <c r="J218">
        <v>1321.4223632999999</v>
      </c>
      <c r="K218">
        <v>1650</v>
      </c>
      <c r="L218">
        <v>0</v>
      </c>
      <c r="M218">
        <v>0</v>
      </c>
      <c r="N218">
        <v>1650</v>
      </c>
    </row>
    <row r="219" spans="1:14" x14ac:dyDescent="0.25">
      <c r="A219">
        <v>13.795069</v>
      </c>
      <c r="B219" s="1">
        <f>DATE(2010,5,14) + TIME(19,4,53)</f>
        <v>40312.795057870368</v>
      </c>
      <c r="C219">
        <v>80</v>
      </c>
      <c r="D219">
        <v>79.938163756999998</v>
      </c>
      <c r="E219">
        <v>40</v>
      </c>
      <c r="F219">
        <v>14.999738692999999</v>
      </c>
      <c r="G219">
        <v>1338.8560791</v>
      </c>
      <c r="H219">
        <v>1336.6140137</v>
      </c>
      <c r="I219">
        <v>1324.159668</v>
      </c>
      <c r="J219">
        <v>1321.4227295000001</v>
      </c>
      <c r="K219">
        <v>1650</v>
      </c>
      <c r="L219">
        <v>0</v>
      </c>
      <c r="M219">
        <v>0</v>
      </c>
      <c r="N219">
        <v>1650</v>
      </c>
    </row>
    <row r="220" spans="1:14" x14ac:dyDescent="0.25">
      <c r="A220">
        <v>13.990945</v>
      </c>
      <c r="B220" s="1">
        <f>DATE(2010,5,14) + TIME(23,46,57)</f>
        <v>40312.990937499999</v>
      </c>
      <c r="C220">
        <v>80</v>
      </c>
      <c r="D220">
        <v>79.938110351999995</v>
      </c>
      <c r="E220">
        <v>40</v>
      </c>
      <c r="F220">
        <v>14.999739647</v>
      </c>
      <c r="G220">
        <v>1338.8474120999999</v>
      </c>
      <c r="H220">
        <v>1336.6079102000001</v>
      </c>
      <c r="I220">
        <v>1324.1600341999999</v>
      </c>
      <c r="J220">
        <v>1321.4229736</v>
      </c>
      <c r="K220">
        <v>1650</v>
      </c>
      <c r="L220">
        <v>0</v>
      </c>
      <c r="M220">
        <v>0</v>
      </c>
      <c r="N220">
        <v>1650</v>
      </c>
    </row>
    <row r="221" spans="1:14" x14ac:dyDescent="0.25">
      <c r="A221">
        <v>14.189648999999999</v>
      </c>
      <c r="B221" s="1">
        <f>DATE(2010,5,15) + TIME(4,33,5)</f>
        <v>40313.189641203702</v>
      </c>
      <c r="C221">
        <v>80</v>
      </c>
      <c r="D221">
        <v>79.938064574999999</v>
      </c>
      <c r="E221">
        <v>40</v>
      </c>
      <c r="F221">
        <v>14.999740600999999</v>
      </c>
      <c r="G221">
        <v>1338.8387451000001</v>
      </c>
      <c r="H221">
        <v>1336.6018065999999</v>
      </c>
      <c r="I221">
        <v>1324.1604004000001</v>
      </c>
      <c r="J221">
        <v>1321.4232178</v>
      </c>
      <c r="K221">
        <v>1650</v>
      </c>
      <c r="L221">
        <v>0</v>
      </c>
      <c r="M221">
        <v>0</v>
      </c>
      <c r="N221">
        <v>1650</v>
      </c>
    </row>
    <row r="222" spans="1:14" x14ac:dyDescent="0.25">
      <c r="A222">
        <v>14.290625</v>
      </c>
      <c r="B222" s="1">
        <f>DATE(2010,5,15) + TIME(6,58,29)</f>
        <v>40313.290613425925</v>
      </c>
      <c r="C222">
        <v>80</v>
      </c>
      <c r="D222">
        <v>79.938026428000001</v>
      </c>
      <c r="E222">
        <v>40</v>
      </c>
      <c r="F222">
        <v>14.999741554</v>
      </c>
      <c r="G222">
        <v>1338.8300781</v>
      </c>
      <c r="H222">
        <v>1336.5955810999999</v>
      </c>
      <c r="I222">
        <v>1324.1607666</v>
      </c>
      <c r="J222">
        <v>1321.4234618999999</v>
      </c>
      <c r="K222">
        <v>1650</v>
      </c>
      <c r="L222">
        <v>0</v>
      </c>
      <c r="M222">
        <v>0</v>
      </c>
      <c r="N222">
        <v>1650</v>
      </c>
    </row>
    <row r="223" spans="1:14" x14ac:dyDescent="0.25">
      <c r="A223">
        <v>14.391601</v>
      </c>
      <c r="B223" s="1">
        <f>DATE(2010,5,15) + TIME(9,23,54)</f>
        <v>40313.391597222224</v>
      </c>
      <c r="C223">
        <v>80</v>
      </c>
      <c r="D223">
        <v>79.937995911000002</v>
      </c>
      <c r="E223">
        <v>40</v>
      </c>
      <c r="F223">
        <v>14.999741554</v>
      </c>
      <c r="G223">
        <v>1338.8256836</v>
      </c>
      <c r="H223">
        <v>1336.5925293</v>
      </c>
      <c r="I223">
        <v>1324.1610106999999</v>
      </c>
      <c r="J223">
        <v>1321.4235839999999</v>
      </c>
      <c r="K223">
        <v>1650</v>
      </c>
      <c r="L223">
        <v>0</v>
      </c>
      <c r="M223">
        <v>0</v>
      </c>
      <c r="N223">
        <v>1650</v>
      </c>
    </row>
    <row r="224" spans="1:14" x14ac:dyDescent="0.25">
      <c r="A224">
        <v>14.492577000000001</v>
      </c>
      <c r="B224" s="1">
        <f>DATE(2010,5,15) + TIME(11,49,18)</f>
        <v>40313.492569444446</v>
      </c>
      <c r="C224">
        <v>80</v>
      </c>
      <c r="D224">
        <v>79.937965392999999</v>
      </c>
      <c r="E224">
        <v>40</v>
      </c>
      <c r="F224">
        <v>14.999742508000001</v>
      </c>
      <c r="G224">
        <v>1338.8214111</v>
      </c>
      <c r="H224">
        <v>1336.5894774999999</v>
      </c>
      <c r="I224">
        <v>1324.1612548999999</v>
      </c>
      <c r="J224">
        <v>1321.4237060999999</v>
      </c>
      <c r="K224">
        <v>1650</v>
      </c>
      <c r="L224">
        <v>0</v>
      </c>
      <c r="M224">
        <v>0</v>
      </c>
      <c r="N224">
        <v>1650</v>
      </c>
    </row>
    <row r="225" spans="1:14" x14ac:dyDescent="0.25">
      <c r="A225">
        <v>14.593553</v>
      </c>
      <c r="B225" s="1">
        <f>DATE(2010,5,15) + TIME(14,14,42)</f>
        <v>40313.593541666669</v>
      </c>
      <c r="C225">
        <v>80</v>
      </c>
      <c r="D225">
        <v>79.937934874999996</v>
      </c>
      <c r="E225">
        <v>40</v>
      </c>
      <c r="F225">
        <v>14.999742508000001</v>
      </c>
      <c r="G225">
        <v>1338.8171387</v>
      </c>
      <c r="H225">
        <v>1336.5864257999999</v>
      </c>
      <c r="I225">
        <v>1324.1613769999999</v>
      </c>
      <c r="J225">
        <v>1321.4238281</v>
      </c>
      <c r="K225">
        <v>1650</v>
      </c>
      <c r="L225">
        <v>0</v>
      </c>
      <c r="M225">
        <v>0</v>
      </c>
      <c r="N225">
        <v>1650</v>
      </c>
    </row>
    <row r="226" spans="1:14" x14ac:dyDescent="0.25">
      <c r="A226">
        <v>14.694528999999999</v>
      </c>
      <c r="B226" s="1">
        <f>DATE(2010,5,15) + TIME(16,40,7)</f>
        <v>40313.694525462961</v>
      </c>
      <c r="C226">
        <v>80</v>
      </c>
      <c r="D226">
        <v>79.937911987000007</v>
      </c>
      <c r="E226">
        <v>40</v>
      </c>
      <c r="F226">
        <v>14.999743462</v>
      </c>
      <c r="G226">
        <v>1338.8128661999999</v>
      </c>
      <c r="H226">
        <v>1336.5834961</v>
      </c>
      <c r="I226">
        <v>1324.1616211</v>
      </c>
      <c r="J226">
        <v>1321.4239502</v>
      </c>
      <c r="K226">
        <v>1650</v>
      </c>
      <c r="L226">
        <v>0</v>
      </c>
      <c r="M226">
        <v>0</v>
      </c>
      <c r="N226">
        <v>1650</v>
      </c>
    </row>
    <row r="227" spans="1:14" x14ac:dyDescent="0.25">
      <c r="A227">
        <v>14.795505</v>
      </c>
      <c r="B227" s="1">
        <f>DATE(2010,5,15) + TIME(19,5,31)</f>
        <v>40313.795497685183</v>
      </c>
      <c r="C227">
        <v>80</v>
      </c>
      <c r="D227">
        <v>79.937881469999994</v>
      </c>
      <c r="E227">
        <v>40</v>
      </c>
      <c r="F227">
        <v>14.999744415</v>
      </c>
      <c r="G227">
        <v>1338.8085937999999</v>
      </c>
      <c r="H227">
        <v>1336.5804443</v>
      </c>
      <c r="I227">
        <v>1324.1618652</v>
      </c>
      <c r="J227">
        <v>1321.4241943</v>
      </c>
      <c r="K227">
        <v>1650</v>
      </c>
      <c r="L227">
        <v>0</v>
      </c>
      <c r="M227">
        <v>0</v>
      </c>
      <c r="N227">
        <v>1650</v>
      </c>
    </row>
    <row r="228" spans="1:14" x14ac:dyDescent="0.25">
      <c r="A228">
        <v>14.896481</v>
      </c>
      <c r="B228" s="1">
        <f>DATE(2010,5,15) + TIME(21,30,55)</f>
        <v>40313.896469907406</v>
      </c>
      <c r="C228">
        <v>80</v>
      </c>
      <c r="D228">
        <v>79.937850952000005</v>
      </c>
      <c r="E228">
        <v>40</v>
      </c>
      <c r="F228">
        <v>14.999744415</v>
      </c>
      <c r="G228">
        <v>1338.8044434000001</v>
      </c>
      <c r="H228">
        <v>1336.5775146000001</v>
      </c>
      <c r="I228">
        <v>1324.1621094</v>
      </c>
      <c r="J228">
        <v>1321.4243164</v>
      </c>
      <c r="K228">
        <v>1650</v>
      </c>
      <c r="L228">
        <v>0</v>
      </c>
      <c r="M228">
        <v>0</v>
      </c>
      <c r="N228">
        <v>1650</v>
      </c>
    </row>
    <row r="229" spans="1:14" x14ac:dyDescent="0.25">
      <c r="A229">
        <v>14.997457000000001</v>
      </c>
      <c r="B229" s="1">
        <f>DATE(2010,5,15) + TIME(23,56,20)</f>
        <v>40313.997453703705</v>
      </c>
      <c r="C229">
        <v>80</v>
      </c>
      <c r="D229">
        <v>79.937828064000001</v>
      </c>
      <c r="E229">
        <v>40</v>
      </c>
      <c r="F229">
        <v>14.999745368999999</v>
      </c>
      <c r="G229">
        <v>1338.8001709</v>
      </c>
      <c r="H229">
        <v>1336.574707</v>
      </c>
      <c r="I229">
        <v>1324.1622314000001</v>
      </c>
      <c r="J229">
        <v>1321.4244385</v>
      </c>
      <c r="K229">
        <v>1650</v>
      </c>
      <c r="L229">
        <v>0</v>
      </c>
      <c r="M229">
        <v>0</v>
      </c>
      <c r="N229">
        <v>1650</v>
      </c>
    </row>
    <row r="230" spans="1:14" x14ac:dyDescent="0.25">
      <c r="A230">
        <v>15.098433</v>
      </c>
      <c r="B230" s="1">
        <f>DATE(2010,5,16) + TIME(2,21,44)</f>
        <v>40314.098425925928</v>
      </c>
      <c r="C230">
        <v>80</v>
      </c>
      <c r="D230">
        <v>79.937797545999999</v>
      </c>
      <c r="E230">
        <v>40</v>
      </c>
      <c r="F230">
        <v>14.999745368999999</v>
      </c>
      <c r="G230">
        <v>1338.7961425999999</v>
      </c>
      <c r="H230">
        <v>1336.5717772999999</v>
      </c>
      <c r="I230">
        <v>1324.1624756000001</v>
      </c>
      <c r="J230">
        <v>1321.4245605000001</v>
      </c>
      <c r="K230">
        <v>1650</v>
      </c>
      <c r="L230">
        <v>0</v>
      </c>
      <c r="M230">
        <v>0</v>
      </c>
      <c r="N230">
        <v>1650</v>
      </c>
    </row>
    <row r="231" spans="1:14" x14ac:dyDescent="0.25">
      <c r="A231">
        <v>15.199408999999999</v>
      </c>
      <c r="B231" s="1">
        <f>DATE(2010,5,16) + TIME(4,47,8)</f>
        <v>40314.19939814815</v>
      </c>
      <c r="C231">
        <v>80</v>
      </c>
      <c r="D231">
        <v>79.937774657999995</v>
      </c>
      <c r="E231">
        <v>40</v>
      </c>
      <c r="F231">
        <v>14.999746323</v>
      </c>
      <c r="G231">
        <v>1338.7919922000001</v>
      </c>
      <c r="H231">
        <v>1336.5689697</v>
      </c>
      <c r="I231">
        <v>1324.1627197</v>
      </c>
      <c r="J231">
        <v>1321.4246826000001</v>
      </c>
      <c r="K231">
        <v>1650</v>
      </c>
      <c r="L231">
        <v>0</v>
      </c>
      <c r="M231">
        <v>0</v>
      </c>
      <c r="N231">
        <v>1650</v>
      </c>
    </row>
    <row r="232" spans="1:14" x14ac:dyDescent="0.25">
      <c r="A232">
        <v>15.300385</v>
      </c>
      <c r="B232" s="1">
        <f>DATE(2010,5,16) + TIME(7,12,33)</f>
        <v>40314.300381944442</v>
      </c>
      <c r="C232">
        <v>80</v>
      </c>
      <c r="D232">
        <v>79.937744140999996</v>
      </c>
      <c r="E232">
        <v>40</v>
      </c>
      <c r="F232">
        <v>14.999747276000001</v>
      </c>
      <c r="G232">
        <v>1338.7878418</v>
      </c>
      <c r="H232">
        <v>1336.5660399999999</v>
      </c>
      <c r="I232">
        <v>1324.1629639</v>
      </c>
      <c r="J232">
        <v>1321.4248047000001</v>
      </c>
      <c r="K232">
        <v>1650</v>
      </c>
      <c r="L232">
        <v>0</v>
      </c>
      <c r="M232">
        <v>0</v>
      </c>
      <c r="N232">
        <v>1650</v>
      </c>
    </row>
    <row r="233" spans="1:14" x14ac:dyDescent="0.25">
      <c r="A233">
        <v>15.401361</v>
      </c>
      <c r="B233" s="1">
        <f>DATE(2010,5,16) + TIME(9,37,57)</f>
        <v>40314.401354166665</v>
      </c>
      <c r="C233">
        <v>80</v>
      </c>
      <c r="D233">
        <v>79.937721252000003</v>
      </c>
      <c r="E233">
        <v>40</v>
      </c>
      <c r="F233">
        <v>14.999747276000001</v>
      </c>
      <c r="G233">
        <v>1338.7838135</v>
      </c>
      <c r="H233">
        <v>1336.5632324000001</v>
      </c>
      <c r="I233">
        <v>1324.1630858999999</v>
      </c>
      <c r="J233">
        <v>1321.4250488</v>
      </c>
      <c r="K233">
        <v>1650</v>
      </c>
      <c r="L233">
        <v>0</v>
      </c>
      <c r="M233">
        <v>0</v>
      </c>
      <c r="N233">
        <v>1650</v>
      </c>
    </row>
    <row r="234" spans="1:14" x14ac:dyDescent="0.25">
      <c r="A234">
        <v>15.502337000000001</v>
      </c>
      <c r="B234" s="1">
        <f>DATE(2010,5,16) + TIME(12,3,21)</f>
        <v>40314.502326388887</v>
      </c>
      <c r="C234">
        <v>80</v>
      </c>
      <c r="D234">
        <v>79.937690735000004</v>
      </c>
      <c r="E234">
        <v>40</v>
      </c>
      <c r="F234">
        <v>14.99974823</v>
      </c>
      <c r="G234">
        <v>1338.7797852000001</v>
      </c>
      <c r="H234">
        <v>1336.5604248</v>
      </c>
      <c r="I234">
        <v>1324.1633300999999</v>
      </c>
      <c r="J234">
        <v>1321.4251709</v>
      </c>
      <c r="K234">
        <v>1650</v>
      </c>
      <c r="L234">
        <v>0</v>
      </c>
      <c r="M234">
        <v>0</v>
      </c>
      <c r="N234">
        <v>1650</v>
      </c>
    </row>
    <row r="235" spans="1:14" x14ac:dyDescent="0.25">
      <c r="A235">
        <v>15.603313</v>
      </c>
      <c r="B235" s="1">
        <f>DATE(2010,5,16) + TIME(14,28,46)</f>
        <v>40314.603310185186</v>
      </c>
      <c r="C235">
        <v>80</v>
      </c>
      <c r="D235">
        <v>79.937667847</v>
      </c>
      <c r="E235">
        <v>40</v>
      </c>
      <c r="F235">
        <v>14.99974823</v>
      </c>
      <c r="G235">
        <v>1338.7757568</v>
      </c>
      <c r="H235">
        <v>1336.5577393000001</v>
      </c>
      <c r="I235">
        <v>1324.1635742000001</v>
      </c>
      <c r="J235">
        <v>1321.425293</v>
      </c>
      <c r="K235">
        <v>1650</v>
      </c>
      <c r="L235">
        <v>0</v>
      </c>
      <c r="M235">
        <v>0</v>
      </c>
      <c r="N235">
        <v>1650</v>
      </c>
    </row>
    <row r="236" spans="1:14" x14ac:dyDescent="0.25">
      <c r="A236">
        <v>15.805265</v>
      </c>
      <c r="B236" s="1">
        <f>DATE(2010,5,16) + TIME(19,19,34)</f>
        <v>40314.805254629631</v>
      </c>
      <c r="C236">
        <v>80</v>
      </c>
      <c r="D236">
        <v>79.937629700000002</v>
      </c>
      <c r="E236">
        <v>40</v>
      </c>
      <c r="F236">
        <v>14.999749184000001</v>
      </c>
      <c r="G236">
        <v>1338.7718506000001</v>
      </c>
      <c r="H236">
        <v>1336.5550536999999</v>
      </c>
      <c r="I236">
        <v>1324.1638184000001</v>
      </c>
      <c r="J236">
        <v>1321.4254149999999</v>
      </c>
      <c r="K236">
        <v>1650</v>
      </c>
      <c r="L236">
        <v>0</v>
      </c>
      <c r="M236">
        <v>0</v>
      </c>
      <c r="N236">
        <v>1650</v>
      </c>
    </row>
    <row r="237" spans="1:14" x14ac:dyDescent="0.25">
      <c r="A237">
        <v>16.007514</v>
      </c>
      <c r="B237" s="1">
        <f>DATE(2010,5,17) + TIME(0,10,49)</f>
        <v>40315.007511574076</v>
      </c>
      <c r="C237">
        <v>80</v>
      </c>
      <c r="D237">
        <v>79.937583923000005</v>
      </c>
      <c r="E237">
        <v>40</v>
      </c>
      <c r="F237">
        <v>14.999750136999999</v>
      </c>
      <c r="G237">
        <v>1338.7640381000001</v>
      </c>
      <c r="H237">
        <v>1336.5496826000001</v>
      </c>
      <c r="I237">
        <v>1324.1641846</v>
      </c>
      <c r="J237">
        <v>1321.4257812000001</v>
      </c>
      <c r="K237">
        <v>1650</v>
      </c>
      <c r="L237">
        <v>0</v>
      </c>
      <c r="M237">
        <v>0</v>
      </c>
      <c r="N237">
        <v>1650</v>
      </c>
    </row>
    <row r="238" spans="1:14" x14ac:dyDescent="0.25">
      <c r="A238">
        <v>16.211565</v>
      </c>
      <c r="B238" s="1">
        <f>DATE(2010,5,17) + TIME(5,4,39)</f>
        <v>40315.211562500001</v>
      </c>
      <c r="C238">
        <v>80</v>
      </c>
      <c r="D238">
        <v>79.937538146999998</v>
      </c>
      <c r="E238">
        <v>40</v>
      </c>
      <c r="F238">
        <v>14.999752044999999</v>
      </c>
      <c r="G238">
        <v>1338.7562256000001</v>
      </c>
      <c r="H238">
        <v>1336.5443115</v>
      </c>
      <c r="I238">
        <v>1324.1646728999999</v>
      </c>
      <c r="J238">
        <v>1321.4260254000001</v>
      </c>
      <c r="K238">
        <v>1650</v>
      </c>
      <c r="L238">
        <v>0</v>
      </c>
      <c r="M238">
        <v>0</v>
      </c>
      <c r="N238">
        <v>1650</v>
      </c>
    </row>
    <row r="239" spans="1:14" x14ac:dyDescent="0.25">
      <c r="A239">
        <v>16.417805999999999</v>
      </c>
      <c r="B239" s="1">
        <f>DATE(2010,5,17) + TIME(10,1,38)</f>
        <v>40315.417800925927</v>
      </c>
      <c r="C239">
        <v>80</v>
      </c>
      <c r="D239">
        <v>79.937492371000005</v>
      </c>
      <c r="E239">
        <v>40</v>
      </c>
      <c r="F239">
        <v>14.999752998</v>
      </c>
      <c r="G239">
        <v>1338.7484131000001</v>
      </c>
      <c r="H239">
        <v>1336.5389404</v>
      </c>
      <c r="I239">
        <v>1324.1650391000001</v>
      </c>
      <c r="J239">
        <v>1321.4262695</v>
      </c>
      <c r="K239">
        <v>1650</v>
      </c>
      <c r="L239">
        <v>0</v>
      </c>
      <c r="M239">
        <v>0</v>
      </c>
      <c r="N239">
        <v>1650</v>
      </c>
    </row>
    <row r="240" spans="1:14" x14ac:dyDescent="0.25">
      <c r="A240">
        <v>16.626666</v>
      </c>
      <c r="B240" s="1">
        <f>DATE(2010,5,17) + TIME(15,2,23)</f>
        <v>40315.626655092594</v>
      </c>
      <c r="C240">
        <v>80</v>
      </c>
      <c r="D240">
        <v>79.937446593999994</v>
      </c>
      <c r="E240">
        <v>40</v>
      </c>
      <c r="F240">
        <v>14.999753952000001</v>
      </c>
      <c r="G240">
        <v>1338.7406006000001</v>
      </c>
      <c r="H240">
        <v>1336.5336914</v>
      </c>
      <c r="I240">
        <v>1324.1655272999999</v>
      </c>
      <c r="J240">
        <v>1321.4266356999999</v>
      </c>
      <c r="K240">
        <v>1650</v>
      </c>
      <c r="L240">
        <v>0</v>
      </c>
      <c r="M240">
        <v>0</v>
      </c>
      <c r="N240">
        <v>1650</v>
      </c>
    </row>
    <row r="241" spans="1:14" x14ac:dyDescent="0.25">
      <c r="A241">
        <v>16.838595000000002</v>
      </c>
      <c r="B241" s="1">
        <f>DATE(2010,5,17) + TIME(20,7,34)</f>
        <v>40315.838587962964</v>
      </c>
      <c r="C241">
        <v>80</v>
      </c>
      <c r="D241">
        <v>79.937393188000001</v>
      </c>
      <c r="E241">
        <v>40</v>
      </c>
      <c r="F241">
        <v>14.999754906</v>
      </c>
      <c r="G241">
        <v>1338.7329102000001</v>
      </c>
      <c r="H241">
        <v>1336.5283202999999</v>
      </c>
      <c r="I241">
        <v>1324.1660156</v>
      </c>
      <c r="J241">
        <v>1321.4268798999999</v>
      </c>
      <c r="K241">
        <v>1650</v>
      </c>
      <c r="L241">
        <v>0</v>
      </c>
      <c r="M241">
        <v>0</v>
      </c>
      <c r="N241">
        <v>1650</v>
      </c>
    </row>
    <row r="242" spans="1:14" x14ac:dyDescent="0.25">
      <c r="A242">
        <v>17.054078000000001</v>
      </c>
      <c r="B242" s="1">
        <f>DATE(2010,5,18) + TIME(1,17,52)</f>
        <v>40316.054074074076</v>
      </c>
      <c r="C242">
        <v>80</v>
      </c>
      <c r="D242">
        <v>79.937347411999994</v>
      </c>
      <c r="E242">
        <v>40</v>
      </c>
      <c r="F242">
        <v>14.999755859</v>
      </c>
      <c r="G242">
        <v>1338.7250977000001</v>
      </c>
      <c r="H242">
        <v>1336.5229492000001</v>
      </c>
      <c r="I242">
        <v>1324.1663818</v>
      </c>
      <c r="J242">
        <v>1321.4272461</v>
      </c>
      <c r="K242">
        <v>1650</v>
      </c>
      <c r="L242">
        <v>0</v>
      </c>
      <c r="M242">
        <v>0</v>
      </c>
      <c r="N242">
        <v>1650</v>
      </c>
    </row>
    <row r="243" spans="1:14" x14ac:dyDescent="0.25">
      <c r="A243">
        <v>17.273693999999999</v>
      </c>
      <c r="B243" s="1">
        <f>DATE(2010,5,18) + TIME(6,34,7)</f>
        <v>40316.273692129631</v>
      </c>
      <c r="C243">
        <v>80</v>
      </c>
      <c r="D243">
        <v>79.937294006000002</v>
      </c>
      <c r="E243">
        <v>40</v>
      </c>
      <c r="F243">
        <v>14.999756812999999</v>
      </c>
      <c r="G243">
        <v>1338.7172852000001</v>
      </c>
      <c r="H243">
        <v>1336.5177002</v>
      </c>
      <c r="I243">
        <v>1324.1668701000001</v>
      </c>
      <c r="J243">
        <v>1321.4274902</v>
      </c>
      <c r="K243">
        <v>1650</v>
      </c>
      <c r="L243">
        <v>0</v>
      </c>
      <c r="M243">
        <v>0</v>
      </c>
      <c r="N243">
        <v>1650</v>
      </c>
    </row>
    <row r="244" spans="1:14" x14ac:dyDescent="0.25">
      <c r="A244">
        <v>17.497900000000001</v>
      </c>
      <c r="B244" s="1">
        <f>DATE(2010,5,18) + TIME(11,56,58)</f>
        <v>40316.497893518521</v>
      </c>
      <c r="C244">
        <v>80</v>
      </c>
      <c r="D244">
        <v>79.937248229999994</v>
      </c>
      <c r="E244">
        <v>40</v>
      </c>
      <c r="F244">
        <v>14.999757767</v>
      </c>
      <c r="G244">
        <v>1338.7093506000001</v>
      </c>
      <c r="H244">
        <v>1336.5123291</v>
      </c>
      <c r="I244">
        <v>1324.1673584</v>
      </c>
      <c r="J244">
        <v>1321.4278564000001</v>
      </c>
      <c r="K244">
        <v>1650</v>
      </c>
      <c r="L244">
        <v>0</v>
      </c>
      <c r="M244">
        <v>0</v>
      </c>
      <c r="N244">
        <v>1650</v>
      </c>
    </row>
    <row r="245" spans="1:14" x14ac:dyDescent="0.25">
      <c r="A245">
        <v>17.724978</v>
      </c>
      <c r="B245" s="1">
        <f>DATE(2010,5,18) + TIME(17,23,58)</f>
        <v>40316.724976851852</v>
      </c>
      <c r="C245">
        <v>80</v>
      </c>
      <c r="D245">
        <v>79.937194824000002</v>
      </c>
      <c r="E245">
        <v>40</v>
      </c>
      <c r="F245">
        <v>14.999758720000001</v>
      </c>
      <c r="G245">
        <v>1338.7014160000001</v>
      </c>
      <c r="H245">
        <v>1336.5069579999999</v>
      </c>
      <c r="I245">
        <v>1324.1678466999999</v>
      </c>
      <c r="J245">
        <v>1321.4281006000001</v>
      </c>
      <c r="K245">
        <v>1650</v>
      </c>
      <c r="L245">
        <v>0</v>
      </c>
      <c r="M245">
        <v>0</v>
      </c>
      <c r="N245">
        <v>1650</v>
      </c>
    </row>
    <row r="246" spans="1:14" x14ac:dyDescent="0.25">
      <c r="A246">
        <v>17.954636000000001</v>
      </c>
      <c r="B246" s="1">
        <f>DATE(2010,5,18) + TIME(22,54,40)</f>
        <v>40316.954629629632</v>
      </c>
      <c r="C246">
        <v>80</v>
      </c>
      <c r="D246">
        <v>79.937141417999996</v>
      </c>
      <c r="E246">
        <v>40</v>
      </c>
      <c r="F246">
        <v>14.999759674</v>
      </c>
      <c r="G246">
        <v>1338.6934814000001</v>
      </c>
      <c r="H246">
        <v>1336.5015868999999</v>
      </c>
      <c r="I246">
        <v>1324.1683350000001</v>
      </c>
      <c r="J246">
        <v>1321.4284668</v>
      </c>
      <c r="K246">
        <v>1650</v>
      </c>
      <c r="L246">
        <v>0</v>
      </c>
      <c r="M246">
        <v>0</v>
      </c>
      <c r="N246">
        <v>1650</v>
      </c>
    </row>
    <row r="247" spans="1:14" x14ac:dyDescent="0.25">
      <c r="A247">
        <v>18.070464000000001</v>
      </c>
      <c r="B247" s="1">
        <f>DATE(2010,5,19) + TIME(1,41,28)</f>
        <v>40317.070462962962</v>
      </c>
      <c r="C247">
        <v>80</v>
      </c>
      <c r="D247">
        <v>79.937110900999997</v>
      </c>
      <c r="E247">
        <v>40</v>
      </c>
      <c r="F247">
        <v>14.999760628000001</v>
      </c>
      <c r="G247">
        <v>1338.6855469</v>
      </c>
      <c r="H247">
        <v>1336.4960937999999</v>
      </c>
      <c r="I247">
        <v>1324.1688231999999</v>
      </c>
      <c r="J247">
        <v>1321.4287108999999</v>
      </c>
      <c r="K247">
        <v>1650</v>
      </c>
      <c r="L247">
        <v>0</v>
      </c>
      <c r="M247">
        <v>0</v>
      </c>
      <c r="N247">
        <v>1650</v>
      </c>
    </row>
    <row r="248" spans="1:14" x14ac:dyDescent="0.25">
      <c r="A248">
        <v>18.186291000000001</v>
      </c>
      <c r="B248" s="1">
        <f>DATE(2010,5,19) + TIME(4,28,15)</f>
        <v>40317.186284722222</v>
      </c>
      <c r="C248">
        <v>80</v>
      </c>
      <c r="D248">
        <v>79.937080382999994</v>
      </c>
      <c r="E248">
        <v>40</v>
      </c>
      <c r="F248">
        <v>14.999760628000001</v>
      </c>
      <c r="G248">
        <v>1338.6815185999999</v>
      </c>
      <c r="H248">
        <v>1336.4934082</v>
      </c>
      <c r="I248">
        <v>1324.1690673999999</v>
      </c>
      <c r="J248">
        <v>1321.4289550999999</v>
      </c>
      <c r="K248">
        <v>1650</v>
      </c>
      <c r="L248">
        <v>0</v>
      </c>
      <c r="M248">
        <v>0</v>
      </c>
      <c r="N248">
        <v>1650</v>
      </c>
    </row>
    <row r="249" spans="1:14" x14ac:dyDescent="0.25">
      <c r="A249">
        <v>18.302119000000001</v>
      </c>
      <c r="B249" s="1">
        <f>DATE(2010,5,19) + TIME(7,15,3)</f>
        <v>40317.302118055559</v>
      </c>
      <c r="C249">
        <v>80</v>
      </c>
      <c r="D249">
        <v>79.937049865999995</v>
      </c>
      <c r="E249">
        <v>40</v>
      </c>
      <c r="F249">
        <v>14.999761581</v>
      </c>
      <c r="G249">
        <v>1338.6776123</v>
      </c>
      <c r="H249">
        <v>1336.4907227000001</v>
      </c>
      <c r="I249">
        <v>1324.1693115</v>
      </c>
      <c r="J249">
        <v>1321.4290771000001</v>
      </c>
      <c r="K249">
        <v>1650</v>
      </c>
      <c r="L249">
        <v>0</v>
      </c>
      <c r="M249">
        <v>0</v>
      </c>
      <c r="N249">
        <v>1650</v>
      </c>
    </row>
    <row r="250" spans="1:14" x14ac:dyDescent="0.25">
      <c r="A250">
        <v>18.417947000000002</v>
      </c>
      <c r="B250" s="1">
        <f>DATE(2010,5,19) + TIME(10,1,50)</f>
        <v>40317.417939814812</v>
      </c>
      <c r="C250">
        <v>80</v>
      </c>
      <c r="D250">
        <v>79.937019348000007</v>
      </c>
      <c r="E250">
        <v>40</v>
      </c>
      <c r="F250">
        <v>14.999762535</v>
      </c>
      <c r="G250">
        <v>1338.6737060999999</v>
      </c>
      <c r="H250">
        <v>1336.4880370999999</v>
      </c>
      <c r="I250">
        <v>1324.1695557</v>
      </c>
      <c r="J250">
        <v>1321.4291992000001</v>
      </c>
      <c r="K250">
        <v>1650</v>
      </c>
      <c r="L250">
        <v>0</v>
      </c>
      <c r="M250">
        <v>0</v>
      </c>
      <c r="N250">
        <v>1650</v>
      </c>
    </row>
    <row r="251" spans="1:14" x14ac:dyDescent="0.25">
      <c r="A251">
        <v>18.533774999999999</v>
      </c>
      <c r="B251" s="1">
        <f>DATE(2010,5,19) + TIME(12,48,38)</f>
        <v>40317.533773148149</v>
      </c>
      <c r="C251">
        <v>80</v>
      </c>
      <c r="D251">
        <v>79.936988830999994</v>
      </c>
      <c r="E251">
        <v>40</v>
      </c>
      <c r="F251">
        <v>14.999762535</v>
      </c>
      <c r="G251">
        <v>1338.6697998</v>
      </c>
      <c r="H251">
        <v>1336.4853516000001</v>
      </c>
      <c r="I251">
        <v>1324.1697998</v>
      </c>
      <c r="J251">
        <v>1321.4294434000001</v>
      </c>
      <c r="K251">
        <v>1650</v>
      </c>
      <c r="L251">
        <v>0</v>
      </c>
      <c r="M251">
        <v>0</v>
      </c>
      <c r="N251">
        <v>1650</v>
      </c>
    </row>
    <row r="252" spans="1:14" x14ac:dyDescent="0.25">
      <c r="A252">
        <v>18.649602999999999</v>
      </c>
      <c r="B252" s="1">
        <f>DATE(2010,5,19) + TIME(15,35,25)</f>
        <v>40317.649594907409</v>
      </c>
      <c r="C252">
        <v>80</v>
      </c>
      <c r="D252">
        <v>79.936965942</v>
      </c>
      <c r="E252">
        <v>40</v>
      </c>
      <c r="F252">
        <v>14.999763488999999</v>
      </c>
      <c r="G252">
        <v>1338.6660156</v>
      </c>
      <c r="H252">
        <v>1336.4827881000001</v>
      </c>
      <c r="I252">
        <v>1324.1700439000001</v>
      </c>
      <c r="J252">
        <v>1321.4295654</v>
      </c>
      <c r="K252">
        <v>1650</v>
      </c>
      <c r="L252">
        <v>0</v>
      </c>
      <c r="M252">
        <v>0</v>
      </c>
      <c r="N252">
        <v>1650</v>
      </c>
    </row>
    <row r="253" spans="1:14" x14ac:dyDescent="0.25">
      <c r="A253">
        <v>18.765431</v>
      </c>
      <c r="B253" s="1">
        <f>DATE(2010,5,19) + TIME(18,22,13)</f>
        <v>40317.765428240738</v>
      </c>
      <c r="C253">
        <v>80</v>
      </c>
      <c r="D253">
        <v>79.936935425000001</v>
      </c>
      <c r="E253">
        <v>40</v>
      </c>
      <c r="F253">
        <v>14.999763488999999</v>
      </c>
      <c r="G253">
        <v>1338.6621094</v>
      </c>
      <c r="H253">
        <v>1336.4802245999999</v>
      </c>
      <c r="I253">
        <v>1324.1702881000001</v>
      </c>
      <c r="J253">
        <v>1321.4296875</v>
      </c>
      <c r="K253">
        <v>1650</v>
      </c>
      <c r="L253">
        <v>0</v>
      </c>
      <c r="M253">
        <v>0</v>
      </c>
      <c r="N253">
        <v>1650</v>
      </c>
    </row>
    <row r="254" spans="1:14" x14ac:dyDescent="0.25">
      <c r="A254">
        <v>18.881259</v>
      </c>
      <c r="B254" s="1">
        <f>DATE(2010,5,19) + TIME(21,9,0)</f>
        <v>40317.881249999999</v>
      </c>
      <c r="C254">
        <v>80</v>
      </c>
      <c r="D254">
        <v>79.936912536999998</v>
      </c>
      <c r="E254">
        <v>40</v>
      </c>
      <c r="F254">
        <v>14.999764442</v>
      </c>
      <c r="G254">
        <v>1338.6583252</v>
      </c>
      <c r="H254">
        <v>1336.4776611</v>
      </c>
      <c r="I254">
        <v>1324.1705322</v>
      </c>
      <c r="J254">
        <v>1321.4299315999999</v>
      </c>
      <c r="K254">
        <v>1650</v>
      </c>
      <c r="L254">
        <v>0</v>
      </c>
      <c r="M254">
        <v>0</v>
      </c>
      <c r="N254">
        <v>1650</v>
      </c>
    </row>
    <row r="255" spans="1:14" x14ac:dyDescent="0.25">
      <c r="A255">
        <v>18.997087000000001</v>
      </c>
      <c r="B255" s="1">
        <f>DATE(2010,5,19) + TIME(23,55,48)</f>
        <v>40317.997083333335</v>
      </c>
      <c r="C255">
        <v>80</v>
      </c>
      <c r="D255">
        <v>79.936882018999995</v>
      </c>
      <c r="E255">
        <v>40</v>
      </c>
      <c r="F255">
        <v>14.999765396000001</v>
      </c>
      <c r="G255">
        <v>1338.6545410000001</v>
      </c>
      <c r="H255">
        <v>1336.4750977000001</v>
      </c>
      <c r="I255">
        <v>1324.1707764</v>
      </c>
      <c r="J255">
        <v>1321.4300536999999</v>
      </c>
      <c r="K255">
        <v>1650</v>
      </c>
      <c r="L255">
        <v>0</v>
      </c>
      <c r="M255">
        <v>0</v>
      </c>
      <c r="N255">
        <v>1650</v>
      </c>
    </row>
    <row r="256" spans="1:14" x14ac:dyDescent="0.25">
      <c r="A256">
        <v>19.112915000000001</v>
      </c>
      <c r="B256" s="1">
        <f>DATE(2010,5,20) + TIME(2,42,35)</f>
        <v>40318.112905092596</v>
      </c>
      <c r="C256">
        <v>80</v>
      </c>
      <c r="D256">
        <v>79.936859131000006</v>
      </c>
      <c r="E256">
        <v>40</v>
      </c>
      <c r="F256">
        <v>14.999765396000001</v>
      </c>
      <c r="G256">
        <v>1338.6507568</v>
      </c>
      <c r="H256">
        <v>1336.4725341999999</v>
      </c>
      <c r="I256">
        <v>1324.1710204999999</v>
      </c>
      <c r="J256">
        <v>1321.4301757999999</v>
      </c>
      <c r="K256">
        <v>1650</v>
      </c>
      <c r="L256">
        <v>0</v>
      </c>
      <c r="M256">
        <v>0</v>
      </c>
      <c r="N256">
        <v>1650</v>
      </c>
    </row>
    <row r="257" spans="1:14" x14ac:dyDescent="0.25">
      <c r="A257">
        <v>19.228743000000001</v>
      </c>
      <c r="B257" s="1">
        <f>DATE(2010,5,20) + TIME(5,29,23)</f>
        <v>40318.228738425925</v>
      </c>
      <c r="C257">
        <v>80</v>
      </c>
      <c r="D257">
        <v>79.936836243000002</v>
      </c>
      <c r="E257">
        <v>40</v>
      </c>
      <c r="F257">
        <v>14.99976635</v>
      </c>
      <c r="G257">
        <v>1338.6470947</v>
      </c>
      <c r="H257">
        <v>1336.4699707</v>
      </c>
      <c r="I257">
        <v>1324.1712646000001</v>
      </c>
      <c r="J257">
        <v>1321.4304199000001</v>
      </c>
      <c r="K257">
        <v>1650</v>
      </c>
      <c r="L257">
        <v>0</v>
      </c>
      <c r="M257">
        <v>0</v>
      </c>
      <c r="N257">
        <v>1650</v>
      </c>
    </row>
    <row r="258" spans="1:14" x14ac:dyDescent="0.25">
      <c r="A258">
        <v>19.344570000000001</v>
      </c>
      <c r="B258" s="1">
        <f>DATE(2010,5,20) + TIME(8,16,10)</f>
        <v>40318.344560185185</v>
      </c>
      <c r="C258">
        <v>80</v>
      </c>
      <c r="D258">
        <v>79.936813353999995</v>
      </c>
      <c r="E258">
        <v>40</v>
      </c>
      <c r="F258">
        <v>14.99976635</v>
      </c>
      <c r="G258">
        <v>1338.6433105000001</v>
      </c>
      <c r="H258">
        <v>1336.4674072</v>
      </c>
      <c r="I258">
        <v>1324.1716309000001</v>
      </c>
      <c r="J258">
        <v>1321.4305420000001</v>
      </c>
      <c r="K258">
        <v>1650</v>
      </c>
      <c r="L258">
        <v>0</v>
      </c>
      <c r="M258">
        <v>0</v>
      </c>
      <c r="N258">
        <v>1650</v>
      </c>
    </row>
    <row r="259" spans="1:14" x14ac:dyDescent="0.25">
      <c r="A259">
        <v>19.460398000000001</v>
      </c>
      <c r="B259" s="1">
        <f>DATE(2010,5,20) + TIME(11,2,58)</f>
        <v>40318.460393518515</v>
      </c>
      <c r="C259">
        <v>80</v>
      </c>
      <c r="D259">
        <v>79.936782836999996</v>
      </c>
      <c r="E259">
        <v>40</v>
      </c>
      <c r="F259">
        <v>14.999767303</v>
      </c>
      <c r="G259">
        <v>1338.6396483999999</v>
      </c>
      <c r="H259">
        <v>1336.4649658000001</v>
      </c>
      <c r="I259">
        <v>1324.171875</v>
      </c>
      <c r="J259">
        <v>1321.4307861</v>
      </c>
      <c r="K259">
        <v>1650</v>
      </c>
      <c r="L259">
        <v>0</v>
      </c>
      <c r="M259">
        <v>0</v>
      </c>
      <c r="N259">
        <v>1650</v>
      </c>
    </row>
    <row r="260" spans="1:14" x14ac:dyDescent="0.25">
      <c r="A260">
        <v>19.576225999999998</v>
      </c>
      <c r="B260" s="1">
        <f>DATE(2010,5,20) + TIME(13,49,45)</f>
        <v>40318.576215277775</v>
      </c>
      <c r="C260">
        <v>80</v>
      </c>
      <c r="D260">
        <v>79.936759949000006</v>
      </c>
      <c r="E260">
        <v>40</v>
      </c>
      <c r="F260">
        <v>14.999767303</v>
      </c>
      <c r="G260">
        <v>1338.6359863</v>
      </c>
      <c r="H260">
        <v>1336.4625243999999</v>
      </c>
      <c r="I260">
        <v>1324.1721190999999</v>
      </c>
      <c r="J260">
        <v>1321.4309082</v>
      </c>
      <c r="K260">
        <v>1650</v>
      </c>
      <c r="L260">
        <v>0</v>
      </c>
      <c r="M260">
        <v>0</v>
      </c>
      <c r="N260">
        <v>1650</v>
      </c>
    </row>
    <row r="261" spans="1:14" x14ac:dyDescent="0.25">
      <c r="A261">
        <v>19.807881999999999</v>
      </c>
      <c r="B261" s="1">
        <f>DATE(2010,5,20) + TIME(19,23,21)</f>
        <v>40318.807881944442</v>
      </c>
      <c r="C261">
        <v>80</v>
      </c>
      <c r="D261">
        <v>79.936729431000003</v>
      </c>
      <c r="E261">
        <v>40</v>
      </c>
      <c r="F261">
        <v>14.999768256999999</v>
      </c>
      <c r="G261">
        <v>1338.6324463000001</v>
      </c>
      <c r="H261">
        <v>1336.4602050999999</v>
      </c>
      <c r="I261">
        <v>1324.1723632999999</v>
      </c>
      <c r="J261">
        <v>1321.4311522999999</v>
      </c>
      <c r="K261">
        <v>1650</v>
      </c>
      <c r="L261">
        <v>0</v>
      </c>
      <c r="M261">
        <v>0</v>
      </c>
      <c r="N261">
        <v>1650</v>
      </c>
    </row>
    <row r="262" spans="1:14" x14ac:dyDescent="0.25">
      <c r="A262">
        <v>20.040018</v>
      </c>
      <c r="B262" s="1">
        <f>DATE(2010,5,21) + TIME(0,57,37)</f>
        <v>40319.040011574078</v>
      </c>
      <c r="C262">
        <v>80</v>
      </c>
      <c r="D262">
        <v>79.936683654999996</v>
      </c>
      <c r="E262">
        <v>40</v>
      </c>
      <c r="F262">
        <v>14.999769211</v>
      </c>
      <c r="G262">
        <v>1338.6252440999999</v>
      </c>
      <c r="H262">
        <v>1336.4553223</v>
      </c>
      <c r="I262">
        <v>1324.1728516000001</v>
      </c>
      <c r="J262">
        <v>1321.4313964999999</v>
      </c>
      <c r="K262">
        <v>1650</v>
      </c>
      <c r="L262">
        <v>0</v>
      </c>
      <c r="M262">
        <v>0</v>
      </c>
      <c r="N262">
        <v>1650</v>
      </c>
    </row>
    <row r="263" spans="1:14" x14ac:dyDescent="0.25">
      <c r="A263">
        <v>20.274539000000001</v>
      </c>
      <c r="B263" s="1">
        <f>DATE(2010,5,21) + TIME(6,35,20)</f>
        <v>40319.274537037039</v>
      </c>
      <c r="C263">
        <v>80</v>
      </c>
      <c r="D263">
        <v>79.936645507999998</v>
      </c>
      <c r="E263">
        <v>40</v>
      </c>
      <c r="F263">
        <v>14.999770163999999</v>
      </c>
      <c r="G263">
        <v>1338.6180420000001</v>
      </c>
      <c r="H263">
        <v>1336.4505615</v>
      </c>
      <c r="I263">
        <v>1324.1733397999999</v>
      </c>
      <c r="J263">
        <v>1321.4317627</v>
      </c>
      <c r="K263">
        <v>1650</v>
      </c>
      <c r="L263">
        <v>0</v>
      </c>
      <c r="M263">
        <v>0</v>
      </c>
      <c r="N263">
        <v>1650</v>
      </c>
    </row>
    <row r="264" spans="1:14" x14ac:dyDescent="0.25">
      <c r="A264">
        <v>20.511887000000002</v>
      </c>
      <c r="B264" s="1">
        <f>DATE(2010,5,21) + TIME(12,17,7)</f>
        <v>40319.511886574073</v>
      </c>
      <c r="C264">
        <v>80</v>
      </c>
      <c r="D264">
        <v>79.936599731000001</v>
      </c>
      <c r="E264">
        <v>40</v>
      </c>
      <c r="F264">
        <v>14.999771118</v>
      </c>
      <c r="G264">
        <v>1338.6108397999999</v>
      </c>
      <c r="H264">
        <v>1336.4456786999999</v>
      </c>
      <c r="I264">
        <v>1324.1739502</v>
      </c>
      <c r="J264">
        <v>1321.4321289</v>
      </c>
      <c r="K264">
        <v>1650</v>
      </c>
      <c r="L264">
        <v>0</v>
      </c>
      <c r="M264">
        <v>0</v>
      </c>
      <c r="N264">
        <v>1650</v>
      </c>
    </row>
    <row r="265" spans="1:14" x14ac:dyDescent="0.25">
      <c r="A265">
        <v>20.752534000000001</v>
      </c>
      <c r="B265" s="1">
        <f>DATE(2010,5,21) + TIME(18,3,38)</f>
        <v>40319.752523148149</v>
      </c>
      <c r="C265">
        <v>80</v>
      </c>
      <c r="D265">
        <v>79.936553954999994</v>
      </c>
      <c r="E265">
        <v>40</v>
      </c>
      <c r="F265">
        <v>14.999772072000001</v>
      </c>
      <c r="G265">
        <v>1338.6036377</v>
      </c>
      <c r="H265">
        <v>1336.440918</v>
      </c>
      <c r="I265">
        <v>1324.1744385</v>
      </c>
      <c r="J265">
        <v>1321.4324951000001</v>
      </c>
      <c r="K265">
        <v>1650</v>
      </c>
      <c r="L265">
        <v>0</v>
      </c>
      <c r="M265">
        <v>0</v>
      </c>
      <c r="N265">
        <v>1650</v>
      </c>
    </row>
    <row r="266" spans="1:14" x14ac:dyDescent="0.25">
      <c r="A266">
        <v>20.996980000000001</v>
      </c>
      <c r="B266" s="1">
        <f>DATE(2010,5,21) + TIME(23,55,39)</f>
        <v>40319.996979166666</v>
      </c>
      <c r="C266">
        <v>80</v>
      </c>
      <c r="D266">
        <v>79.936508179</v>
      </c>
      <c r="E266">
        <v>40</v>
      </c>
      <c r="F266">
        <v>14.999773026</v>
      </c>
      <c r="G266">
        <v>1338.5964355000001</v>
      </c>
      <c r="H266">
        <v>1336.4361572</v>
      </c>
      <c r="I266">
        <v>1324.1749268000001</v>
      </c>
      <c r="J266">
        <v>1321.4328613</v>
      </c>
      <c r="K266">
        <v>1650</v>
      </c>
      <c r="L266">
        <v>0</v>
      </c>
      <c r="M266">
        <v>0</v>
      </c>
      <c r="N266">
        <v>1650</v>
      </c>
    </row>
    <row r="267" spans="1:14" x14ac:dyDescent="0.25">
      <c r="A267">
        <v>21.245840000000001</v>
      </c>
      <c r="B267" s="1">
        <f>DATE(2010,5,22) + TIME(5,54,0)</f>
        <v>40320.245833333334</v>
      </c>
      <c r="C267">
        <v>80</v>
      </c>
      <c r="D267">
        <v>79.936462402000004</v>
      </c>
      <c r="E267">
        <v>40</v>
      </c>
      <c r="F267">
        <v>14.999773979</v>
      </c>
      <c r="G267">
        <v>1338.5892334</v>
      </c>
      <c r="H267">
        <v>1336.4313964999999</v>
      </c>
      <c r="I267">
        <v>1324.1755370999999</v>
      </c>
      <c r="J267">
        <v>1321.4332274999999</v>
      </c>
      <c r="K267">
        <v>1650</v>
      </c>
      <c r="L267">
        <v>0</v>
      </c>
      <c r="M267">
        <v>0</v>
      </c>
      <c r="N267">
        <v>1650</v>
      </c>
    </row>
    <row r="268" spans="1:14" x14ac:dyDescent="0.25">
      <c r="A268">
        <v>21.499725999999999</v>
      </c>
      <c r="B268" s="1">
        <f>DATE(2010,5,22) + TIME(11,59,36)</f>
        <v>40320.499722222223</v>
      </c>
      <c r="C268">
        <v>80</v>
      </c>
      <c r="D268">
        <v>79.936416625999996</v>
      </c>
      <c r="E268">
        <v>40</v>
      </c>
      <c r="F268">
        <v>14.999774932999999</v>
      </c>
      <c r="G268">
        <v>1338.5820312000001</v>
      </c>
      <c r="H268">
        <v>1336.4265137</v>
      </c>
      <c r="I268">
        <v>1324.1760254000001</v>
      </c>
      <c r="J268">
        <v>1321.4335937999999</v>
      </c>
      <c r="K268">
        <v>1650</v>
      </c>
      <c r="L268">
        <v>0</v>
      </c>
      <c r="M268">
        <v>0</v>
      </c>
      <c r="N268">
        <v>1650</v>
      </c>
    </row>
    <row r="269" spans="1:14" x14ac:dyDescent="0.25">
      <c r="A269">
        <v>21.759312999999999</v>
      </c>
      <c r="B269" s="1">
        <f>DATE(2010,5,22) + TIME(18,13,24)</f>
        <v>40320.759305555555</v>
      </c>
      <c r="C269">
        <v>80</v>
      </c>
      <c r="D269">
        <v>79.936370850000003</v>
      </c>
      <c r="E269">
        <v>40</v>
      </c>
      <c r="F269">
        <v>14.999776839999999</v>
      </c>
      <c r="G269">
        <v>1338.574707</v>
      </c>
      <c r="H269">
        <v>1336.4216309000001</v>
      </c>
      <c r="I269">
        <v>1324.1766356999999</v>
      </c>
      <c r="J269">
        <v>1321.4339600000001</v>
      </c>
      <c r="K269">
        <v>1650</v>
      </c>
      <c r="L269">
        <v>0</v>
      </c>
      <c r="M269">
        <v>0</v>
      </c>
      <c r="N269">
        <v>1650</v>
      </c>
    </row>
    <row r="270" spans="1:14" x14ac:dyDescent="0.25">
      <c r="A270">
        <v>22.020886000000001</v>
      </c>
      <c r="B270" s="1">
        <f>DATE(2010,5,23) + TIME(0,30,4)</f>
        <v>40321.020879629628</v>
      </c>
      <c r="C270">
        <v>80</v>
      </c>
      <c r="D270">
        <v>79.936325073000006</v>
      </c>
      <c r="E270">
        <v>40</v>
      </c>
      <c r="F270">
        <v>14.999777794</v>
      </c>
      <c r="G270">
        <v>1338.5673827999999</v>
      </c>
      <c r="H270">
        <v>1336.4167480000001</v>
      </c>
      <c r="I270">
        <v>1324.1772461</v>
      </c>
      <c r="J270">
        <v>1321.4343262</v>
      </c>
      <c r="K270">
        <v>1650</v>
      </c>
      <c r="L270">
        <v>0</v>
      </c>
      <c r="M270">
        <v>0</v>
      </c>
      <c r="N270">
        <v>1650</v>
      </c>
    </row>
    <row r="271" spans="1:14" x14ac:dyDescent="0.25">
      <c r="A271">
        <v>22.152159000000001</v>
      </c>
      <c r="B271" s="1">
        <f>DATE(2010,5,23) + TIME(3,39,6)</f>
        <v>40321.15215277778</v>
      </c>
      <c r="C271">
        <v>80</v>
      </c>
      <c r="D271">
        <v>79.936294556000007</v>
      </c>
      <c r="E271">
        <v>40</v>
      </c>
      <c r="F271">
        <v>14.999777794</v>
      </c>
      <c r="G271">
        <v>1338.5598144999999</v>
      </c>
      <c r="H271">
        <v>1336.4117432</v>
      </c>
      <c r="I271">
        <v>1324.1778564000001</v>
      </c>
      <c r="J271">
        <v>1321.4346923999999</v>
      </c>
      <c r="K271">
        <v>1650</v>
      </c>
      <c r="L271">
        <v>0</v>
      </c>
      <c r="M271">
        <v>0</v>
      </c>
      <c r="N271">
        <v>1650</v>
      </c>
    </row>
    <row r="272" spans="1:14" x14ac:dyDescent="0.25">
      <c r="A272">
        <v>22.282792000000001</v>
      </c>
      <c r="B272" s="1">
        <f>DATE(2010,5,23) + TIME(6,47,13)</f>
        <v>40321.282789351855</v>
      </c>
      <c r="C272">
        <v>80</v>
      </c>
      <c r="D272">
        <v>79.936264038000004</v>
      </c>
      <c r="E272">
        <v>40</v>
      </c>
      <c r="F272">
        <v>14.999778748000001</v>
      </c>
      <c r="G272">
        <v>1338.5561522999999</v>
      </c>
      <c r="H272">
        <v>1336.4093018000001</v>
      </c>
      <c r="I272">
        <v>1324.1781006000001</v>
      </c>
      <c r="J272">
        <v>1321.4348144999999</v>
      </c>
      <c r="K272">
        <v>1650</v>
      </c>
      <c r="L272">
        <v>0</v>
      </c>
      <c r="M272">
        <v>0</v>
      </c>
      <c r="N272">
        <v>1650</v>
      </c>
    </row>
    <row r="273" spans="1:14" x14ac:dyDescent="0.25">
      <c r="A273">
        <v>22.413136000000002</v>
      </c>
      <c r="B273" s="1">
        <f>DATE(2010,5,23) + TIME(9,54,54)</f>
        <v>40321.413124999999</v>
      </c>
      <c r="C273">
        <v>80</v>
      </c>
      <c r="D273">
        <v>79.936233521000005</v>
      </c>
      <c r="E273">
        <v>40</v>
      </c>
      <c r="F273">
        <v>14.999778748000001</v>
      </c>
      <c r="G273">
        <v>1338.5526123</v>
      </c>
      <c r="H273">
        <v>1336.4068603999999</v>
      </c>
      <c r="I273">
        <v>1324.1783447</v>
      </c>
      <c r="J273">
        <v>1321.4350586</v>
      </c>
      <c r="K273">
        <v>1650</v>
      </c>
      <c r="L273">
        <v>0</v>
      </c>
      <c r="M273">
        <v>0</v>
      </c>
      <c r="N273">
        <v>1650</v>
      </c>
    </row>
    <row r="274" spans="1:14" x14ac:dyDescent="0.25">
      <c r="A274">
        <v>22.543268000000001</v>
      </c>
      <c r="B274" s="1">
        <f>DATE(2010,5,23) + TIME(13,2,18)</f>
        <v>40321.543263888889</v>
      </c>
      <c r="C274">
        <v>80</v>
      </c>
      <c r="D274">
        <v>79.936210631999998</v>
      </c>
      <c r="E274">
        <v>40</v>
      </c>
      <c r="F274">
        <v>14.999779701</v>
      </c>
      <c r="G274">
        <v>1338.5489502</v>
      </c>
      <c r="H274">
        <v>1336.4044189000001</v>
      </c>
      <c r="I274">
        <v>1324.1787108999999</v>
      </c>
      <c r="J274">
        <v>1321.4351807</v>
      </c>
      <c r="K274">
        <v>1650</v>
      </c>
      <c r="L274">
        <v>0</v>
      </c>
      <c r="M274">
        <v>0</v>
      </c>
      <c r="N274">
        <v>1650</v>
      </c>
    </row>
    <row r="275" spans="1:14" x14ac:dyDescent="0.25">
      <c r="A275">
        <v>22.673258000000001</v>
      </c>
      <c r="B275" s="1">
        <f>DATE(2010,5,23) + TIME(16,9,29)</f>
        <v>40321.673252314817</v>
      </c>
      <c r="C275">
        <v>80</v>
      </c>
      <c r="D275">
        <v>79.936187743999994</v>
      </c>
      <c r="E275">
        <v>40</v>
      </c>
      <c r="F275">
        <v>14.999780655</v>
      </c>
      <c r="G275">
        <v>1338.5454102000001</v>
      </c>
      <c r="H275">
        <v>1336.4020995999999</v>
      </c>
      <c r="I275">
        <v>1324.1789550999999</v>
      </c>
      <c r="J275">
        <v>1321.4354248</v>
      </c>
      <c r="K275">
        <v>1650</v>
      </c>
      <c r="L275">
        <v>0</v>
      </c>
      <c r="M275">
        <v>0</v>
      </c>
      <c r="N275">
        <v>1650</v>
      </c>
    </row>
    <row r="276" spans="1:14" x14ac:dyDescent="0.25">
      <c r="A276">
        <v>22.803162</v>
      </c>
      <c r="B276" s="1">
        <f>DATE(2010,5,23) + TIME(19,16,33)</f>
        <v>40321.803159722222</v>
      </c>
      <c r="C276">
        <v>80</v>
      </c>
      <c r="D276">
        <v>79.936157226999995</v>
      </c>
      <c r="E276">
        <v>40</v>
      </c>
      <c r="F276">
        <v>14.999780655</v>
      </c>
      <c r="G276">
        <v>1338.5418701000001</v>
      </c>
      <c r="H276">
        <v>1336.3996582</v>
      </c>
      <c r="I276">
        <v>1324.1793213000001</v>
      </c>
      <c r="J276">
        <v>1321.4356689000001</v>
      </c>
      <c r="K276">
        <v>1650</v>
      </c>
      <c r="L276">
        <v>0</v>
      </c>
      <c r="M276">
        <v>0</v>
      </c>
      <c r="N276">
        <v>1650</v>
      </c>
    </row>
    <row r="277" spans="1:14" x14ac:dyDescent="0.25">
      <c r="A277">
        <v>22.933050000000001</v>
      </c>
      <c r="B277" s="1">
        <f>DATE(2010,5,23) + TIME(22,23,35)</f>
        <v>40321.93304398148</v>
      </c>
      <c r="C277">
        <v>80</v>
      </c>
      <c r="D277">
        <v>79.936134338000002</v>
      </c>
      <c r="E277">
        <v>40</v>
      </c>
      <c r="F277">
        <v>14.999781608999999</v>
      </c>
      <c r="G277">
        <v>1338.5383300999999</v>
      </c>
      <c r="H277">
        <v>1336.3973389</v>
      </c>
      <c r="I277">
        <v>1324.1795654</v>
      </c>
      <c r="J277">
        <v>1321.4357910000001</v>
      </c>
      <c r="K277">
        <v>1650</v>
      </c>
      <c r="L277">
        <v>0</v>
      </c>
      <c r="M277">
        <v>0</v>
      </c>
      <c r="N277">
        <v>1650</v>
      </c>
    </row>
    <row r="278" spans="1:14" x14ac:dyDescent="0.25">
      <c r="A278">
        <v>23.062937000000002</v>
      </c>
      <c r="B278" s="1">
        <f>DATE(2010,5,24) + TIME(1,30,37)</f>
        <v>40322.062928240739</v>
      </c>
      <c r="C278">
        <v>80</v>
      </c>
      <c r="D278">
        <v>79.936111449999999</v>
      </c>
      <c r="E278">
        <v>40</v>
      </c>
      <c r="F278">
        <v>14.999781608999999</v>
      </c>
      <c r="G278">
        <v>1338.5349120999999</v>
      </c>
      <c r="H278">
        <v>1336.3950195</v>
      </c>
      <c r="I278">
        <v>1324.1799315999999</v>
      </c>
      <c r="J278">
        <v>1321.4360352000001</v>
      </c>
      <c r="K278">
        <v>1650</v>
      </c>
      <c r="L278">
        <v>0</v>
      </c>
      <c r="M278">
        <v>0</v>
      </c>
      <c r="N278">
        <v>1650</v>
      </c>
    </row>
    <row r="279" spans="1:14" x14ac:dyDescent="0.25">
      <c r="A279">
        <v>23.192824999999999</v>
      </c>
      <c r="B279" s="1">
        <f>DATE(2010,5,24) + TIME(4,37,40)</f>
        <v>40322.192824074074</v>
      </c>
      <c r="C279">
        <v>80</v>
      </c>
      <c r="D279">
        <v>79.936088561999995</v>
      </c>
      <c r="E279">
        <v>40</v>
      </c>
      <c r="F279">
        <v>14.999782562</v>
      </c>
      <c r="G279">
        <v>1338.5313721</v>
      </c>
      <c r="H279">
        <v>1336.3927002</v>
      </c>
      <c r="I279">
        <v>1324.1801757999999</v>
      </c>
      <c r="J279">
        <v>1321.4361572</v>
      </c>
      <c r="K279">
        <v>1650</v>
      </c>
      <c r="L279">
        <v>0</v>
      </c>
      <c r="M279">
        <v>0</v>
      </c>
      <c r="N279">
        <v>1650</v>
      </c>
    </row>
    <row r="280" spans="1:14" x14ac:dyDescent="0.25">
      <c r="A280">
        <v>23.322711999999999</v>
      </c>
      <c r="B280" s="1">
        <f>DATE(2010,5,24) + TIME(7,44,42)</f>
        <v>40322.322708333333</v>
      </c>
      <c r="C280">
        <v>80</v>
      </c>
      <c r="D280">
        <v>79.936065674000005</v>
      </c>
      <c r="E280">
        <v>40</v>
      </c>
      <c r="F280">
        <v>14.999782562</v>
      </c>
      <c r="G280">
        <v>1338.5279541</v>
      </c>
      <c r="H280">
        <v>1336.3903809000001</v>
      </c>
      <c r="I280">
        <v>1324.1804199000001</v>
      </c>
      <c r="J280">
        <v>1321.4364014</v>
      </c>
      <c r="K280">
        <v>1650</v>
      </c>
      <c r="L280">
        <v>0</v>
      </c>
      <c r="M280">
        <v>0</v>
      </c>
      <c r="N280">
        <v>1650</v>
      </c>
    </row>
    <row r="281" spans="1:14" x14ac:dyDescent="0.25">
      <c r="A281">
        <v>23.4526</v>
      </c>
      <c r="B281" s="1">
        <f>DATE(2010,5,24) + TIME(10,51,44)</f>
        <v>40322.452592592592</v>
      </c>
      <c r="C281">
        <v>80</v>
      </c>
      <c r="D281">
        <v>79.936042786000002</v>
      </c>
      <c r="E281">
        <v>40</v>
      </c>
      <c r="F281">
        <v>14.999783516000001</v>
      </c>
      <c r="G281">
        <v>1338.5244141000001</v>
      </c>
      <c r="H281">
        <v>1336.3880615</v>
      </c>
      <c r="I281">
        <v>1324.1807861</v>
      </c>
      <c r="J281">
        <v>1321.4365233999999</v>
      </c>
      <c r="K281">
        <v>1650</v>
      </c>
      <c r="L281">
        <v>0</v>
      </c>
      <c r="M281">
        <v>0</v>
      </c>
      <c r="N281">
        <v>1650</v>
      </c>
    </row>
    <row r="282" spans="1:14" x14ac:dyDescent="0.25">
      <c r="A282">
        <v>23.712374000000001</v>
      </c>
      <c r="B282" s="1">
        <f>DATE(2010,5,24) + TIME(17,5,49)</f>
        <v>40322.712372685186</v>
      </c>
      <c r="C282">
        <v>80</v>
      </c>
      <c r="D282">
        <v>79.936012267999999</v>
      </c>
      <c r="E282">
        <v>40</v>
      </c>
      <c r="F282">
        <v>14.99978447</v>
      </c>
      <c r="G282">
        <v>1338.5211182</v>
      </c>
      <c r="H282">
        <v>1336.3858643000001</v>
      </c>
      <c r="I282">
        <v>1324.1811522999999</v>
      </c>
      <c r="J282">
        <v>1321.4367675999999</v>
      </c>
      <c r="K282">
        <v>1650</v>
      </c>
      <c r="L282">
        <v>0</v>
      </c>
      <c r="M282">
        <v>0</v>
      </c>
      <c r="N282">
        <v>1650</v>
      </c>
    </row>
    <row r="283" spans="1:14" x14ac:dyDescent="0.25">
      <c r="A283">
        <v>23.972525000000001</v>
      </c>
      <c r="B283" s="1">
        <f>DATE(2010,5,24) + TIME(23,20,26)</f>
        <v>40322.97252314815</v>
      </c>
      <c r="C283">
        <v>80</v>
      </c>
      <c r="D283">
        <v>79.935981749999996</v>
      </c>
      <c r="E283">
        <v>40</v>
      </c>
      <c r="F283">
        <v>14.999785423000001</v>
      </c>
      <c r="G283">
        <v>1338.5144043</v>
      </c>
      <c r="H283">
        <v>1336.3814697</v>
      </c>
      <c r="I283">
        <v>1324.1817627</v>
      </c>
      <c r="J283">
        <v>1321.4372559000001</v>
      </c>
      <c r="K283">
        <v>1650</v>
      </c>
      <c r="L283">
        <v>0</v>
      </c>
      <c r="M283">
        <v>0</v>
      </c>
      <c r="N283">
        <v>1650</v>
      </c>
    </row>
    <row r="284" spans="1:14" x14ac:dyDescent="0.25">
      <c r="A284">
        <v>24.234669</v>
      </c>
      <c r="B284" s="1">
        <f>DATE(2010,5,25) + TIME(5,37,55)</f>
        <v>40323.234664351854</v>
      </c>
      <c r="C284">
        <v>80</v>
      </c>
      <c r="D284">
        <v>79.935943604000002</v>
      </c>
      <c r="E284">
        <v>40</v>
      </c>
      <c r="F284">
        <v>14.999786377</v>
      </c>
      <c r="G284">
        <v>1338.5075684000001</v>
      </c>
      <c r="H284">
        <v>1336.3769531</v>
      </c>
      <c r="I284">
        <v>1324.1823730000001</v>
      </c>
      <c r="J284">
        <v>1321.4376221</v>
      </c>
      <c r="K284">
        <v>1650</v>
      </c>
      <c r="L284">
        <v>0</v>
      </c>
      <c r="M284">
        <v>0</v>
      </c>
      <c r="N284">
        <v>1650</v>
      </c>
    </row>
    <row r="285" spans="1:14" x14ac:dyDescent="0.25">
      <c r="A285">
        <v>24.499317000000001</v>
      </c>
      <c r="B285" s="1">
        <f>DATE(2010,5,25) + TIME(11,59,0)</f>
        <v>40323.499305555553</v>
      </c>
      <c r="C285">
        <v>80</v>
      </c>
      <c r="D285">
        <v>79.935905457000004</v>
      </c>
      <c r="E285">
        <v>40</v>
      </c>
      <c r="F285">
        <v>14.999787331</v>
      </c>
      <c r="G285">
        <v>1338.5009766000001</v>
      </c>
      <c r="H285">
        <v>1336.3725586</v>
      </c>
      <c r="I285">
        <v>1324.1829834</v>
      </c>
      <c r="J285">
        <v>1321.4379882999999</v>
      </c>
      <c r="K285">
        <v>1650</v>
      </c>
      <c r="L285">
        <v>0</v>
      </c>
      <c r="M285">
        <v>0</v>
      </c>
      <c r="N285">
        <v>1650</v>
      </c>
    </row>
    <row r="286" spans="1:14" x14ac:dyDescent="0.25">
      <c r="A286">
        <v>24.767004</v>
      </c>
      <c r="B286" s="1">
        <f>DATE(2010,5,25) + TIME(18,24,29)</f>
        <v>40323.767002314817</v>
      </c>
      <c r="C286">
        <v>80</v>
      </c>
      <c r="D286">
        <v>79.935867310000006</v>
      </c>
      <c r="E286">
        <v>40</v>
      </c>
      <c r="F286">
        <v>14.999788283999999</v>
      </c>
      <c r="G286">
        <v>1338.4942627</v>
      </c>
      <c r="H286">
        <v>1336.3680420000001</v>
      </c>
      <c r="I286">
        <v>1324.1835937999999</v>
      </c>
      <c r="J286">
        <v>1321.4383545000001</v>
      </c>
      <c r="K286">
        <v>1650</v>
      </c>
      <c r="L286">
        <v>0</v>
      </c>
      <c r="M286">
        <v>0</v>
      </c>
      <c r="N286">
        <v>1650</v>
      </c>
    </row>
    <row r="287" spans="1:14" x14ac:dyDescent="0.25">
      <c r="A287">
        <v>25.038281999999999</v>
      </c>
      <c r="B287" s="1">
        <f>DATE(2010,5,26) + TIME(0,55,7)</f>
        <v>40324.038275462961</v>
      </c>
      <c r="C287">
        <v>80</v>
      </c>
      <c r="D287">
        <v>79.935829162999994</v>
      </c>
      <c r="E287">
        <v>40</v>
      </c>
      <c r="F287">
        <v>14.999789238</v>
      </c>
      <c r="G287">
        <v>1338.4875488</v>
      </c>
      <c r="H287">
        <v>1336.3636475000001</v>
      </c>
      <c r="I287">
        <v>1324.1842041</v>
      </c>
      <c r="J287">
        <v>1321.4388428</v>
      </c>
      <c r="K287">
        <v>1650</v>
      </c>
      <c r="L287">
        <v>0</v>
      </c>
      <c r="M287">
        <v>0</v>
      </c>
      <c r="N287">
        <v>1650</v>
      </c>
    </row>
    <row r="288" spans="1:14" x14ac:dyDescent="0.25">
      <c r="A288">
        <v>25.313738000000001</v>
      </c>
      <c r="B288" s="1">
        <f>DATE(2010,5,26) + TIME(7,31,46)</f>
        <v>40324.313726851855</v>
      </c>
      <c r="C288">
        <v>80</v>
      </c>
      <c r="D288">
        <v>79.935783385999997</v>
      </c>
      <c r="E288">
        <v>40</v>
      </c>
      <c r="F288">
        <v>14.999790192000001</v>
      </c>
      <c r="G288">
        <v>1338.4808350000001</v>
      </c>
      <c r="H288">
        <v>1336.3591309000001</v>
      </c>
      <c r="I288">
        <v>1324.1848144999999</v>
      </c>
      <c r="J288">
        <v>1321.4392089999999</v>
      </c>
      <c r="K288">
        <v>1650</v>
      </c>
      <c r="L288">
        <v>0</v>
      </c>
      <c r="M288">
        <v>0</v>
      </c>
      <c r="N288">
        <v>1650</v>
      </c>
    </row>
    <row r="289" spans="1:14" x14ac:dyDescent="0.25">
      <c r="A289">
        <v>25.594010000000001</v>
      </c>
      <c r="B289" s="1">
        <f>DATE(2010,5,26) + TIME(14,15,22)</f>
        <v>40324.594004629631</v>
      </c>
      <c r="C289">
        <v>80</v>
      </c>
      <c r="D289">
        <v>79.935745238999999</v>
      </c>
      <c r="E289">
        <v>40</v>
      </c>
      <c r="F289">
        <v>14.999791145</v>
      </c>
      <c r="G289">
        <v>1338.4741211</v>
      </c>
      <c r="H289">
        <v>1336.3547363</v>
      </c>
      <c r="I289">
        <v>1324.1854248</v>
      </c>
      <c r="J289">
        <v>1321.4395752</v>
      </c>
      <c r="K289">
        <v>1650</v>
      </c>
      <c r="L289">
        <v>0</v>
      </c>
      <c r="M289">
        <v>0</v>
      </c>
      <c r="N289">
        <v>1650</v>
      </c>
    </row>
    <row r="290" spans="1:14" x14ac:dyDescent="0.25">
      <c r="A290">
        <v>25.879860999999998</v>
      </c>
      <c r="B290" s="1">
        <f>DATE(2010,5,26) + TIME(21,6,59)</f>
        <v>40324.879849537036</v>
      </c>
      <c r="C290">
        <v>80</v>
      </c>
      <c r="D290">
        <v>79.935707092000001</v>
      </c>
      <c r="E290">
        <v>40</v>
      </c>
      <c r="F290">
        <v>14.999792099</v>
      </c>
      <c r="G290">
        <v>1338.4672852000001</v>
      </c>
      <c r="H290">
        <v>1336.3502197</v>
      </c>
      <c r="I290">
        <v>1324.1861572</v>
      </c>
      <c r="J290">
        <v>1321.4400635</v>
      </c>
      <c r="K290">
        <v>1650</v>
      </c>
      <c r="L290">
        <v>0</v>
      </c>
      <c r="M290">
        <v>0</v>
      </c>
      <c r="N290">
        <v>1650</v>
      </c>
    </row>
    <row r="291" spans="1:14" x14ac:dyDescent="0.25">
      <c r="A291">
        <v>26.025348000000001</v>
      </c>
      <c r="B291" s="1">
        <f>DATE(2010,5,27) + TIME(0,36,30)</f>
        <v>40325.025347222225</v>
      </c>
      <c r="C291">
        <v>80</v>
      </c>
      <c r="D291">
        <v>79.935676575000002</v>
      </c>
      <c r="E291">
        <v>40</v>
      </c>
      <c r="F291">
        <v>14.999792099</v>
      </c>
      <c r="G291">
        <v>1338.4603271000001</v>
      </c>
      <c r="H291">
        <v>1336.3455810999999</v>
      </c>
      <c r="I291">
        <v>1324.1867675999999</v>
      </c>
      <c r="J291">
        <v>1321.4404297000001</v>
      </c>
      <c r="K291">
        <v>1650</v>
      </c>
      <c r="L291">
        <v>0</v>
      </c>
      <c r="M291">
        <v>0</v>
      </c>
      <c r="N291">
        <v>1650</v>
      </c>
    </row>
    <row r="292" spans="1:14" x14ac:dyDescent="0.25">
      <c r="A292">
        <v>26.170835</v>
      </c>
      <c r="B292" s="1">
        <f>DATE(2010,5,27) + TIME(4,6,0)</f>
        <v>40325.17083333333</v>
      </c>
      <c r="C292">
        <v>80</v>
      </c>
      <c r="D292">
        <v>79.935653686999999</v>
      </c>
      <c r="E292">
        <v>40</v>
      </c>
      <c r="F292">
        <v>14.999793052999999</v>
      </c>
      <c r="G292">
        <v>1338.4569091999999</v>
      </c>
      <c r="H292">
        <v>1336.3432617000001</v>
      </c>
      <c r="I292">
        <v>1324.1871338000001</v>
      </c>
      <c r="J292">
        <v>1321.4406738</v>
      </c>
      <c r="K292">
        <v>1650</v>
      </c>
      <c r="L292">
        <v>0</v>
      </c>
      <c r="M292">
        <v>0</v>
      </c>
      <c r="N292">
        <v>1650</v>
      </c>
    </row>
    <row r="293" spans="1:14" x14ac:dyDescent="0.25">
      <c r="A293">
        <v>26.316323000000001</v>
      </c>
      <c r="B293" s="1">
        <f>DATE(2010,5,27) + TIME(7,35,30)</f>
        <v>40325.316319444442</v>
      </c>
      <c r="C293">
        <v>80</v>
      </c>
      <c r="D293">
        <v>79.935623168999996</v>
      </c>
      <c r="E293">
        <v>40</v>
      </c>
      <c r="F293">
        <v>14.999794006</v>
      </c>
      <c r="G293">
        <v>1338.4534911999999</v>
      </c>
      <c r="H293">
        <v>1336.3409423999999</v>
      </c>
      <c r="I293">
        <v>1324.1875</v>
      </c>
      <c r="J293">
        <v>1321.440918</v>
      </c>
      <c r="K293">
        <v>1650</v>
      </c>
      <c r="L293">
        <v>0</v>
      </c>
      <c r="M293">
        <v>0</v>
      </c>
      <c r="N293">
        <v>1650</v>
      </c>
    </row>
    <row r="294" spans="1:14" x14ac:dyDescent="0.25">
      <c r="A294">
        <v>26.46181</v>
      </c>
      <c r="B294" s="1">
        <f>DATE(2010,5,27) + TIME(11,5,0)</f>
        <v>40325.461805555555</v>
      </c>
      <c r="C294">
        <v>80</v>
      </c>
      <c r="D294">
        <v>79.935600281000006</v>
      </c>
      <c r="E294">
        <v>40</v>
      </c>
      <c r="F294">
        <v>14.999794006</v>
      </c>
      <c r="G294">
        <v>1338.4500731999999</v>
      </c>
      <c r="H294">
        <v>1336.3387451000001</v>
      </c>
      <c r="I294">
        <v>1324.1878661999999</v>
      </c>
      <c r="J294">
        <v>1321.4411620999999</v>
      </c>
      <c r="K294">
        <v>1650</v>
      </c>
      <c r="L294">
        <v>0</v>
      </c>
      <c r="M294">
        <v>0</v>
      </c>
      <c r="N294">
        <v>1650</v>
      </c>
    </row>
    <row r="295" spans="1:14" x14ac:dyDescent="0.25">
      <c r="A295">
        <v>26.607296999999999</v>
      </c>
      <c r="B295" s="1">
        <f>DATE(2010,5,27) + TIME(14,34,30)</f>
        <v>40325.607291666667</v>
      </c>
      <c r="C295">
        <v>80</v>
      </c>
      <c r="D295">
        <v>79.935577393000003</v>
      </c>
      <c r="E295">
        <v>40</v>
      </c>
      <c r="F295">
        <v>14.999794959999999</v>
      </c>
      <c r="G295">
        <v>1338.4466553</v>
      </c>
      <c r="H295">
        <v>1336.3364257999999</v>
      </c>
      <c r="I295">
        <v>1324.1881103999999</v>
      </c>
      <c r="J295">
        <v>1321.4414062000001</v>
      </c>
      <c r="K295">
        <v>1650</v>
      </c>
      <c r="L295">
        <v>0</v>
      </c>
      <c r="M295">
        <v>0</v>
      </c>
      <c r="N295">
        <v>1650</v>
      </c>
    </row>
    <row r="296" spans="1:14" x14ac:dyDescent="0.25">
      <c r="A296">
        <v>26.752784999999999</v>
      </c>
      <c r="B296" s="1">
        <f>DATE(2010,5,27) + TIME(18,4,0)</f>
        <v>40325.75277777778</v>
      </c>
      <c r="C296">
        <v>80</v>
      </c>
      <c r="D296">
        <v>79.935562133999994</v>
      </c>
      <c r="E296">
        <v>40</v>
      </c>
      <c r="F296">
        <v>14.999794959999999</v>
      </c>
      <c r="G296">
        <v>1338.4432373</v>
      </c>
      <c r="H296">
        <v>1336.3341064000001</v>
      </c>
      <c r="I296">
        <v>1324.1884766000001</v>
      </c>
      <c r="J296">
        <v>1321.4415283000001</v>
      </c>
      <c r="K296">
        <v>1650</v>
      </c>
      <c r="L296">
        <v>0</v>
      </c>
      <c r="M296">
        <v>0</v>
      </c>
      <c r="N296">
        <v>1650</v>
      </c>
    </row>
    <row r="297" spans="1:14" x14ac:dyDescent="0.25">
      <c r="A297">
        <v>26.898271999999999</v>
      </c>
      <c r="B297" s="1">
        <f>DATE(2010,5,27) + TIME(21,33,30)</f>
        <v>40325.898263888892</v>
      </c>
      <c r="C297">
        <v>80</v>
      </c>
      <c r="D297">
        <v>79.935539246000005</v>
      </c>
      <c r="E297">
        <v>40</v>
      </c>
      <c r="F297">
        <v>14.999795914</v>
      </c>
      <c r="G297">
        <v>1338.4399414</v>
      </c>
      <c r="H297">
        <v>1336.3319091999999</v>
      </c>
      <c r="I297">
        <v>1324.1888428</v>
      </c>
      <c r="J297">
        <v>1321.4417725000001</v>
      </c>
      <c r="K297">
        <v>1650</v>
      </c>
      <c r="L297">
        <v>0</v>
      </c>
      <c r="M297">
        <v>0</v>
      </c>
      <c r="N297">
        <v>1650</v>
      </c>
    </row>
    <row r="298" spans="1:14" x14ac:dyDescent="0.25">
      <c r="A298">
        <v>27.043759999999999</v>
      </c>
      <c r="B298" s="1">
        <f>DATE(2010,5,28) + TIME(1,3,0)</f>
        <v>40326.043749999997</v>
      </c>
      <c r="C298">
        <v>80</v>
      </c>
      <c r="D298">
        <v>79.935516356999997</v>
      </c>
      <c r="E298">
        <v>40</v>
      </c>
      <c r="F298">
        <v>14.999795914</v>
      </c>
      <c r="G298">
        <v>1338.4366454999999</v>
      </c>
      <c r="H298">
        <v>1336.3297118999999</v>
      </c>
      <c r="I298">
        <v>1324.1892089999999</v>
      </c>
      <c r="J298">
        <v>1321.4420166</v>
      </c>
      <c r="K298">
        <v>1650</v>
      </c>
      <c r="L298">
        <v>0</v>
      </c>
      <c r="M298">
        <v>0</v>
      </c>
      <c r="N298">
        <v>1650</v>
      </c>
    </row>
    <row r="299" spans="1:14" x14ac:dyDescent="0.25">
      <c r="A299">
        <v>27.189247000000002</v>
      </c>
      <c r="B299" s="1">
        <f>DATE(2010,5,28) + TIME(4,32,30)</f>
        <v>40326.189236111109</v>
      </c>
      <c r="C299">
        <v>80</v>
      </c>
      <c r="D299">
        <v>79.935501099000007</v>
      </c>
      <c r="E299">
        <v>40</v>
      </c>
      <c r="F299">
        <v>14.999796867000001</v>
      </c>
      <c r="G299">
        <v>1338.4332274999999</v>
      </c>
      <c r="H299">
        <v>1336.3275146000001</v>
      </c>
      <c r="I299">
        <v>1324.1895752</v>
      </c>
      <c r="J299">
        <v>1321.4422606999999</v>
      </c>
      <c r="K299">
        <v>1650</v>
      </c>
      <c r="L299">
        <v>0</v>
      </c>
      <c r="M299">
        <v>0</v>
      </c>
      <c r="N299">
        <v>1650</v>
      </c>
    </row>
    <row r="300" spans="1:14" x14ac:dyDescent="0.25">
      <c r="A300">
        <v>27.334734000000001</v>
      </c>
      <c r="B300" s="1">
        <f>DATE(2010,5,28) + TIME(8,2,1)</f>
        <v>40326.334733796299</v>
      </c>
      <c r="C300">
        <v>80</v>
      </c>
      <c r="D300">
        <v>79.935478209999999</v>
      </c>
      <c r="E300">
        <v>40</v>
      </c>
      <c r="F300">
        <v>14.999796867000001</v>
      </c>
      <c r="G300">
        <v>1338.4299315999999</v>
      </c>
      <c r="H300">
        <v>1336.3253173999999</v>
      </c>
      <c r="I300">
        <v>1324.1899414</v>
      </c>
      <c r="J300">
        <v>1321.4425048999999</v>
      </c>
      <c r="K300">
        <v>1650</v>
      </c>
      <c r="L300">
        <v>0</v>
      </c>
      <c r="M300">
        <v>0</v>
      </c>
      <c r="N300">
        <v>1650</v>
      </c>
    </row>
    <row r="301" spans="1:14" x14ac:dyDescent="0.25">
      <c r="A301">
        <v>27.480195999999999</v>
      </c>
      <c r="B301" s="1">
        <f>DATE(2010,5,28) + TIME(11,31,28)</f>
        <v>40326.480185185188</v>
      </c>
      <c r="C301">
        <v>80</v>
      </c>
      <c r="D301">
        <v>79.935462951999995</v>
      </c>
      <c r="E301">
        <v>40</v>
      </c>
      <c r="F301">
        <v>14.999797821</v>
      </c>
      <c r="G301">
        <v>1338.4266356999999</v>
      </c>
      <c r="H301">
        <v>1336.3231201000001</v>
      </c>
      <c r="I301">
        <v>1324.1903076000001</v>
      </c>
      <c r="J301">
        <v>1321.442749</v>
      </c>
      <c r="K301">
        <v>1650</v>
      </c>
      <c r="L301">
        <v>0</v>
      </c>
      <c r="M301">
        <v>0</v>
      </c>
      <c r="N301">
        <v>1650</v>
      </c>
    </row>
    <row r="302" spans="1:14" x14ac:dyDescent="0.25">
      <c r="A302">
        <v>27.625658000000001</v>
      </c>
      <c r="B302" s="1">
        <f>DATE(2010,5,28) + TIME(15,0,56)</f>
        <v>40326.625648148147</v>
      </c>
      <c r="C302">
        <v>80</v>
      </c>
      <c r="D302">
        <v>79.935440063000001</v>
      </c>
      <c r="E302">
        <v>40</v>
      </c>
      <c r="F302">
        <v>14.999797821</v>
      </c>
      <c r="G302">
        <v>1338.4233397999999</v>
      </c>
      <c r="H302">
        <v>1336.3209228999999</v>
      </c>
      <c r="I302">
        <v>1324.1906738</v>
      </c>
      <c r="J302">
        <v>1321.4429932</v>
      </c>
      <c r="K302">
        <v>1650</v>
      </c>
      <c r="L302">
        <v>0</v>
      </c>
      <c r="M302">
        <v>0</v>
      </c>
      <c r="N302">
        <v>1650</v>
      </c>
    </row>
    <row r="303" spans="1:14" x14ac:dyDescent="0.25">
      <c r="A303">
        <v>27.77112</v>
      </c>
      <c r="B303" s="1">
        <f>DATE(2010,5,28) + TIME(18,30,24)</f>
        <v>40326.771111111113</v>
      </c>
      <c r="C303">
        <v>80</v>
      </c>
      <c r="D303">
        <v>79.935424804999997</v>
      </c>
      <c r="E303">
        <v>40</v>
      </c>
      <c r="F303">
        <v>14.999798775</v>
      </c>
      <c r="G303">
        <v>1338.4201660000001</v>
      </c>
      <c r="H303">
        <v>1336.3187256000001</v>
      </c>
      <c r="I303">
        <v>1324.1910399999999</v>
      </c>
      <c r="J303">
        <v>1321.4432373</v>
      </c>
      <c r="K303">
        <v>1650</v>
      </c>
      <c r="L303">
        <v>0</v>
      </c>
      <c r="M303">
        <v>0</v>
      </c>
      <c r="N303">
        <v>1650</v>
      </c>
    </row>
    <row r="304" spans="1:14" x14ac:dyDescent="0.25">
      <c r="A304">
        <v>27.916581999999998</v>
      </c>
      <c r="B304" s="1">
        <f>DATE(2010,5,28) + TIME(21,59,52)</f>
        <v>40326.916574074072</v>
      </c>
      <c r="C304">
        <v>80</v>
      </c>
      <c r="D304">
        <v>79.935401916999993</v>
      </c>
      <c r="E304">
        <v>40</v>
      </c>
      <c r="F304">
        <v>14.999798775</v>
      </c>
      <c r="G304">
        <v>1338.4168701000001</v>
      </c>
      <c r="H304">
        <v>1336.3166504000001</v>
      </c>
      <c r="I304">
        <v>1324.1912841999999</v>
      </c>
      <c r="J304">
        <v>1321.4433594</v>
      </c>
      <c r="K304">
        <v>1650</v>
      </c>
      <c r="L304">
        <v>0</v>
      </c>
      <c r="M304">
        <v>0</v>
      </c>
      <c r="N304">
        <v>1650</v>
      </c>
    </row>
    <row r="305" spans="1:14" x14ac:dyDescent="0.25">
      <c r="A305">
        <v>28.062044</v>
      </c>
      <c r="B305" s="1">
        <f>DATE(2010,5,29) + TIME(1,29,20)</f>
        <v>40327.062037037038</v>
      </c>
      <c r="C305">
        <v>80</v>
      </c>
      <c r="D305">
        <v>79.935386657999999</v>
      </c>
      <c r="E305">
        <v>40</v>
      </c>
      <c r="F305">
        <v>14.999799727999999</v>
      </c>
      <c r="G305">
        <v>1338.4136963000001</v>
      </c>
      <c r="H305">
        <v>1336.3144531</v>
      </c>
      <c r="I305">
        <v>1324.1916504000001</v>
      </c>
      <c r="J305">
        <v>1321.4436035000001</v>
      </c>
      <c r="K305">
        <v>1650</v>
      </c>
      <c r="L305">
        <v>0</v>
      </c>
      <c r="M305">
        <v>0</v>
      </c>
      <c r="N305">
        <v>1650</v>
      </c>
    </row>
    <row r="306" spans="1:14" x14ac:dyDescent="0.25">
      <c r="A306">
        <v>28.207505999999999</v>
      </c>
      <c r="B306" s="1">
        <f>DATE(2010,5,29) + TIME(4,58,48)</f>
        <v>40327.207499999997</v>
      </c>
      <c r="C306">
        <v>80</v>
      </c>
      <c r="D306">
        <v>79.935371399000005</v>
      </c>
      <c r="E306">
        <v>40</v>
      </c>
      <c r="F306">
        <v>14.999799727999999</v>
      </c>
      <c r="G306">
        <v>1338.4105225000001</v>
      </c>
      <c r="H306">
        <v>1336.3123779</v>
      </c>
      <c r="I306">
        <v>1324.1920166</v>
      </c>
      <c r="J306">
        <v>1321.4438477000001</v>
      </c>
      <c r="K306">
        <v>1650</v>
      </c>
      <c r="L306">
        <v>0</v>
      </c>
      <c r="M306">
        <v>0</v>
      </c>
      <c r="N306">
        <v>1650</v>
      </c>
    </row>
    <row r="307" spans="1:14" x14ac:dyDescent="0.25">
      <c r="A307">
        <v>28.352968000000001</v>
      </c>
      <c r="B307" s="1">
        <f>DATE(2010,5,29) + TIME(8,28,16)</f>
        <v>40327.352962962963</v>
      </c>
      <c r="C307">
        <v>80</v>
      </c>
      <c r="D307">
        <v>79.935348511000001</v>
      </c>
      <c r="E307">
        <v>40</v>
      </c>
      <c r="F307">
        <v>14.999800682</v>
      </c>
      <c r="G307">
        <v>1338.4073486</v>
      </c>
      <c r="H307">
        <v>1336.3101807</v>
      </c>
      <c r="I307">
        <v>1324.1923827999999</v>
      </c>
      <c r="J307">
        <v>1321.4440918</v>
      </c>
      <c r="K307">
        <v>1650</v>
      </c>
      <c r="L307">
        <v>0</v>
      </c>
      <c r="M307">
        <v>0</v>
      </c>
      <c r="N307">
        <v>1650</v>
      </c>
    </row>
    <row r="308" spans="1:14" x14ac:dyDescent="0.25">
      <c r="A308">
        <v>28.498429999999999</v>
      </c>
      <c r="B308" s="1">
        <f>DATE(2010,5,29) + TIME(11,57,44)</f>
        <v>40327.498425925929</v>
      </c>
      <c r="C308">
        <v>80</v>
      </c>
      <c r="D308">
        <v>79.935333252000007</v>
      </c>
      <c r="E308">
        <v>40</v>
      </c>
      <c r="F308">
        <v>14.999801636000001</v>
      </c>
      <c r="G308">
        <v>1338.4041748</v>
      </c>
      <c r="H308">
        <v>1336.3081055</v>
      </c>
      <c r="I308">
        <v>1324.192749</v>
      </c>
      <c r="J308">
        <v>1321.4443358999999</v>
      </c>
      <c r="K308">
        <v>1650</v>
      </c>
      <c r="L308">
        <v>0</v>
      </c>
      <c r="M308">
        <v>0</v>
      </c>
      <c r="N308">
        <v>1650</v>
      </c>
    </row>
    <row r="309" spans="1:14" x14ac:dyDescent="0.25">
      <c r="A309">
        <v>28.789352999999998</v>
      </c>
      <c r="B309" s="1">
        <f>DATE(2010,5,29) + TIME(18,56,40)</f>
        <v>40327.789351851854</v>
      </c>
      <c r="C309">
        <v>80</v>
      </c>
      <c r="D309">
        <v>79.935310364000003</v>
      </c>
      <c r="E309">
        <v>40</v>
      </c>
      <c r="F309">
        <v>14.999801636000001</v>
      </c>
      <c r="G309">
        <v>1338.4011230000001</v>
      </c>
      <c r="H309">
        <v>1336.3060303</v>
      </c>
      <c r="I309">
        <v>1324.1931152</v>
      </c>
      <c r="J309">
        <v>1321.4445800999999</v>
      </c>
      <c r="K309">
        <v>1650</v>
      </c>
      <c r="L309">
        <v>0</v>
      </c>
      <c r="M309">
        <v>0</v>
      </c>
      <c r="N309">
        <v>1650</v>
      </c>
    </row>
    <row r="310" spans="1:14" x14ac:dyDescent="0.25">
      <c r="A310">
        <v>29.080736999999999</v>
      </c>
      <c r="B310" s="1">
        <f>DATE(2010,5,30) + TIME(1,56,15)</f>
        <v>40328.080729166664</v>
      </c>
      <c r="C310">
        <v>80</v>
      </c>
      <c r="D310">
        <v>79.935287475999999</v>
      </c>
      <c r="E310">
        <v>40</v>
      </c>
      <c r="F310">
        <v>14.999802589</v>
      </c>
      <c r="G310">
        <v>1338.3947754000001</v>
      </c>
      <c r="H310">
        <v>1336.3020019999999</v>
      </c>
      <c r="I310">
        <v>1324.1938477000001</v>
      </c>
      <c r="J310">
        <v>1321.4450684000001</v>
      </c>
      <c r="K310">
        <v>1650</v>
      </c>
      <c r="L310">
        <v>0</v>
      </c>
      <c r="M310">
        <v>0</v>
      </c>
      <c r="N310">
        <v>1650</v>
      </c>
    </row>
    <row r="311" spans="1:14" x14ac:dyDescent="0.25">
      <c r="A311">
        <v>29.37593</v>
      </c>
      <c r="B311" s="1">
        <f>DATE(2010,5,30) + TIME(9,1,20)</f>
        <v>40328.375925925924</v>
      </c>
      <c r="C311">
        <v>80</v>
      </c>
      <c r="D311">
        <v>79.935256957999997</v>
      </c>
      <c r="E311">
        <v>40</v>
      </c>
      <c r="F311">
        <v>14.999803543000001</v>
      </c>
      <c r="G311">
        <v>1338.3885498</v>
      </c>
      <c r="H311">
        <v>1336.2978516000001</v>
      </c>
      <c r="I311">
        <v>1324.1945800999999</v>
      </c>
      <c r="J311">
        <v>1321.4455565999999</v>
      </c>
      <c r="K311">
        <v>1650</v>
      </c>
      <c r="L311">
        <v>0</v>
      </c>
      <c r="M311">
        <v>0</v>
      </c>
      <c r="N311">
        <v>1650</v>
      </c>
    </row>
    <row r="312" spans="1:14" x14ac:dyDescent="0.25">
      <c r="A312">
        <v>29.675547000000002</v>
      </c>
      <c r="B312" s="1">
        <f>DATE(2010,5,30) + TIME(16,12,47)</f>
        <v>40328.675543981481</v>
      </c>
      <c r="C312">
        <v>80</v>
      </c>
      <c r="D312">
        <v>79.935226439999994</v>
      </c>
      <c r="E312">
        <v>40</v>
      </c>
      <c r="F312">
        <v>14.999804497</v>
      </c>
      <c r="G312">
        <v>1338.3823242000001</v>
      </c>
      <c r="H312">
        <v>1336.2937012</v>
      </c>
      <c r="I312">
        <v>1324.1953125</v>
      </c>
      <c r="J312">
        <v>1321.4459228999999</v>
      </c>
      <c r="K312">
        <v>1650</v>
      </c>
      <c r="L312">
        <v>0</v>
      </c>
      <c r="M312">
        <v>0</v>
      </c>
      <c r="N312">
        <v>1650</v>
      </c>
    </row>
    <row r="313" spans="1:14" x14ac:dyDescent="0.25">
      <c r="A313">
        <v>29.980274999999999</v>
      </c>
      <c r="B313" s="1">
        <f>DATE(2010,5,30) + TIME(23,31,35)</f>
        <v>40328.980266203704</v>
      </c>
      <c r="C313">
        <v>80</v>
      </c>
      <c r="D313">
        <v>79.935195922999995</v>
      </c>
      <c r="E313">
        <v>40</v>
      </c>
      <c r="F313">
        <v>14.99980545</v>
      </c>
      <c r="G313">
        <v>1338.3760986</v>
      </c>
      <c r="H313">
        <v>1336.2895507999999</v>
      </c>
      <c r="I313">
        <v>1324.1960449000001</v>
      </c>
      <c r="J313">
        <v>1321.4464111</v>
      </c>
      <c r="K313">
        <v>1650</v>
      </c>
      <c r="L313">
        <v>0</v>
      </c>
      <c r="M313">
        <v>0</v>
      </c>
      <c r="N313">
        <v>1650</v>
      </c>
    </row>
    <row r="314" spans="1:14" x14ac:dyDescent="0.25">
      <c r="A314">
        <v>30.290907000000001</v>
      </c>
      <c r="B314" s="1">
        <f>DATE(2010,5,31) + TIME(6,58,54)</f>
        <v>40329.290902777779</v>
      </c>
      <c r="C314">
        <v>80</v>
      </c>
      <c r="D314">
        <v>79.935165405000006</v>
      </c>
      <c r="E314">
        <v>40</v>
      </c>
      <c r="F314">
        <v>14.999806403999999</v>
      </c>
      <c r="G314">
        <v>1338.3698730000001</v>
      </c>
      <c r="H314">
        <v>1336.2854004000001</v>
      </c>
      <c r="I314">
        <v>1324.1968993999999</v>
      </c>
      <c r="J314">
        <v>1321.4468993999999</v>
      </c>
      <c r="K314">
        <v>1650</v>
      </c>
      <c r="L314">
        <v>0</v>
      </c>
      <c r="M314">
        <v>0</v>
      </c>
      <c r="N314">
        <v>1650</v>
      </c>
    </row>
    <row r="315" spans="1:14" x14ac:dyDescent="0.25">
      <c r="A315">
        <v>30.608270999999998</v>
      </c>
      <c r="B315" s="1">
        <f>DATE(2010,5,31) + TIME(14,35,54)</f>
        <v>40329.608263888891</v>
      </c>
      <c r="C315">
        <v>80</v>
      </c>
      <c r="D315">
        <v>79.935127257999994</v>
      </c>
      <c r="E315">
        <v>40</v>
      </c>
      <c r="F315">
        <v>14.999807358</v>
      </c>
      <c r="G315">
        <v>1338.3634033000001</v>
      </c>
      <c r="H315">
        <v>1336.28125</v>
      </c>
      <c r="I315">
        <v>1324.1976318</v>
      </c>
      <c r="J315">
        <v>1321.4473877</v>
      </c>
      <c r="K315">
        <v>1650</v>
      </c>
      <c r="L315">
        <v>0</v>
      </c>
      <c r="M315">
        <v>0</v>
      </c>
      <c r="N315">
        <v>1650</v>
      </c>
    </row>
    <row r="316" spans="1:14" x14ac:dyDescent="0.25">
      <c r="A316">
        <v>30.769351</v>
      </c>
      <c r="B316" s="1">
        <f>DATE(2010,5,31) + TIME(18,27,51)</f>
        <v>40329.76934027778</v>
      </c>
      <c r="C316">
        <v>80</v>
      </c>
      <c r="D316">
        <v>79.935104370000005</v>
      </c>
      <c r="E316">
        <v>40</v>
      </c>
      <c r="F316">
        <v>14.999808311000001</v>
      </c>
      <c r="G316">
        <v>1338.3569336</v>
      </c>
      <c r="H316">
        <v>1336.2768555</v>
      </c>
      <c r="I316">
        <v>1324.1983643000001</v>
      </c>
      <c r="J316">
        <v>1321.447876</v>
      </c>
      <c r="K316">
        <v>1650</v>
      </c>
      <c r="L316">
        <v>0</v>
      </c>
      <c r="M316">
        <v>0</v>
      </c>
      <c r="N316">
        <v>1650</v>
      </c>
    </row>
    <row r="317" spans="1:14" x14ac:dyDescent="0.25">
      <c r="A317">
        <v>31</v>
      </c>
      <c r="B317" s="1">
        <f>DATE(2010,6,1) + TIME(0,0,0)</f>
        <v>40330</v>
      </c>
      <c r="C317">
        <v>80</v>
      </c>
      <c r="D317">
        <v>79.935081482000001</v>
      </c>
      <c r="E317">
        <v>40</v>
      </c>
      <c r="F317">
        <v>14.999809265</v>
      </c>
      <c r="G317">
        <v>1338.3537598</v>
      </c>
      <c r="H317">
        <v>1336.2747803</v>
      </c>
      <c r="I317">
        <v>1324.1988524999999</v>
      </c>
      <c r="J317">
        <v>1321.4482422000001</v>
      </c>
      <c r="K317">
        <v>1650</v>
      </c>
      <c r="L317">
        <v>0</v>
      </c>
      <c r="M317">
        <v>0</v>
      </c>
      <c r="N317">
        <v>1650</v>
      </c>
    </row>
    <row r="318" spans="1:14" x14ac:dyDescent="0.25">
      <c r="A318">
        <v>31.161079000000001</v>
      </c>
      <c r="B318" s="1">
        <f>DATE(2010,6,1) + TIME(3,51,57)</f>
        <v>40330.161076388889</v>
      </c>
      <c r="C318">
        <v>80</v>
      </c>
      <c r="D318">
        <v>79.935058593999997</v>
      </c>
      <c r="E318">
        <v>40</v>
      </c>
      <c r="F318">
        <v>14.999809265</v>
      </c>
      <c r="G318">
        <v>1338.3491211</v>
      </c>
      <c r="H318">
        <v>1336.2716064000001</v>
      </c>
      <c r="I318">
        <v>1324.1994629000001</v>
      </c>
      <c r="J318">
        <v>1321.4486084</v>
      </c>
      <c r="K318">
        <v>1650</v>
      </c>
      <c r="L318">
        <v>0</v>
      </c>
      <c r="M318">
        <v>0</v>
      </c>
      <c r="N318">
        <v>1650</v>
      </c>
    </row>
    <row r="319" spans="1:14" x14ac:dyDescent="0.25">
      <c r="A319">
        <v>31.321280999999999</v>
      </c>
      <c r="B319" s="1">
        <f>DATE(2010,6,1) + TIME(7,42,38)</f>
        <v>40330.321273148147</v>
      </c>
      <c r="C319">
        <v>80</v>
      </c>
      <c r="D319">
        <v>79.935035705999994</v>
      </c>
      <c r="E319">
        <v>40</v>
      </c>
      <c r="F319">
        <v>14.999810219</v>
      </c>
      <c r="G319">
        <v>1338.3459473</v>
      </c>
      <c r="H319">
        <v>1336.2695312000001</v>
      </c>
      <c r="I319">
        <v>1324.1998291</v>
      </c>
      <c r="J319">
        <v>1321.4488524999999</v>
      </c>
      <c r="K319">
        <v>1650</v>
      </c>
      <c r="L319">
        <v>0</v>
      </c>
      <c r="M319">
        <v>0</v>
      </c>
      <c r="N319">
        <v>1650</v>
      </c>
    </row>
    <row r="320" spans="1:14" x14ac:dyDescent="0.25">
      <c r="A320">
        <v>31.481107000000002</v>
      </c>
      <c r="B320" s="1">
        <f>DATE(2010,6,1) + TIME(11,32,47)</f>
        <v>40330.481099537035</v>
      </c>
      <c r="C320">
        <v>80</v>
      </c>
      <c r="D320">
        <v>79.935020446999999</v>
      </c>
      <c r="E320">
        <v>40</v>
      </c>
      <c r="F320">
        <v>14.999810219</v>
      </c>
      <c r="G320">
        <v>1338.3427733999999</v>
      </c>
      <c r="H320">
        <v>1336.2673339999999</v>
      </c>
      <c r="I320">
        <v>1324.2001952999999</v>
      </c>
      <c r="J320">
        <v>1321.4490966999999</v>
      </c>
      <c r="K320">
        <v>1650</v>
      </c>
      <c r="L320">
        <v>0</v>
      </c>
      <c r="M320">
        <v>0</v>
      </c>
      <c r="N320">
        <v>1650</v>
      </c>
    </row>
    <row r="321" spans="1:14" x14ac:dyDescent="0.25">
      <c r="A321">
        <v>31.640654000000001</v>
      </c>
      <c r="B321" s="1">
        <f>DATE(2010,6,1) + TIME(15,22,32)</f>
        <v>40330.640648148146</v>
      </c>
      <c r="C321">
        <v>80</v>
      </c>
      <c r="D321">
        <v>79.934997558999996</v>
      </c>
      <c r="E321">
        <v>40</v>
      </c>
      <c r="F321">
        <v>14.999811171999999</v>
      </c>
      <c r="G321">
        <v>1338.3395995999999</v>
      </c>
      <c r="H321">
        <v>1336.2652588000001</v>
      </c>
      <c r="I321">
        <v>1324.2006836</v>
      </c>
      <c r="J321">
        <v>1321.4493408000001</v>
      </c>
      <c r="K321">
        <v>1650</v>
      </c>
      <c r="L321">
        <v>0</v>
      </c>
      <c r="M321">
        <v>0</v>
      </c>
      <c r="N321">
        <v>1650</v>
      </c>
    </row>
    <row r="322" spans="1:14" x14ac:dyDescent="0.25">
      <c r="A322">
        <v>31.800013</v>
      </c>
      <c r="B322" s="1">
        <f>DATE(2010,6,1) + TIME(19,12,1)</f>
        <v>40330.800011574072</v>
      </c>
      <c r="C322">
        <v>80</v>
      </c>
      <c r="D322">
        <v>79.934982300000001</v>
      </c>
      <c r="E322">
        <v>40</v>
      </c>
      <c r="F322">
        <v>14.999811171999999</v>
      </c>
      <c r="G322">
        <v>1338.3364257999999</v>
      </c>
      <c r="H322">
        <v>1336.2631836</v>
      </c>
      <c r="I322">
        <v>1324.2010498</v>
      </c>
      <c r="J322">
        <v>1321.4495850000001</v>
      </c>
      <c r="K322">
        <v>1650</v>
      </c>
      <c r="L322">
        <v>0</v>
      </c>
      <c r="M322">
        <v>0</v>
      </c>
      <c r="N322">
        <v>1650</v>
      </c>
    </row>
    <row r="323" spans="1:14" x14ac:dyDescent="0.25">
      <c r="A323">
        <v>31.959257999999998</v>
      </c>
      <c r="B323" s="1">
        <f>DATE(2010,6,1) + TIME(23,1,19)</f>
        <v>40330.959247685183</v>
      </c>
      <c r="C323">
        <v>80</v>
      </c>
      <c r="D323">
        <v>79.934967040999993</v>
      </c>
      <c r="E323">
        <v>40</v>
      </c>
      <c r="F323">
        <v>14.999812126</v>
      </c>
      <c r="G323">
        <v>1338.333374</v>
      </c>
      <c r="H323">
        <v>1336.2611084</v>
      </c>
      <c r="I323">
        <v>1324.2015381000001</v>
      </c>
      <c r="J323">
        <v>1321.4498291</v>
      </c>
      <c r="K323">
        <v>1650</v>
      </c>
      <c r="L323">
        <v>0</v>
      </c>
      <c r="M323">
        <v>0</v>
      </c>
      <c r="N323">
        <v>1650</v>
      </c>
    </row>
    <row r="324" spans="1:14" x14ac:dyDescent="0.25">
      <c r="A324">
        <v>32.118473000000002</v>
      </c>
      <c r="B324" s="1">
        <f>DATE(2010,6,2) + TIME(2,50,36)</f>
        <v>40331.118472222224</v>
      </c>
      <c r="C324">
        <v>80</v>
      </c>
      <c r="D324">
        <v>79.934951781999999</v>
      </c>
      <c r="E324">
        <v>40</v>
      </c>
      <c r="F324">
        <v>14.999812126</v>
      </c>
      <c r="G324">
        <v>1338.3303223</v>
      </c>
      <c r="H324">
        <v>1336.2590332</v>
      </c>
      <c r="I324">
        <v>1324.2019043</v>
      </c>
      <c r="J324">
        <v>1321.4500731999999</v>
      </c>
      <c r="K324">
        <v>1650</v>
      </c>
      <c r="L324">
        <v>0</v>
      </c>
      <c r="M324">
        <v>0</v>
      </c>
      <c r="N324">
        <v>1650</v>
      </c>
    </row>
    <row r="325" spans="1:14" x14ac:dyDescent="0.25">
      <c r="A325">
        <v>32.277687</v>
      </c>
      <c r="B325" s="1">
        <f>DATE(2010,6,2) + TIME(6,39,52)</f>
        <v>40331.277685185189</v>
      </c>
      <c r="C325">
        <v>80</v>
      </c>
      <c r="D325">
        <v>79.934936523000005</v>
      </c>
      <c r="E325">
        <v>40</v>
      </c>
      <c r="F325">
        <v>14.999813079999999</v>
      </c>
      <c r="G325">
        <v>1338.3272704999999</v>
      </c>
      <c r="H325">
        <v>1336.2569579999999</v>
      </c>
      <c r="I325">
        <v>1324.2022704999999</v>
      </c>
      <c r="J325">
        <v>1321.4504394999999</v>
      </c>
      <c r="K325">
        <v>1650</v>
      </c>
      <c r="L325">
        <v>0</v>
      </c>
      <c r="M325">
        <v>0</v>
      </c>
      <c r="N325">
        <v>1650</v>
      </c>
    </row>
    <row r="326" spans="1:14" x14ac:dyDescent="0.25">
      <c r="A326">
        <v>32.436902000000003</v>
      </c>
      <c r="B326" s="1">
        <f>DATE(2010,6,2) + TIME(10,29,8)</f>
        <v>40331.436898148146</v>
      </c>
      <c r="C326">
        <v>80</v>
      </c>
      <c r="D326">
        <v>79.934921265</v>
      </c>
      <c r="E326">
        <v>40</v>
      </c>
      <c r="F326">
        <v>14.999813079999999</v>
      </c>
      <c r="G326">
        <v>1338.3242187999999</v>
      </c>
      <c r="H326">
        <v>1336.2550048999999</v>
      </c>
      <c r="I326">
        <v>1324.2027588000001</v>
      </c>
      <c r="J326">
        <v>1321.4506836</v>
      </c>
      <c r="K326">
        <v>1650</v>
      </c>
      <c r="L326">
        <v>0</v>
      </c>
      <c r="M326">
        <v>0</v>
      </c>
      <c r="N326">
        <v>1650</v>
      </c>
    </row>
    <row r="327" spans="1:14" x14ac:dyDescent="0.25">
      <c r="A327">
        <v>32.596117</v>
      </c>
      <c r="B327" s="1">
        <f>DATE(2010,6,2) + TIME(14,18,24)</f>
        <v>40331.59611111111</v>
      </c>
      <c r="C327">
        <v>80</v>
      </c>
      <c r="D327">
        <v>79.934906006000006</v>
      </c>
      <c r="E327">
        <v>40</v>
      </c>
      <c r="F327">
        <v>14.999814034</v>
      </c>
      <c r="G327">
        <v>1338.3211670000001</v>
      </c>
      <c r="H327">
        <v>1336.2529297000001</v>
      </c>
      <c r="I327">
        <v>1324.203125</v>
      </c>
      <c r="J327">
        <v>1321.4509277</v>
      </c>
      <c r="K327">
        <v>1650</v>
      </c>
      <c r="L327">
        <v>0</v>
      </c>
      <c r="M327">
        <v>0</v>
      </c>
      <c r="N327">
        <v>1650</v>
      </c>
    </row>
    <row r="328" spans="1:14" x14ac:dyDescent="0.25">
      <c r="A328">
        <v>32.755330999999998</v>
      </c>
      <c r="B328" s="1">
        <f>DATE(2010,6,2) + TIME(18,7,40)</f>
        <v>40331.755324074074</v>
      </c>
      <c r="C328">
        <v>80</v>
      </c>
      <c r="D328">
        <v>79.934890746999997</v>
      </c>
      <c r="E328">
        <v>40</v>
      </c>
      <c r="F328">
        <v>14.999814987000001</v>
      </c>
      <c r="G328">
        <v>1338.3181152</v>
      </c>
      <c r="H328">
        <v>1336.2508545000001</v>
      </c>
      <c r="I328">
        <v>1324.2036132999999</v>
      </c>
      <c r="J328">
        <v>1321.4511719</v>
      </c>
      <c r="K328">
        <v>1650</v>
      </c>
      <c r="L328">
        <v>0</v>
      </c>
      <c r="M328">
        <v>0</v>
      </c>
      <c r="N328">
        <v>1650</v>
      </c>
    </row>
    <row r="329" spans="1:14" x14ac:dyDescent="0.25">
      <c r="A329">
        <v>32.914546000000001</v>
      </c>
      <c r="B329" s="1">
        <f>DATE(2010,6,2) + TIME(21,56,56)</f>
        <v>40331.914537037039</v>
      </c>
      <c r="C329">
        <v>80</v>
      </c>
      <c r="D329">
        <v>79.934875488000003</v>
      </c>
      <c r="E329">
        <v>40</v>
      </c>
      <c r="F329">
        <v>14.999814987000001</v>
      </c>
      <c r="G329">
        <v>1338.3150635</v>
      </c>
      <c r="H329">
        <v>1336.2489014</v>
      </c>
      <c r="I329">
        <v>1324.2039795000001</v>
      </c>
      <c r="J329">
        <v>1321.4514160000001</v>
      </c>
      <c r="K329">
        <v>1650</v>
      </c>
      <c r="L329">
        <v>0</v>
      </c>
      <c r="M329">
        <v>0</v>
      </c>
      <c r="N329">
        <v>1650</v>
      </c>
    </row>
    <row r="330" spans="1:14" x14ac:dyDescent="0.25">
      <c r="A330">
        <v>33.073760999999998</v>
      </c>
      <c r="B330" s="1">
        <f>DATE(2010,6,3) + TIME(1,46,12)</f>
        <v>40332.073750000003</v>
      </c>
      <c r="C330">
        <v>80</v>
      </c>
      <c r="D330">
        <v>79.934860228999995</v>
      </c>
      <c r="E330">
        <v>40</v>
      </c>
      <c r="F330">
        <v>14.999815941</v>
      </c>
      <c r="G330">
        <v>1338.3121338000001</v>
      </c>
      <c r="H330">
        <v>1336.2468262</v>
      </c>
      <c r="I330">
        <v>1324.2043457</v>
      </c>
      <c r="J330">
        <v>1321.4516602000001</v>
      </c>
      <c r="K330">
        <v>1650</v>
      </c>
      <c r="L330">
        <v>0</v>
      </c>
      <c r="M330">
        <v>0</v>
      </c>
      <c r="N330">
        <v>1650</v>
      </c>
    </row>
    <row r="331" spans="1:14" x14ac:dyDescent="0.25">
      <c r="A331">
        <v>33.392189999999999</v>
      </c>
      <c r="B331" s="1">
        <f>DATE(2010,6,3) + TIME(9,24,45)</f>
        <v>40332.392187500001</v>
      </c>
      <c r="C331">
        <v>80</v>
      </c>
      <c r="D331">
        <v>79.934844971000004</v>
      </c>
      <c r="E331">
        <v>40</v>
      </c>
      <c r="F331">
        <v>14.999815941</v>
      </c>
      <c r="G331">
        <v>1338.3092041</v>
      </c>
      <c r="H331">
        <v>1336.2449951000001</v>
      </c>
      <c r="I331">
        <v>1324.2048339999999</v>
      </c>
      <c r="J331">
        <v>1321.4520264</v>
      </c>
      <c r="K331">
        <v>1650</v>
      </c>
      <c r="L331">
        <v>0</v>
      </c>
      <c r="M331">
        <v>0</v>
      </c>
      <c r="N331">
        <v>1650</v>
      </c>
    </row>
    <row r="332" spans="1:14" x14ac:dyDescent="0.25">
      <c r="A332">
        <v>33.711418999999999</v>
      </c>
      <c r="B332" s="1">
        <f>DATE(2010,6,3) + TIME(17,4,26)</f>
        <v>40332.711412037039</v>
      </c>
      <c r="C332">
        <v>80</v>
      </c>
      <c r="D332">
        <v>79.934829711999996</v>
      </c>
      <c r="E332">
        <v>40</v>
      </c>
      <c r="F332">
        <v>14.999816895</v>
      </c>
      <c r="G332">
        <v>1338.3033447</v>
      </c>
      <c r="H332">
        <v>1336.2409668</v>
      </c>
      <c r="I332">
        <v>1324.2056885</v>
      </c>
      <c r="J332">
        <v>1321.4525146000001</v>
      </c>
      <c r="K332">
        <v>1650</v>
      </c>
      <c r="L332">
        <v>0</v>
      </c>
      <c r="M332">
        <v>0</v>
      </c>
      <c r="N332">
        <v>1650</v>
      </c>
    </row>
    <row r="333" spans="1:14" x14ac:dyDescent="0.25">
      <c r="A333">
        <v>34.034315999999997</v>
      </c>
      <c r="B333" s="1">
        <f>DATE(2010,6,4) + TIME(0,49,24)</f>
        <v>40333.034305555557</v>
      </c>
      <c r="C333">
        <v>80</v>
      </c>
      <c r="D333">
        <v>79.934806824000006</v>
      </c>
      <c r="E333">
        <v>40</v>
      </c>
      <c r="F333">
        <v>14.999817847999999</v>
      </c>
      <c r="G333">
        <v>1338.2973632999999</v>
      </c>
      <c r="H333">
        <v>1336.2370605000001</v>
      </c>
      <c r="I333">
        <v>1324.206543</v>
      </c>
      <c r="J333">
        <v>1321.453125</v>
      </c>
      <c r="K333">
        <v>1650</v>
      </c>
      <c r="L333">
        <v>0</v>
      </c>
      <c r="M333">
        <v>0</v>
      </c>
      <c r="N333">
        <v>1650</v>
      </c>
    </row>
    <row r="334" spans="1:14" x14ac:dyDescent="0.25">
      <c r="A334">
        <v>34.361581999999999</v>
      </c>
      <c r="B334" s="1">
        <f>DATE(2010,6,4) + TIME(8,40,40)</f>
        <v>40333.361574074072</v>
      </c>
      <c r="C334">
        <v>80</v>
      </c>
      <c r="D334">
        <v>79.934783936000002</v>
      </c>
      <c r="E334">
        <v>40</v>
      </c>
      <c r="F334">
        <v>14.999818802</v>
      </c>
      <c r="G334">
        <v>1338.2915039</v>
      </c>
      <c r="H334">
        <v>1336.2330322</v>
      </c>
      <c r="I334">
        <v>1324.2073975000001</v>
      </c>
      <c r="J334">
        <v>1321.4536132999999</v>
      </c>
      <c r="K334">
        <v>1650</v>
      </c>
      <c r="L334">
        <v>0</v>
      </c>
      <c r="M334">
        <v>0</v>
      </c>
      <c r="N334">
        <v>1650</v>
      </c>
    </row>
    <row r="335" spans="1:14" x14ac:dyDescent="0.25">
      <c r="A335">
        <v>34.693975999999999</v>
      </c>
      <c r="B335" s="1">
        <f>DATE(2010,6,4) + TIME(16,39,19)</f>
        <v>40333.693969907406</v>
      </c>
      <c r="C335">
        <v>80</v>
      </c>
      <c r="D335">
        <v>79.934761046999995</v>
      </c>
      <c r="E335">
        <v>40</v>
      </c>
      <c r="F335">
        <v>14.999819756000001</v>
      </c>
      <c r="G335">
        <v>1338.2856445</v>
      </c>
      <c r="H335">
        <v>1336.229126</v>
      </c>
      <c r="I335">
        <v>1324.2082519999999</v>
      </c>
      <c r="J335">
        <v>1321.4542236</v>
      </c>
      <c r="K335">
        <v>1650</v>
      </c>
      <c r="L335">
        <v>0</v>
      </c>
      <c r="M335">
        <v>0</v>
      </c>
      <c r="N335">
        <v>1650</v>
      </c>
    </row>
    <row r="336" spans="1:14" x14ac:dyDescent="0.25">
      <c r="A336">
        <v>35.032307000000003</v>
      </c>
      <c r="B336" s="1">
        <f>DATE(2010,6,5) + TIME(0,46,31)</f>
        <v>40334.03230324074</v>
      </c>
      <c r="C336">
        <v>80</v>
      </c>
      <c r="D336">
        <v>79.934738159000005</v>
      </c>
      <c r="E336">
        <v>40</v>
      </c>
      <c r="F336">
        <v>14.999820709</v>
      </c>
      <c r="G336">
        <v>1338.2796631000001</v>
      </c>
      <c r="H336">
        <v>1336.2250977000001</v>
      </c>
      <c r="I336">
        <v>1324.2092285000001</v>
      </c>
      <c r="J336">
        <v>1321.4547118999999</v>
      </c>
      <c r="K336">
        <v>1650</v>
      </c>
      <c r="L336">
        <v>0</v>
      </c>
      <c r="M336">
        <v>0</v>
      </c>
      <c r="N336">
        <v>1650</v>
      </c>
    </row>
    <row r="337" spans="1:14" x14ac:dyDescent="0.25">
      <c r="A337">
        <v>35.377535000000002</v>
      </c>
      <c r="B337" s="1">
        <f>DATE(2010,6,5) + TIME(9,3,38)</f>
        <v>40334.377523148149</v>
      </c>
      <c r="C337">
        <v>80</v>
      </c>
      <c r="D337">
        <v>79.934707642000006</v>
      </c>
      <c r="E337">
        <v>40</v>
      </c>
      <c r="F337">
        <v>14.999821663000001</v>
      </c>
      <c r="G337">
        <v>1338.2736815999999</v>
      </c>
      <c r="H337">
        <v>1336.2209473</v>
      </c>
      <c r="I337">
        <v>1324.2100829999999</v>
      </c>
      <c r="J337">
        <v>1321.4553223</v>
      </c>
      <c r="K337">
        <v>1650</v>
      </c>
      <c r="L337">
        <v>0</v>
      </c>
      <c r="M337">
        <v>0</v>
      </c>
      <c r="N337">
        <v>1650</v>
      </c>
    </row>
    <row r="338" spans="1:14" x14ac:dyDescent="0.25">
      <c r="A338">
        <v>35.553460000000001</v>
      </c>
      <c r="B338" s="1">
        <f>DATE(2010,6,5) + TIME(13,16,58)</f>
        <v>40334.553449074076</v>
      </c>
      <c r="C338">
        <v>80</v>
      </c>
      <c r="D338">
        <v>79.934692382999998</v>
      </c>
      <c r="E338">
        <v>40</v>
      </c>
      <c r="F338">
        <v>14.999822617</v>
      </c>
      <c r="G338">
        <v>1338.2675781</v>
      </c>
      <c r="H338">
        <v>1336.2167969</v>
      </c>
      <c r="I338">
        <v>1324.2110596</v>
      </c>
      <c r="J338">
        <v>1321.4559326000001</v>
      </c>
      <c r="K338">
        <v>1650</v>
      </c>
      <c r="L338">
        <v>0</v>
      </c>
      <c r="M338">
        <v>0</v>
      </c>
      <c r="N338">
        <v>1650</v>
      </c>
    </row>
    <row r="339" spans="1:14" x14ac:dyDescent="0.25">
      <c r="A339">
        <v>35.729385000000001</v>
      </c>
      <c r="B339" s="1">
        <f>DATE(2010,6,5) + TIME(17,30,18)</f>
        <v>40334.729375000003</v>
      </c>
      <c r="C339">
        <v>80</v>
      </c>
      <c r="D339">
        <v>79.934669494999994</v>
      </c>
      <c r="E339">
        <v>40</v>
      </c>
      <c r="F339">
        <v>14.999822617</v>
      </c>
      <c r="G339">
        <v>1338.2644043</v>
      </c>
      <c r="H339">
        <v>1336.2147216999999</v>
      </c>
      <c r="I339">
        <v>1324.2114257999999</v>
      </c>
      <c r="J339">
        <v>1321.4561768000001</v>
      </c>
      <c r="K339">
        <v>1650</v>
      </c>
      <c r="L339">
        <v>0</v>
      </c>
      <c r="M339">
        <v>0</v>
      </c>
      <c r="N339">
        <v>1650</v>
      </c>
    </row>
    <row r="340" spans="1:14" x14ac:dyDescent="0.25">
      <c r="A340">
        <v>35.904985000000003</v>
      </c>
      <c r="B340" s="1">
        <f>DATE(2010,6,5) + TIME(21,43,10)</f>
        <v>40334.904976851853</v>
      </c>
      <c r="C340">
        <v>80</v>
      </c>
      <c r="D340">
        <v>79.934654236</v>
      </c>
      <c r="E340">
        <v>40</v>
      </c>
      <c r="F340">
        <v>14.99982357</v>
      </c>
      <c r="G340">
        <v>1338.2613524999999</v>
      </c>
      <c r="H340">
        <v>1336.2126464999999</v>
      </c>
      <c r="I340">
        <v>1324.2119141000001</v>
      </c>
      <c r="J340">
        <v>1321.4564209</v>
      </c>
      <c r="K340">
        <v>1650</v>
      </c>
      <c r="L340">
        <v>0</v>
      </c>
      <c r="M340">
        <v>0</v>
      </c>
      <c r="N340">
        <v>1650</v>
      </c>
    </row>
    <row r="341" spans="1:14" x14ac:dyDescent="0.25">
      <c r="A341">
        <v>36.079982000000001</v>
      </c>
      <c r="B341" s="1">
        <f>DATE(2010,6,6) + TIME(1,55,10)</f>
        <v>40335.079976851855</v>
      </c>
      <c r="C341">
        <v>80</v>
      </c>
      <c r="D341">
        <v>79.934638977000006</v>
      </c>
      <c r="E341">
        <v>40</v>
      </c>
      <c r="F341">
        <v>14.999824523999999</v>
      </c>
      <c r="G341">
        <v>1338.2584228999999</v>
      </c>
      <c r="H341">
        <v>1336.2105713000001</v>
      </c>
      <c r="I341">
        <v>1324.2124022999999</v>
      </c>
      <c r="J341">
        <v>1321.4567870999999</v>
      </c>
      <c r="K341">
        <v>1650</v>
      </c>
      <c r="L341">
        <v>0</v>
      </c>
      <c r="M341">
        <v>0</v>
      </c>
      <c r="N341">
        <v>1650</v>
      </c>
    </row>
    <row r="342" spans="1:14" x14ac:dyDescent="0.25">
      <c r="A342">
        <v>36.254486</v>
      </c>
      <c r="B342" s="1">
        <f>DATE(2010,6,6) + TIME(6,6,27)</f>
        <v>40335.254479166666</v>
      </c>
      <c r="C342">
        <v>80</v>
      </c>
      <c r="D342">
        <v>79.934623717999997</v>
      </c>
      <c r="E342">
        <v>40</v>
      </c>
      <c r="F342">
        <v>14.999824523999999</v>
      </c>
      <c r="G342">
        <v>1338.2553711</v>
      </c>
      <c r="H342">
        <v>1336.2084961</v>
      </c>
      <c r="I342">
        <v>1324.2128906</v>
      </c>
      <c r="J342">
        <v>1321.4570312000001</v>
      </c>
      <c r="K342">
        <v>1650</v>
      </c>
      <c r="L342">
        <v>0</v>
      </c>
      <c r="M342">
        <v>0</v>
      </c>
      <c r="N342">
        <v>1650</v>
      </c>
    </row>
    <row r="343" spans="1:14" x14ac:dyDescent="0.25">
      <c r="A343">
        <v>36.428607</v>
      </c>
      <c r="B343" s="1">
        <f>DATE(2010,6,6) + TIME(10,17,11)</f>
        <v>40335.428599537037</v>
      </c>
      <c r="C343">
        <v>80</v>
      </c>
      <c r="D343">
        <v>79.934616089000002</v>
      </c>
      <c r="E343">
        <v>40</v>
      </c>
      <c r="F343">
        <v>14.999825478</v>
      </c>
      <c r="G343">
        <v>1338.2524414</v>
      </c>
      <c r="H343">
        <v>1336.206543</v>
      </c>
      <c r="I343">
        <v>1324.2133789</v>
      </c>
      <c r="J343">
        <v>1321.4573975000001</v>
      </c>
      <c r="K343">
        <v>1650</v>
      </c>
      <c r="L343">
        <v>0</v>
      </c>
      <c r="M343">
        <v>0</v>
      </c>
      <c r="N343">
        <v>1650</v>
      </c>
    </row>
    <row r="344" spans="1:14" x14ac:dyDescent="0.25">
      <c r="A344">
        <v>36.602452</v>
      </c>
      <c r="B344" s="1">
        <f>DATE(2010,6,6) + TIME(14,27,31)</f>
        <v>40335.602442129632</v>
      </c>
      <c r="C344">
        <v>80</v>
      </c>
      <c r="D344">
        <v>79.934600829999994</v>
      </c>
      <c r="E344">
        <v>40</v>
      </c>
      <c r="F344">
        <v>14.999825478</v>
      </c>
      <c r="G344">
        <v>1338.2493896000001</v>
      </c>
      <c r="H344">
        <v>1336.2044678</v>
      </c>
      <c r="I344">
        <v>1324.2138672000001</v>
      </c>
      <c r="J344">
        <v>1321.4576416</v>
      </c>
      <c r="K344">
        <v>1650</v>
      </c>
      <c r="L344">
        <v>0</v>
      </c>
      <c r="M344">
        <v>0</v>
      </c>
      <c r="N344">
        <v>1650</v>
      </c>
    </row>
    <row r="345" spans="1:14" x14ac:dyDescent="0.25">
      <c r="A345">
        <v>36.776124000000003</v>
      </c>
      <c r="B345" s="1">
        <f>DATE(2010,6,6) + TIME(18,37,37)</f>
        <v>40335.776122685187</v>
      </c>
      <c r="C345">
        <v>80</v>
      </c>
      <c r="D345">
        <v>79.934593200999998</v>
      </c>
      <c r="E345">
        <v>40</v>
      </c>
      <c r="F345">
        <v>14.999826431000001</v>
      </c>
      <c r="G345">
        <v>1338.2464600000001</v>
      </c>
      <c r="H345">
        <v>1336.2025146000001</v>
      </c>
      <c r="I345">
        <v>1324.2143555</v>
      </c>
      <c r="J345">
        <v>1321.4580077999999</v>
      </c>
      <c r="K345">
        <v>1650</v>
      </c>
      <c r="L345">
        <v>0</v>
      </c>
      <c r="M345">
        <v>0</v>
      </c>
      <c r="N345">
        <v>1650</v>
      </c>
    </row>
    <row r="346" spans="1:14" x14ac:dyDescent="0.25">
      <c r="A346">
        <v>36.949711000000001</v>
      </c>
      <c r="B346" s="1">
        <f>DATE(2010,6,6) + TIME(22,47,35)</f>
        <v>40335.94971064815</v>
      </c>
      <c r="C346">
        <v>80</v>
      </c>
      <c r="D346">
        <v>79.934577942000004</v>
      </c>
      <c r="E346">
        <v>40</v>
      </c>
      <c r="F346">
        <v>14.999826431000001</v>
      </c>
      <c r="G346">
        <v>1338.2435303</v>
      </c>
      <c r="H346">
        <v>1336.2005615</v>
      </c>
      <c r="I346">
        <v>1324.2148437999999</v>
      </c>
      <c r="J346">
        <v>1321.4582519999999</v>
      </c>
      <c r="K346">
        <v>1650</v>
      </c>
      <c r="L346">
        <v>0</v>
      </c>
      <c r="M346">
        <v>0</v>
      </c>
      <c r="N346">
        <v>1650</v>
      </c>
    </row>
    <row r="347" spans="1:14" x14ac:dyDescent="0.25">
      <c r="A347">
        <v>37.123297000000001</v>
      </c>
      <c r="B347" s="1">
        <f>DATE(2010,6,7) + TIME(2,57,32)</f>
        <v>40336.123287037037</v>
      </c>
      <c r="C347">
        <v>80</v>
      </c>
      <c r="D347">
        <v>79.934570312000005</v>
      </c>
      <c r="E347">
        <v>40</v>
      </c>
      <c r="F347">
        <v>14.999827385</v>
      </c>
      <c r="G347">
        <v>1338.2406006000001</v>
      </c>
      <c r="H347">
        <v>1336.1984863</v>
      </c>
      <c r="I347">
        <v>1324.215332</v>
      </c>
      <c r="J347">
        <v>1321.4586182</v>
      </c>
      <c r="K347">
        <v>1650</v>
      </c>
      <c r="L347">
        <v>0</v>
      </c>
      <c r="M347">
        <v>0</v>
      </c>
      <c r="N347">
        <v>1650</v>
      </c>
    </row>
    <row r="348" spans="1:14" x14ac:dyDescent="0.25">
      <c r="A348">
        <v>37.296883999999999</v>
      </c>
      <c r="B348" s="1">
        <f>DATE(2010,6,7) + TIME(7,7,30)</f>
        <v>40336.296875</v>
      </c>
      <c r="C348">
        <v>80</v>
      </c>
      <c r="D348">
        <v>79.934555054</v>
      </c>
      <c r="E348">
        <v>40</v>
      </c>
      <c r="F348">
        <v>14.999827385</v>
      </c>
      <c r="G348">
        <v>1338.237793</v>
      </c>
      <c r="H348">
        <v>1336.1965332</v>
      </c>
      <c r="I348">
        <v>1324.2158202999999</v>
      </c>
      <c r="J348">
        <v>1321.4588623</v>
      </c>
      <c r="K348">
        <v>1650</v>
      </c>
      <c r="L348">
        <v>0</v>
      </c>
      <c r="M348">
        <v>0</v>
      </c>
      <c r="N348">
        <v>1650</v>
      </c>
    </row>
    <row r="349" spans="1:14" x14ac:dyDescent="0.25">
      <c r="A349">
        <v>37.470469999999999</v>
      </c>
      <c r="B349" s="1">
        <f>DATE(2010,6,7) + TIME(11,17,28)</f>
        <v>40336.470462962963</v>
      </c>
      <c r="C349">
        <v>80</v>
      </c>
      <c r="D349">
        <v>79.934547424000002</v>
      </c>
      <c r="E349">
        <v>40</v>
      </c>
      <c r="F349">
        <v>14.999828339</v>
      </c>
      <c r="G349">
        <v>1338.2348632999999</v>
      </c>
      <c r="H349">
        <v>1336.1945800999999</v>
      </c>
      <c r="I349">
        <v>1324.2163086</v>
      </c>
      <c r="J349">
        <v>1321.4592285000001</v>
      </c>
      <c r="K349">
        <v>1650</v>
      </c>
      <c r="L349">
        <v>0</v>
      </c>
      <c r="M349">
        <v>0</v>
      </c>
      <c r="N349">
        <v>1650</v>
      </c>
    </row>
    <row r="350" spans="1:14" x14ac:dyDescent="0.25">
      <c r="A350">
        <v>37.644056999999997</v>
      </c>
      <c r="B350" s="1">
        <f>DATE(2010,6,7) + TIME(15,27,26)</f>
        <v>40336.644050925926</v>
      </c>
      <c r="C350">
        <v>80</v>
      </c>
      <c r="D350">
        <v>79.934532165999997</v>
      </c>
      <c r="E350">
        <v>40</v>
      </c>
      <c r="F350">
        <v>14.999829291999999</v>
      </c>
      <c r="G350">
        <v>1338.2320557</v>
      </c>
      <c r="H350">
        <v>1336.1926269999999</v>
      </c>
      <c r="I350">
        <v>1324.2167969</v>
      </c>
      <c r="J350">
        <v>1321.4594727000001</v>
      </c>
      <c r="K350">
        <v>1650</v>
      </c>
      <c r="L350">
        <v>0</v>
      </c>
      <c r="M350">
        <v>0</v>
      </c>
      <c r="N350">
        <v>1650</v>
      </c>
    </row>
    <row r="351" spans="1:14" x14ac:dyDescent="0.25">
      <c r="A351">
        <v>37.817642999999997</v>
      </c>
      <c r="B351" s="1">
        <f>DATE(2010,6,7) + TIME(19,37,24)</f>
        <v>40336.81763888889</v>
      </c>
      <c r="C351">
        <v>80</v>
      </c>
      <c r="D351">
        <v>79.934524535999998</v>
      </c>
      <c r="E351">
        <v>40</v>
      </c>
      <c r="F351">
        <v>14.999829291999999</v>
      </c>
      <c r="G351">
        <v>1338.229126</v>
      </c>
      <c r="H351">
        <v>1336.1906738</v>
      </c>
      <c r="I351">
        <v>1324.2172852000001</v>
      </c>
      <c r="J351">
        <v>1321.4598389</v>
      </c>
      <c r="K351">
        <v>1650</v>
      </c>
      <c r="L351">
        <v>0</v>
      </c>
      <c r="M351">
        <v>0</v>
      </c>
      <c r="N351">
        <v>1650</v>
      </c>
    </row>
    <row r="352" spans="1:14" x14ac:dyDescent="0.25">
      <c r="A352">
        <v>37.991230000000002</v>
      </c>
      <c r="B352" s="1">
        <f>DATE(2010,6,7) + TIME(23,47,22)</f>
        <v>40336.991226851853</v>
      </c>
      <c r="C352">
        <v>80</v>
      </c>
      <c r="D352">
        <v>79.934516907000003</v>
      </c>
      <c r="E352">
        <v>40</v>
      </c>
      <c r="F352">
        <v>14.999830246</v>
      </c>
      <c r="G352">
        <v>1338.2263184000001</v>
      </c>
      <c r="H352">
        <v>1336.1888428</v>
      </c>
      <c r="I352">
        <v>1324.2177733999999</v>
      </c>
      <c r="J352">
        <v>1321.4600829999999</v>
      </c>
      <c r="K352">
        <v>1650</v>
      </c>
      <c r="L352">
        <v>0</v>
      </c>
      <c r="M352">
        <v>0</v>
      </c>
      <c r="N352">
        <v>1650</v>
      </c>
    </row>
    <row r="353" spans="1:14" x14ac:dyDescent="0.25">
      <c r="A353">
        <v>38.164816000000002</v>
      </c>
      <c r="B353" s="1">
        <f>DATE(2010,6,8) + TIME(3,57,20)</f>
        <v>40337.164814814816</v>
      </c>
      <c r="C353">
        <v>80</v>
      </c>
      <c r="D353">
        <v>79.934501647999994</v>
      </c>
      <c r="E353">
        <v>40</v>
      </c>
      <c r="F353">
        <v>14.999830246</v>
      </c>
      <c r="G353">
        <v>1338.2235106999999</v>
      </c>
      <c r="H353">
        <v>1336.1868896000001</v>
      </c>
      <c r="I353">
        <v>1324.2182617000001</v>
      </c>
      <c r="J353">
        <v>1321.4604492000001</v>
      </c>
      <c r="K353">
        <v>1650</v>
      </c>
      <c r="L353">
        <v>0</v>
      </c>
      <c r="M353">
        <v>0</v>
      </c>
      <c r="N353">
        <v>1650</v>
      </c>
    </row>
    <row r="354" spans="1:14" x14ac:dyDescent="0.25">
      <c r="A354">
        <v>38.511989</v>
      </c>
      <c r="B354" s="1">
        <f>DATE(2010,6,8) + TIME(12,17,15)</f>
        <v>40337.511979166666</v>
      </c>
      <c r="C354">
        <v>80</v>
      </c>
      <c r="D354">
        <v>79.934494018999999</v>
      </c>
      <c r="E354">
        <v>40</v>
      </c>
      <c r="F354">
        <v>14.999831199999999</v>
      </c>
      <c r="G354">
        <v>1338.2207031</v>
      </c>
      <c r="H354">
        <v>1336.1850586</v>
      </c>
      <c r="I354">
        <v>1324.2188721</v>
      </c>
      <c r="J354">
        <v>1321.4608154</v>
      </c>
      <c r="K354">
        <v>1650</v>
      </c>
      <c r="L354">
        <v>0</v>
      </c>
      <c r="M354">
        <v>0</v>
      </c>
      <c r="N354">
        <v>1650</v>
      </c>
    </row>
    <row r="355" spans="1:14" x14ac:dyDescent="0.25">
      <c r="A355">
        <v>38.860191</v>
      </c>
      <c r="B355" s="1">
        <f>DATE(2010,6,8) + TIME(20,38,40)</f>
        <v>40337.860185185185</v>
      </c>
      <c r="C355">
        <v>80</v>
      </c>
      <c r="D355">
        <v>79.934486389</v>
      </c>
      <c r="E355">
        <v>40</v>
      </c>
      <c r="F355">
        <v>14.999832153</v>
      </c>
      <c r="G355">
        <v>1338.2152100000001</v>
      </c>
      <c r="H355">
        <v>1336.1812743999999</v>
      </c>
      <c r="I355">
        <v>1324.2198486</v>
      </c>
      <c r="J355">
        <v>1321.4614257999999</v>
      </c>
      <c r="K355">
        <v>1650</v>
      </c>
      <c r="L355">
        <v>0</v>
      </c>
      <c r="M355">
        <v>0</v>
      </c>
      <c r="N355">
        <v>1650</v>
      </c>
    </row>
    <row r="356" spans="1:14" x14ac:dyDescent="0.25">
      <c r="A356">
        <v>39.212600000000002</v>
      </c>
      <c r="B356" s="1">
        <f>DATE(2010,6,9) + TIME(5,6,8)</f>
        <v>40338.212592592594</v>
      </c>
      <c r="C356">
        <v>80</v>
      </c>
      <c r="D356">
        <v>79.934471130000006</v>
      </c>
      <c r="E356">
        <v>40</v>
      </c>
      <c r="F356">
        <v>14.999833107000001</v>
      </c>
      <c r="G356">
        <v>1338.2095947</v>
      </c>
      <c r="H356">
        <v>1336.1774902</v>
      </c>
      <c r="I356">
        <v>1324.2208252</v>
      </c>
      <c r="J356">
        <v>1321.4620361</v>
      </c>
      <c r="K356">
        <v>1650</v>
      </c>
      <c r="L356">
        <v>0</v>
      </c>
      <c r="M356">
        <v>0</v>
      </c>
      <c r="N356">
        <v>1650</v>
      </c>
    </row>
    <row r="357" spans="1:14" x14ac:dyDescent="0.25">
      <c r="A357">
        <v>39.569983999999998</v>
      </c>
      <c r="B357" s="1">
        <f>DATE(2010,6,9) + TIME(13,40,46)</f>
        <v>40338.569976851853</v>
      </c>
      <c r="C357">
        <v>80</v>
      </c>
      <c r="D357">
        <v>79.934455872000001</v>
      </c>
      <c r="E357">
        <v>40</v>
      </c>
      <c r="F357">
        <v>14.999834061</v>
      </c>
      <c r="G357">
        <v>1338.2041016000001</v>
      </c>
      <c r="H357">
        <v>1336.1737060999999</v>
      </c>
      <c r="I357">
        <v>1324.2218018000001</v>
      </c>
      <c r="J357">
        <v>1321.4626464999999</v>
      </c>
      <c r="K357">
        <v>1650</v>
      </c>
      <c r="L357">
        <v>0</v>
      </c>
      <c r="M357">
        <v>0</v>
      </c>
      <c r="N357">
        <v>1650</v>
      </c>
    </row>
    <row r="358" spans="1:14" x14ac:dyDescent="0.25">
      <c r="A358">
        <v>39.933179000000003</v>
      </c>
      <c r="B358" s="1">
        <f>DATE(2010,6,9) + TIME(22,23,46)</f>
        <v>40338.933171296296</v>
      </c>
      <c r="C358">
        <v>80</v>
      </c>
      <c r="D358">
        <v>79.934440613000007</v>
      </c>
      <c r="E358">
        <v>40</v>
      </c>
      <c r="F358">
        <v>14.999835014</v>
      </c>
      <c r="G358">
        <v>1338.1984863</v>
      </c>
      <c r="H358">
        <v>1336.1699219</v>
      </c>
      <c r="I358">
        <v>1324.2229004000001</v>
      </c>
      <c r="J358">
        <v>1321.4632568</v>
      </c>
      <c r="K358">
        <v>1650</v>
      </c>
      <c r="L358">
        <v>0</v>
      </c>
      <c r="M358">
        <v>0</v>
      </c>
      <c r="N358">
        <v>1650</v>
      </c>
    </row>
    <row r="359" spans="1:14" x14ac:dyDescent="0.25">
      <c r="A359">
        <v>40.303089</v>
      </c>
      <c r="B359" s="1">
        <f>DATE(2010,6,10) + TIME(7,16,26)</f>
        <v>40339.303078703706</v>
      </c>
      <c r="C359">
        <v>80</v>
      </c>
      <c r="D359">
        <v>79.934425353999998</v>
      </c>
      <c r="E359">
        <v>40</v>
      </c>
      <c r="F359">
        <v>14.999835967999999</v>
      </c>
      <c r="G359">
        <v>1338.1928711</v>
      </c>
      <c r="H359">
        <v>1336.1661377</v>
      </c>
      <c r="I359">
        <v>1324.223999</v>
      </c>
      <c r="J359">
        <v>1321.4639893000001</v>
      </c>
      <c r="K359">
        <v>1650</v>
      </c>
      <c r="L359">
        <v>0</v>
      </c>
      <c r="M359">
        <v>0</v>
      </c>
      <c r="N359">
        <v>1650</v>
      </c>
    </row>
    <row r="360" spans="1:14" x14ac:dyDescent="0.25">
      <c r="A360">
        <v>40.680656999999997</v>
      </c>
      <c r="B360" s="1">
        <f>DATE(2010,6,10) + TIME(16,20,8)</f>
        <v>40339.680648148147</v>
      </c>
      <c r="C360">
        <v>80</v>
      </c>
      <c r="D360">
        <v>79.934402465999995</v>
      </c>
      <c r="E360">
        <v>40</v>
      </c>
      <c r="F360">
        <v>14.999837875000001</v>
      </c>
      <c r="G360">
        <v>1338.1871338000001</v>
      </c>
      <c r="H360">
        <v>1336.1622314000001</v>
      </c>
      <c r="I360">
        <v>1324.2250977000001</v>
      </c>
      <c r="J360">
        <v>1321.4645995999999</v>
      </c>
      <c r="K360">
        <v>1650</v>
      </c>
      <c r="L360">
        <v>0</v>
      </c>
      <c r="M360">
        <v>0</v>
      </c>
      <c r="N360">
        <v>1650</v>
      </c>
    </row>
    <row r="361" spans="1:14" x14ac:dyDescent="0.25">
      <c r="A361">
        <v>40.871085999999998</v>
      </c>
      <c r="B361" s="1">
        <f>DATE(2010,6,10) + TIME(20,54,21)</f>
        <v>40339.871076388888</v>
      </c>
      <c r="C361">
        <v>80</v>
      </c>
      <c r="D361">
        <v>79.934387207</v>
      </c>
      <c r="E361">
        <v>40</v>
      </c>
      <c r="F361">
        <v>14.999837875000001</v>
      </c>
      <c r="G361">
        <v>1338.1813964999999</v>
      </c>
      <c r="H361">
        <v>1336.1582031</v>
      </c>
      <c r="I361">
        <v>1324.2261963000001</v>
      </c>
      <c r="J361">
        <v>1321.465332</v>
      </c>
      <c r="K361">
        <v>1650</v>
      </c>
      <c r="L361">
        <v>0</v>
      </c>
      <c r="M361">
        <v>0</v>
      </c>
      <c r="N361">
        <v>1650</v>
      </c>
    </row>
    <row r="362" spans="1:14" x14ac:dyDescent="0.25">
      <c r="A362">
        <v>41.061515999999997</v>
      </c>
      <c r="B362" s="1">
        <f>DATE(2010,6,11) + TIME(1,28,34)</f>
        <v>40340.06150462963</v>
      </c>
      <c r="C362">
        <v>80</v>
      </c>
      <c r="D362">
        <v>79.934371948000006</v>
      </c>
      <c r="E362">
        <v>40</v>
      </c>
      <c r="F362">
        <v>14.999838829</v>
      </c>
      <c r="G362">
        <v>1338.1784668</v>
      </c>
      <c r="H362">
        <v>1336.15625</v>
      </c>
      <c r="I362">
        <v>1324.2266846</v>
      </c>
      <c r="J362">
        <v>1321.4656981999999</v>
      </c>
      <c r="K362">
        <v>1650</v>
      </c>
      <c r="L362">
        <v>0</v>
      </c>
      <c r="M362">
        <v>0</v>
      </c>
      <c r="N362">
        <v>1650</v>
      </c>
    </row>
    <row r="363" spans="1:14" x14ac:dyDescent="0.25">
      <c r="A363">
        <v>41.251944999999999</v>
      </c>
      <c r="B363" s="1">
        <f>DATE(2010,6,11) + TIME(6,2,48)</f>
        <v>40340.251944444448</v>
      </c>
      <c r="C363">
        <v>80</v>
      </c>
      <c r="D363">
        <v>79.934364318999997</v>
      </c>
      <c r="E363">
        <v>40</v>
      </c>
      <c r="F363">
        <v>14.999839783000001</v>
      </c>
      <c r="G363">
        <v>1338.1756591999999</v>
      </c>
      <c r="H363">
        <v>1336.1542969</v>
      </c>
      <c r="I363">
        <v>1324.2272949000001</v>
      </c>
      <c r="J363">
        <v>1321.4660644999999</v>
      </c>
      <c r="K363">
        <v>1650</v>
      </c>
      <c r="L363">
        <v>0</v>
      </c>
      <c r="M363">
        <v>0</v>
      </c>
      <c r="N363">
        <v>1650</v>
      </c>
    </row>
    <row r="364" spans="1:14" x14ac:dyDescent="0.25">
      <c r="A364">
        <v>41.442374000000001</v>
      </c>
      <c r="B364" s="1">
        <f>DATE(2010,6,11) + TIME(10,37,1)</f>
        <v>40340.442372685182</v>
      </c>
      <c r="C364">
        <v>80</v>
      </c>
      <c r="D364">
        <v>79.934349060000002</v>
      </c>
      <c r="E364">
        <v>40</v>
      </c>
      <c r="F364">
        <v>14.999840735999999</v>
      </c>
      <c r="G364">
        <v>1338.1728516000001</v>
      </c>
      <c r="H364">
        <v>1336.1523437999999</v>
      </c>
      <c r="I364">
        <v>1324.2279053</v>
      </c>
      <c r="J364">
        <v>1321.4663086</v>
      </c>
      <c r="K364">
        <v>1650</v>
      </c>
      <c r="L364">
        <v>0</v>
      </c>
      <c r="M364">
        <v>0</v>
      </c>
      <c r="N364">
        <v>1650</v>
      </c>
    </row>
    <row r="365" spans="1:14" x14ac:dyDescent="0.25">
      <c r="A365">
        <v>41.632710000000003</v>
      </c>
      <c r="B365" s="1">
        <f>DATE(2010,6,11) + TIME(15,11,6)</f>
        <v>40340.632708333331</v>
      </c>
      <c r="C365">
        <v>80</v>
      </c>
      <c r="D365">
        <v>79.934341431000007</v>
      </c>
      <c r="E365">
        <v>40</v>
      </c>
      <c r="F365">
        <v>14.999840735999999</v>
      </c>
      <c r="G365">
        <v>1338.1700439000001</v>
      </c>
      <c r="H365">
        <v>1336.1503906</v>
      </c>
      <c r="I365">
        <v>1324.2283935999999</v>
      </c>
      <c r="J365">
        <v>1321.4666748</v>
      </c>
      <c r="K365">
        <v>1650</v>
      </c>
      <c r="L365">
        <v>0</v>
      </c>
      <c r="M365">
        <v>0</v>
      </c>
      <c r="N365">
        <v>1650</v>
      </c>
    </row>
    <row r="366" spans="1:14" x14ac:dyDescent="0.25">
      <c r="A366">
        <v>41.822662000000001</v>
      </c>
      <c r="B366" s="1">
        <f>DATE(2010,6,11) + TIME(19,44,38)</f>
        <v>40340.822662037041</v>
      </c>
      <c r="C366">
        <v>80</v>
      </c>
      <c r="D366">
        <v>79.934333800999994</v>
      </c>
      <c r="E366">
        <v>40</v>
      </c>
      <c r="F366">
        <v>14.99984169</v>
      </c>
      <c r="G366">
        <v>1338.1671143000001</v>
      </c>
      <c r="H366">
        <v>1336.1485596</v>
      </c>
      <c r="I366">
        <v>1324.2290039</v>
      </c>
      <c r="J366">
        <v>1321.4670410000001</v>
      </c>
      <c r="K366">
        <v>1650</v>
      </c>
      <c r="L366">
        <v>0</v>
      </c>
      <c r="M366">
        <v>0</v>
      </c>
      <c r="N366">
        <v>1650</v>
      </c>
    </row>
    <row r="367" spans="1:14" x14ac:dyDescent="0.25">
      <c r="A367">
        <v>42.012341999999997</v>
      </c>
      <c r="B367" s="1">
        <f>DATE(2010,6,12) + TIME(0,17,46)</f>
        <v>40341.012337962966</v>
      </c>
      <c r="C367">
        <v>80</v>
      </c>
      <c r="D367">
        <v>79.934326171999999</v>
      </c>
      <c r="E367">
        <v>40</v>
      </c>
      <c r="F367">
        <v>14.999842643999999</v>
      </c>
      <c r="G367">
        <v>1338.1644286999999</v>
      </c>
      <c r="H367">
        <v>1336.1466064000001</v>
      </c>
      <c r="I367">
        <v>1324.2296143000001</v>
      </c>
      <c r="J367">
        <v>1321.4674072</v>
      </c>
      <c r="K367">
        <v>1650</v>
      </c>
      <c r="L367">
        <v>0</v>
      </c>
      <c r="M367">
        <v>0</v>
      </c>
      <c r="N367">
        <v>1650</v>
      </c>
    </row>
    <row r="368" spans="1:14" x14ac:dyDescent="0.25">
      <c r="A368">
        <v>42.201863000000003</v>
      </c>
      <c r="B368" s="1">
        <f>DATE(2010,6,12) + TIME(4,50,40)</f>
        <v>40341.201851851853</v>
      </c>
      <c r="C368">
        <v>80</v>
      </c>
      <c r="D368">
        <v>79.934318542</v>
      </c>
      <c r="E368">
        <v>40</v>
      </c>
      <c r="F368">
        <v>14.999843597</v>
      </c>
      <c r="G368">
        <v>1338.1616211</v>
      </c>
      <c r="H368">
        <v>1336.1446533000001</v>
      </c>
      <c r="I368">
        <v>1324.2302245999999</v>
      </c>
      <c r="J368">
        <v>1321.4677733999999</v>
      </c>
      <c r="K368">
        <v>1650</v>
      </c>
      <c r="L368">
        <v>0</v>
      </c>
      <c r="M368">
        <v>0</v>
      </c>
      <c r="N368">
        <v>1650</v>
      </c>
    </row>
    <row r="369" spans="1:14" x14ac:dyDescent="0.25">
      <c r="A369">
        <v>42.391337</v>
      </c>
      <c r="B369" s="1">
        <f>DATE(2010,6,12) + TIME(9,23,31)</f>
        <v>40341.391331018516</v>
      </c>
      <c r="C369">
        <v>80</v>
      </c>
      <c r="D369">
        <v>79.934310913000004</v>
      </c>
      <c r="E369">
        <v>40</v>
      </c>
      <c r="F369">
        <v>14.999843597</v>
      </c>
      <c r="G369">
        <v>1338.1588135</v>
      </c>
      <c r="H369">
        <v>1336.1428223</v>
      </c>
      <c r="I369">
        <v>1324.2307129000001</v>
      </c>
      <c r="J369">
        <v>1321.4681396000001</v>
      </c>
      <c r="K369">
        <v>1650</v>
      </c>
      <c r="L369">
        <v>0</v>
      </c>
      <c r="M369">
        <v>0</v>
      </c>
      <c r="N369">
        <v>1650</v>
      </c>
    </row>
    <row r="370" spans="1:14" x14ac:dyDescent="0.25">
      <c r="A370">
        <v>42.580812000000002</v>
      </c>
      <c r="B370" s="1">
        <f>DATE(2010,6,12) + TIME(13,56,22)</f>
        <v>40341.580810185187</v>
      </c>
      <c r="C370">
        <v>80</v>
      </c>
      <c r="D370">
        <v>79.934303283999995</v>
      </c>
      <c r="E370">
        <v>40</v>
      </c>
      <c r="F370">
        <v>14.999844551000001</v>
      </c>
      <c r="G370">
        <v>1338.1561279</v>
      </c>
      <c r="H370">
        <v>1336.1408690999999</v>
      </c>
      <c r="I370">
        <v>1324.2313231999999</v>
      </c>
      <c r="J370">
        <v>1321.4685059000001</v>
      </c>
      <c r="K370">
        <v>1650</v>
      </c>
      <c r="L370">
        <v>0</v>
      </c>
      <c r="M370">
        <v>0</v>
      </c>
      <c r="N370">
        <v>1650</v>
      </c>
    </row>
    <row r="371" spans="1:14" x14ac:dyDescent="0.25">
      <c r="A371">
        <v>42.770285999999999</v>
      </c>
      <c r="B371" s="1">
        <f>DATE(2010,6,12) + TIME(18,29,12)</f>
        <v>40341.770277777781</v>
      </c>
      <c r="C371">
        <v>80</v>
      </c>
      <c r="D371">
        <v>79.934295653999996</v>
      </c>
      <c r="E371">
        <v>40</v>
      </c>
      <c r="F371">
        <v>14.999845505</v>
      </c>
      <c r="G371">
        <v>1338.1533202999999</v>
      </c>
      <c r="H371">
        <v>1336.1390381000001</v>
      </c>
      <c r="I371">
        <v>1324.2319336</v>
      </c>
      <c r="J371">
        <v>1321.4688721</v>
      </c>
      <c r="K371">
        <v>1650</v>
      </c>
      <c r="L371">
        <v>0</v>
      </c>
      <c r="M371">
        <v>0</v>
      </c>
      <c r="N371">
        <v>1650</v>
      </c>
    </row>
    <row r="372" spans="1:14" x14ac:dyDescent="0.25">
      <c r="A372">
        <v>42.959760000000003</v>
      </c>
      <c r="B372" s="1">
        <f>DATE(2010,6,12) + TIME(23,2,3)</f>
        <v>40341.959756944445</v>
      </c>
      <c r="C372">
        <v>80</v>
      </c>
      <c r="D372">
        <v>79.934288025000001</v>
      </c>
      <c r="E372">
        <v>40</v>
      </c>
      <c r="F372">
        <v>14.999846458</v>
      </c>
      <c r="G372">
        <v>1338.1506348</v>
      </c>
      <c r="H372">
        <v>1336.137207</v>
      </c>
      <c r="I372">
        <v>1324.2325439000001</v>
      </c>
      <c r="J372">
        <v>1321.4692382999999</v>
      </c>
      <c r="K372">
        <v>1650</v>
      </c>
      <c r="L372">
        <v>0</v>
      </c>
      <c r="M372">
        <v>0</v>
      </c>
      <c r="N372">
        <v>1650</v>
      </c>
    </row>
    <row r="373" spans="1:14" x14ac:dyDescent="0.25">
      <c r="A373">
        <v>43.149234999999997</v>
      </c>
      <c r="B373" s="1">
        <f>DATE(2010,6,13) + TIME(3,34,53)</f>
        <v>40342.149224537039</v>
      </c>
      <c r="C373">
        <v>80</v>
      </c>
      <c r="D373">
        <v>79.934280396000005</v>
      </c>
      <c r="E373">
        <v>40</v>
      </c>
      <c r="F373">
        <v>14.999847411999999</v>
      </c>
      <c r="G373">
        <v>1338.1479492000001</v>
      </c>
      <c r="H373">
        <v>1336.1352539</v>
      </c>
      <c r="I373">
        <v>1324.2331543</v>
      </c>
      <c r="J373">
        <v>1321.4696045000001</v>
      </c>
      <c r="K373">
        <v>1650</v>
      </c>
      <c r="L373">
        <v>0</v>
      </c>
      <c r="M373">
        <v>0</v>
      </c>
      <c r="N373">
        <v>1650</v>
      </c>
    </row>
    <row r="374" spans="1:14" x14ac:dyDescent="0.25">
      <c r="A374">
        <v>43.338709000000001</v>
      </c>
      <c r="B374" s="1">
        <f>DATE(2010,6,13) + TIME(8,7,44)</f>
        <v>40342.338703703703</v>
      </c>
      <c r="C374">
        <v>80</v>
      </c>
      <c r="D374">
        <v>79.934272766000007</v>
      </c>
      <c r="E374">
        <v>40</v>
      </c>
      <c r="F374">
        <v>14.999848366</v>
      </c>
      <c r="G374">
        <v>1338.1452637</v>
      </c>
      <c r="H374">
        <v>1336.1334228999999</v>
      </c>
      <c r="I374">
        <v>1324.2337646000001</v>
      </c>
      <c r="J374">
        <v>1321.4699707</v>
      </c>
      <c r="K374">
        <v>1650</v>
      </c>
      <c r="L374">
        <v>0</v>
      </c>
      <c r="M374">
        <v>0</v>
      </c>
      <c r="N374">
        <v>1650</v>
      </c>
    </row>
    <row r="375" spans="1:14" x14ac:dyDescent="0.25">
      <c r="A375">
        <v>43.528182999999999</v>
      </c>
      <c r="B375" s="1">
        <f>DATE(2010,6,13) + TIME(12,40,35)</f>
        <v>40342.528182870374</v>
      </c>
      <c r="C375">
        <v>80</v>
      </c>
      <c r="D375">
        <v>79.934265136999997</v>
      </c>
      <c r="E375">
        <v>40</v>
      </c>
      <c r="F375">
        <v>14.999849319000001</v>
      </c>
      <c r="G375">
        <v>1338.1425781</v>
      </c>
      <c r="H375">
        <v>1336.1315918</v>
      </c>
      <c r="I375">
        <v>1324.2342529</v>
      </c>
      <c r="J375">
        <v>1321.4703368999999</v>
      </c>
      <c r="K375">
        <v>1650</v>
      </c>
      <c r="L375">
        <v>0</v>
      </c>
      <c r="M375">
        <v>0</v>
      </c>
      <c r="N375">
        <v>1650</v>
      </c>
    </row>
    <row r="376" spans="1:14" x14ac:dyDescent="0.25">
      <c r="A376">
        <v>43.717658</v>
      </c>
      <c r="B376" s="1">
        <f>DATE(2010,6,13) + TIME(17,13,25)</f>
        <v>40342.717650462961</v>
      </c>
      <c r="C376">
        <v>80</v>
      </c>
      <c r="D376">
        <v>79.934265136999997</v>
      </c>
      <c r="E376">
        <v>40</v>
      </c>
      <c r="F376">
        <v>14.999850273</v>
      </c>
      <c r="G376">
        <v>1338.1398925999999</v>
      </c>
      <c r="H376">
        <v>1336.1297606999999</v>
      </c>
      <c r="I376">
        <v>1324.2348632999999</v>
      </c>
      <c r="J376">
        <v>1321.4707031</v>
      </c>
      <c r="K376">
        <v>1650</v>
      </c>
      <c r="L376">
        <v>0</v>
      </c>
      <c r="M376">
        <v>0</v>
      </c>
      <c r="N376">
        <v>1650</v>
      </c>
    </row>
    <row r="377" spans="1:14" x14ac:dyDescent="0.25">
      <c r="A377">
        <v>44.096606000000001</v>
      </c>
      <c r="B377" s="1">
        <f>DATE(2010,6,14) + TIME(2,19,6)</f>
        <v>40343.096597222226</v>
      </c>
      <c r="C377">
        <v>80</v>
      </c>
      <c r="D377">
        <v>79.934265136999997</v>
      </c>
      <c r="E377">
        <v>40</v>
      </c>
      <c r="F377">
        <v>14.99985218</v>
      </c>
      <c r="G377">
        <v>1338.1373291</v>
      </c>
      <c r="H377">
        <v>1336.1280518000001</v>
      </c>
      <c r="I377">
        <v>1324.2354736</v>
      </c>
      <c r="J377">
        <v>1321.4710693</v>
      </c>
      <c r="K377">
        <v>1650</v>
      </c>
      <c r="L377">
        <v>0</v>
      </c>
      <c r="M377">
        <v>0</v>
      </c>
      <c r="N377">
        <v>1650</v>
      </c>
    </row>
    <row r="378" spans="1:14" x14ac:dyDescent="0.25">
      <c r="A378">
        <v>44.477013999999997</v>
      </c>
      <c r="B378" s="1">
        <f>DATE(2010,6,14) + TIME(11,26,54)</f>
        <v>40343.477013888885</v>
      </c>
      <c r="C378">
        <v>80</v>
      </c>
      <c r="D378">
        <v>79.934257506999998</v>
      </c>
      <c r="E378">
        <v>40</v>
      </c>
      <c r="F378">
        <v>14.999854087999999</v>
      </c>
      <c r="G378">
        <v>1338.1320800999999</v>
      </c>
      <c r="H378">
        <v>1336.1243896000001</v>
      </c>
      <c r="I378">
        <v>1324.2366943</v>
      </c>
      <c r="J378">
        <v>1321.4718018000001</v>
      </c>
      <c r="K378">
        <v>1650</v>
      </c>
      <c r="L378">
        <v>0</v>
      </c>
      <c r="M378">
        <v>0</v>
      </c>
      <c r="N378">
        <v>1650</v>
      </c>
    </row>
    <row r="379" spans="1:14" x14ac:dyDescent="0.25">
      <c r="A379">
        <v>44.862630000000003</v>
      </c>
      <c r="B379" s="1">
        <f>DATE(2010,6,14) + TIME(20,42,11)</f>
        <v>40343.862627314818</v>
      </c>
      <c r="C379">
        <v>80</v>
      </c>
      <c r="D379">
        <v>79.934249878000003</v>
      </c>
      <c r="E379">
        <v>40</v>
      </c>
      <c r="F379">
        <v>14.999855995000001</v>
      </c>
      <c r="G379">
        <v>1338.1268310999999</v>
      </c>
      <c r="H379">
        <v>1336.1207274999999</v>
      </c>
      <c r="I379">
        <v>1324.2379149999999</v>
      </c>
      <c r="J379">
        <v>1321.4725341999999</v>
      </c>
      <c r="K379">
        <v>1650</v>
      </c>
      <c r="L379">
        <v>0</v>
      </c>
      <c r="M379">
        <v>0</v>
      </c>
      <c r="N379">
        <v>1650</v>
      </c>
    </row>
    <row r="380" spans="1:14" x14ac:dyDescent="0.25">
      <c r="A380">
        <v>45.254339000000002</v>
      </c>
      <c r="B380" s="1">
        <f>DATE(2010,6,15) + TIME(6,6,14)</f>
        <v>40344.254328703704</v>
      </c>
      <c r="C380">
        <v>80</v>
      </c>
      <c r="D380">
        <v>79.934242248999993</v>
      </c>
      <c r="E380">
        <v>40</v>
      </c>
      <c r="F380">
        <v>14.999857903000001</v>
      </c>
      <c r="G380">
        <v>1338.1214600000001</v>
      </c>
      <c r="H380">
        <v>1336.1171875</v>
      </c>
      <c r="I380">
        <v>1324.2391356999999</v>
      </c>
      <c r="J380">
        <v>1321.4732666</v>
      </c>
      <c r="K380">
        <v>1650</v>
      </c>
      <c r="L380">
        <v>0</v>
      </c>
      <c r="M380">
        <v>0</v>
      </c>
      <c r="N380">
        <v>1650</v>
      </c>
    </row>
    <row r="381" spans="1:14" x14ac:dyDescent="0.25">
      <c r="A381">
        <v>45.653112</v>
      </c>
      <c r="B381" s="1">
        <f>DATE(2010,6,15) + TIME(15,40,28)</f>
        <v>40344.653101851851</v>
      </c>
      <c r="C381">
        <v>80</v>
      </c>
      <c r="D381">
        <v>79.934234618999994</v>
      </c>
      <c r="E381">
        <v>40</v>
      </c>
      <c r="F381">
        <v>14.999860763999999</v>
      </c>
      <c r="G381">
        <v>1338.1162108999999</v>
      </c>
      <c r="H381">
        <v>1336.1135254000001</v>
      </c>
      <c r="I381">
        <v>1324.2404785000001</v>
      </c>
      <c r="J381">
        <v>1321.473999</v>
      </c>
      <c r="K381">
        <v>1650</v>
      </c>
      <c r="L381">
        <v>0</v>
      </c>
      <c r="M381">
        <v>0</v>
      </c>
      <c r="N381">
        <v>1650</v>
      </c>
    </row>
    <row r="382" spans="1:14" x14ac:dyDescent="0.25">
      <c r="A382">
        <v>46.060014000000002</v>
      </c>
      <c r="B382" s="1">
        <f>DATE(2010,6,16) + TIME(1,26,25)</f>
        <v>40345.060011574074</v>
      </c>
      <c r="C382">
        <v>80</v>
      </c>
      <c r="D382">
        <v>79.934226989999999</v>
      </c>
      <c r="E382">
        <v>40</v>
      </c>
      <c r="F382">
        <v>14.999864578</v>
      </c>
      <c r="G382">
        <v>1338.1108397999999</v>
      </c>
      <c r="H382">
        <v>1336.1097411999999</v>
      </c>
      <c r="I382">
        <v>1324.2416992000001</v>
      </c>
      <c r="J382">
        <v>1321.4748535000001</v>
      </c>
      <c r="K382">
        <v>1650</v>
      </c>
      <c r="L382">
        <v>0</v>
      </c>
      <c r="M382">
        <v>0</v>
      </c>
      <c r="N382">
        <v>1650</v>
      </c>
    </row>
    <row r="383" spans="1:14" x14ac:dyDescent="0.25">
      <c r="A383">
        <v>46.266174999999997</v>
      </c>
      <c r="B383" s="1">
        <f>DATE(2010,6,16) + TIME(6,23,17)</f>
        <v>40345.266168981485</v>
      </c>
      <c r="C383">
        <v>80</v>
      </c>
      <c r="D383">
        <v>79.934211731000005</v>
      </c>
      <c r="E383">
        <v>40</v>
      </c>
      <c r="F383">
        <v>14.999866486</v>
      </c>
      <c r="G383">
        <v>1338.1053466999999</v>
      </c>
      <c r="H383">
        <v>1336.105957</v>
      </c>
      <c r="I383">
        <v>1324.2430420000001</v>
      </c>
      <c r="J383">
        <v>1321.4755858999999</v>
      </c>
      <c r="K383">
        <v>1650</v>
      </c>
      <c r="L383">
        <v>0</v>
      </c>
      <c r="M383">
        <v>0</v>
      </c>
      <c r="N383">
        <v>1650</v>
      </c>
    </row>
    <row r="384" spans="1:14" x14ac:dyDescent="0.25">
      <c r="A384">
        <v>46.472335000000001</v>
      </c>
      <c r="B384" s="1">
        <f>DATE(2010,6,16) + TIME(11,20,9)</f>
        <v>40345.472326388888</v>
      </c>
      <c r="C384">
        <v>80</v>
      </c>
      <c r="D384">
        <v>79.934204101999995</v>
      </c>
      <c r="E384">
        <v>40</v>
      </c>
      <c r="F384">
        <v>14.999868393</v>
      </c>
      <c r="G384">
        <v>1338.1026611</v>
      </c>
      <c r="H384">
        <v>1336.1040039</v>
      </c>
      <c r="I384">
        <v>1324.2437743999999</v>
      </c>
      <c r="J384">
        <v>1321.4760742000001</v>
      </c>
      <c r="K384">
        <v>1650</v>
      </c>
      <c r="L384">
        <v>0</v>
      </c>
      <c r="M384">
        <v>0</v>
      </c>
      <c r="N384">
        <v>1650</v>
      </c>
    </row>
    <row r="385" spans="1:14" x14ac:dyDescent="0.25">
      <c r="A385">
        <v>46.677857000000003</v>
      </c>
      <c r="B385" s="1">
        <f>DATE(2010,6,16) + TIME(16,16,6)</f>
        <v>40345.677847222221</v>
      </c>
      <c r="C385">
        <v>80</v>
      </c>
      <c r="D385">
        <v>79.934196471999996</v>
      </c>
      <c r="E385">
        <v>40</v>
      </c>
      <c r="F385">
        <v>14.9998703</v>
      </c>
      <c r="G385">
        <v>1338.0999756000001</v>
      </c>
      <c r="H385">
        <v>1336.1021728999999</v>
      </c>
      <c r="I385">
        <v>1324.2443848</v>
      </c>
      <c r="J385">
        <v>1321.4764404</v>
      </c>
      <c r="K385">
        <v>1650</v>
      </c>
      <c r="L385">
        <v>0</v>
      </c>
      <c r="M385">
        <v>0</v>
      </c>
      <c r="N385">
        <v>1650</v>
      </c>
    </row>
    <row r="386" spans="1:14" x14ac:dyDescent="0.25">
      <c r="A386">
        <v>46.882753000000001</v>
      </c>
      <c r="B386" s="1">
        <f>DATE(2010,6,16) + TIME(21,11,9)</f>
        <v>40345.882743055554</v>
      </c>
      <c r="C386">
        <v>80</v>
      </c>
      <c r="D386">
        <v>79.934188843000001</v>
      </c>
      <c r="E386">
        <v>40</v>
      </c>
      <c r="F386">
        <v>14.999873161</v>
      </c>
      <c r="G386">
        <v>1338.0972899999999</v>
      </c>
      <c r="H386">
        <v>1336.1003418</v>
      </c>
      <c r="I386">
        <v>1324.2451172000001</v>
      </c>
      <c r="J386">
        <v>1321.4768065999999</v>
      </c>
      <c r="K386">
        <v>1650</v>
      </c>
      <c r="L386">
        <v>0</v>
      </c>
      <c r="M386">
        <v>0</v>
      </c>
      <c r="N386">
        <v>1650</v>
      </c>
    </row>
    <row r="387" spans="1:14" x14ac:dyDescent="0.25">
      <c r="A387">
        <v>47.087158000000002</v>
      </c>
      <c r="B387" s="1">
        <f>DATE(2010,6,17) + TIME(2,5,30)</f>
        <v>40346.087152777778</v>
      </c>
      <c r="C387">
        <v>80</v>
      </c>
      <c r="D387">
        <v>79.934181213000002</v>
      </c>
      <c r="E387">
        <v>40</v>
      </c>
      <c r="F387">
        <v>14.999876022</v>
      </c>
      <c r="G387">
        <v>1338.0946045000001</v>
      </c>
      <c r="H387">
        <v>1336.0983887</v>
      </c>
      <c r="I387">
        <v>1324.2458495999999</v>
      </c>
      <c r="J387">
        <v>1321.4772949000001</v>
      </c>
      <c r="K387">
        <v>1650</v>
      </c>
      <c r="L387">
        <v>0</v>
      </c>
      <c r="M387">
        <v>0</v>
      </c>
      <c r="N387">
        <v>1650</v>
      </c>
    </row>
    <row r="388" spans="1:14" x14ac:dyDescent="0.25">
      <c r="A388">
        <v>47.291203000000003</v>
      </c>
      <c r="B388" s="1">
        <f>DATE(2010,6,17) + TIME(6,59,19)</f>
        <v>40346.291192129633</v>
      </c>
      <c r="C388">
        <v>80</v>
      </c>
      <c r="D388">
        <v>79.934181213000002</v>
      </c>
      <c r="E388">
        <v>40</v>
      </c>
      <c r="F388">
        <v>14.99987793</v>
      </c>
      <c r="G388">
        <v>1338.0919189000001</v>
      </c>
      <c r="H388">
        <v>1336.0965576000001</v>
      </c>
      <c r="I388">
        <v>1324.2464600000001</v>
      </c>
      <c r="J388">
        <v>1321.4776611</v>
      </c>
      <c r="K388">
        <v>1650</v>
      </c>
      <c r="L388">
        <v>0</v>
      </c>
      <c r="M388">
        <v>0</v>
      </c>
      <c r="N388">
        <v>1650</v>
      </c>
    </row>
    <row r="389" spans="1:14" x14ac:dyDescent="0.25">
      <c r="A389">
        <v>47.495016999999997</v>
      </c>
      <c r="B389" s="1">
        <f>DATE(2010,6,17) + TIME(11,52,49)</f>
        <v>40346.495011574072</v>
      </c>
      <c r="C389">
        <v>80</v>
      </c>
      <c r="D389">
        <v>79.934173584000007</v>
      </c>
      <c r="E389">
        <v>40</v>
      </c>
      <c r="F389">
        <v>14.999880791000001</v>
      </c>
      <c r="G389">
        <v>1338.0893555</v>
      </c>
      <c r="H389">
        <v>1336.0947266000001</v>
      </c>
      <c r="I389">
        <v>1324.2471923999999</v>
      </c>
      <c r="J389">
        <v>1321.4781493999999</v>
      </c>
      <c r="K389">
        <v>1650</v>
      </c>
      <c r="L389">
        <v>0</v>
      </c>
      <c r="M389">
        <v>0</v>
      </c>
      <c r="N389">
        <v>1650</v>
      </c>
    </row>
    <row r="390" spans="1:14" x14ac:dyDescent="0.25">
      <c r="A390">
        <v>47.698723000000001</v>
      </c>
      <c r="B390" s="1">
        <f>DATE(2010,6,17) + TIME(16,46,9)</f>
        <v>40346.69871527778</v>
      </c>
      <c r="C390">
        <v>80</v>
      </c>
      <c r="D390">
        <v>79.934173584000007</v>
      </c>
      <c r="E390">
        <v>40</v>
      </c>
      <c r="F390">
        <v>14.999883651999999</v>
      </c>
      <c r="G390">
        <v>1338.0866699000001</v>
      </c>
      <c r="H390">
        <v>1336.0928954999999</v>
      </c>
      <c r="I390">
        <v>1324.2478027</v>
      </c>
      <c r="J390">
        <v>1321.4785156</v>
      </c>
      <c r="K390">
        <v>1650</v>
      </c>
      <c r="L390">
        <v>0</v>
      </c>
      <c r="M390">
        <v>0</v>
      </c>
      <c r="N390">
        <v>1650</v>
      </c>
    </row>
    <row r="391" spans="1:14" x14ac:dyDescent="0.25">
      <c r="A391">
        <v>47.902425000000001</v>
      </c>
      <c r="B391" s="1">
        <f>DATE(2010,6,17) + TIME(21,39,29)</f>
        <v>40346.902418981481</v>
      </c>
      <c r="C391">
        <v>80</v>
      </c>
      <c r="D391">
        <v>79.934165954999997</v>
      </c>
      <c r="E391">
        <v>40</v>
      </c>
      <c r="F391">
        <v>14.999887466000001</v>
      </c>
      <c r="G391">
        <v>1338.0841064000001</v>
      </c>
      <c r="H391">
        <v>1336.0910644999999</v>
      </c>
      <c r="I391">
        <v>1324.2485352000001</v>
      </c>
      <c r="J391">
        <v>1321.4788818</v>
      </c>
      <c r="K391">
        <v>1650</v>
      </c>
      <c r="L391">
        <v>0</v>
      </c>
      <c r="M391">
        <v>0</v>
      </c>
      <c r="N391">
        <v>1650</v>
      </c>
    </row>
    <row r="392" spans="1:14" x14ac:dyDescent="0.25">
      <c r="A392">
        <v>48.106127000000001</v>
      </c>
      <c r="B392" s="1">
        <f>DATE(2010,6,18) + TIME(2,32,49)</f>
        <v>40347.106122685182</v>
      </c>
      <c r="C392">
        <v>80</v>
      </c>
      <c r="D392">
        <v>79.934165954999997</v>
      </c>
      <c r="E392">
        <v>40</v>
      </c>
      <c r="F392">
        <v>14.999890326999999</v>
      </c>
      <c r="G392">
        <v>1338.081543</v>
      </c>
      <c r="H392">
        <v>1336.0893555</v>
      </c>
      <c r="I392">
        <v>1324.2492675999999</v>
      </c>
      <c r="J392">
        <v>1321.4793701000001</v>
      </c>
      <c r="K392">
        <v>1650</v>
      </c>
      <c r="L392">
        <v>0</v>
      </c>
      <c r="M392">
        <v>0</v>
      </c>
      <c r="N392">
        <v>1650</v>
      </c>
    </row>
    <row r="393" spans="1:14" x14ac:dyDescent="0.25">
      <c r="A393">
        <v>48.309829000000001</v>
      </c>
      <c r="B393" s="1">
        <f>DATE(2010,6,18) + TIME(7,26,9)</f>
        <v>40347.30982638889</v>
      </c>
      <c r="C393">
        <v>80</v>
      </c>
      <c r="D393">
        <v>79.934158324999999</v>
      </c>
      <c r="E393">
        <v>40</v>
      </c>
      <c r="F393">
        <v>14.999894142</v>
      </c>
      <c r="G393">
        <v>1338.0789795000001</v>
      </c>
      <c r="H393">
        <v>1336.0875243999999</v>
      </c>
      <c r="I393">
        <v>1324.25</v>
      </c>
      <c r="J393">
        <v>1321.4797363</v>
      </c>
      <c r="K393">
        <v>1650</v>
      </c>
      <c r="L393">
        <v>0</v>
      </c>
      <c r="M393">
        <v>0</v>
      </c>
      <c r="N393">
        <v>1650</v>
      </c>
    </row>
    <row r="394" spans="1:14" x14ac:dyDescent="0.25">
      <c r="A394">
        <v>48.513531</v>
      </c>
      <c r="B394" s="1">
        <f>DATE(2010,6,18) + TIME(12,19,29)</f>
        <v>40347.51353009259</v>
      </c>
      <c r="C394">
        <v>80</v>
      </c>
      <c r="D394">
        <v>79.934158324999999</v>
      </c>
      <c r="E394">
        <v>40</v>
      </c>
      <c r="F394">
        <v>14.999897957</v>
      </c>
      <c r="G394">
        <v>1338.0764160000001</v>
      </c>
      <c r="H394">
        <v>1336.0856934000001</v>
      </c>
      <c r="I394">
        <v>1324.2506103999999</v>
      </c>
      <c r="J394">
        <v>1321.4802245999999</v>
      </c>
      <c r="K394">
        <v>1650</v>
      </c>
      <c r="L394">
        <v>0</v>
      </c>
      <c r="M394">
        <v>0</v>
      </c>
      <c r="N394">
        <v>1650</v>
      </c>
    </row>
    <row r="395" spans="1:14" x14ac:dyDescent="0.25">
      <c r="A395">
        <v>48.717233</v>
      </c>
      <c r="B395" s="1">
        <f>DATE(2010,6,18) + TIME(17,12,48)</f>
        <v>40347.717222222222</v>
      </c>
      <c r="C395">
        <v>80</v>
      </c>
      <c r="D395">
        <v>79.934158324999999</v>
      </c>
      <c r="E395">
        <v>40</v>
      </c>
      <c r="F395">
        <v>14.999902725</v>
      </c>
      <c r="G395">
        <v>1338.0738524999999</v>
      </c>
      <c r="H395">
        <v>1336.0839844</v>
      </c>
      <c r="I395">
        <v>1324.2513428</v>
      </c>
      <c r="J395">
        <v>1321.4805908000001</v>
      </c>
      <c r="K395">
        <v>1650</v>
      </c>
      <c r="L395">
        <v>0</v>
      </c>
      <c r="M395">
        <v>0</v>
      </c>
      <c r="N395">
        <v>1650</v>
      </c>
    </row>
    <row r="396" spans="1:14" x14ac:dyDescent="0.25">
      <c r="A396">
        <v>48.920935</v>
      </c>
      <c r="B396" s="1">
        <f>DATE(2010,6,18) + TIME(22,6,8)</f>
        <v>40347.920925925922</v>
      </c>
      <c r="C396">
        <v>80</v>
      </c>
      <c r="D396">
        <v>79.934150696000003</v>
      </c>
      <c r="E396">
        <v>40</v>
      </c>
      <c r="F396">
        <v>14.99990654</v>
      </c>
      <c r="G396">
        <v>1338.0712891000001</v>
      </c>
      <c r="H396">
        <v>1336.0821533000001</v>
      </c>
      <c r="I396">
        <v>1324.2520752</v>
      </c>
      <c r="J396">
        <v>1321.4810791</v>
      </c>
      <c r="K396">
        <v>1650</v>
      </c>
      <c r="L396">
        <v>0</v>
      </c>
      <c r="M396">
        <v>0</v>
      </c>
      <c r="N396">
        <v>1650</v>
      </c>
    </row>
    <row r="397" spans="1:14" x14ac:dyDescent="0.25">
      <c r="A397">
        <v>49.328338000000002</v>
      </c>
      <c r="B397" s="1">
        <f>DATE(2010,6,19) + TIME(7,52,48)</f>
        <v>40348.328333333331</v>
      </c>
      <c r="C397">
        <v>80</v>
      </c>
      <c r="D397">
        <v>79.934158324999999</v>
      </c>
      <c r="E397">
        <v>40</v>
      </c>
      <c r="F397">
        <v>14.999915122999999</v>
      </c>
      <c r="G397">
        <v>1338.0688477000001</v>
      </c>
      <c r="H397">
        <v>1336.0804443</v>
      </c>
      <c r="I397">
        <v>1324.2528076000001</v>
      </c>
      <c r="J397">
        <v>1321.4814452999999</v>
      </c>
      <c r="K397">
        <v>1650</v>
      </c>
      <c r="L397">
        <v>0</v>
      </c>
      <c r="M397">
        <v>0</v>
      </c>
      <c r="N397">
        <v>1650</v>
      </c>
    </row>
    <row r="398" spans="1:14" x14ac:dyDescent="0.25">
      <c r="A398">
        <v>49.736443999999999</v>
      </c>
      <c r="B398" s="1">
        <f>DATE(2010,6,19) + TIME(17,40,28)</f>
        <v>40348.736435185187</v>
      </c>
      <c r="C398">
        <v>80</v>
      </c>
      <c r="D398">
        <v>79.934165954999997</v>
      </c>
      <c r="E398">
        <v>40</v>
      </c>
      <c r="F398">
        <v>14.99992466</v>
      </c>
      <c r="G398">
        <v>1338.0637207</v>
      </c>
      <c r="H398">
        <v>1336.0769043</v>
      </c>
      <c r="I398">
        <v>1324.2542725000001</v>
      </c>
      <c r="J398">
        <v>1321.4822998</v>
      </c>
      <c r="K398">
        <v>1650</v>
      </c>
      <c r="L398">
        <v>0</v>
      </c>
      <c r="M398">
        <v>0</v>
      </c>
      <c r="N398">
        <v>1650</v>
      </c>
    </row>
    <row r="399" spans="1:14" x14ac:dyDescent="0.25">
      <c r="A399">
        <v>50.148963000000002</v>
      </c>
      <c r="B399" s="1">
        <f>DATE(2010,6,20) + TIME(3,34,30)</f>
        <v>40349.148958333331</v>
      </c>
      <c r="C399">
        <v>80</v>
      </c>
      <c r="D399">
        <v>79.934165954999997</v>
      </c>
      <c r="E399">
        <v>40</v>
      </c>
      <c r="F399">
        <v>14.999936104</v>
      </c>
      <c r="G399">
        <v>1338.0587158000001</v>
      </c>
      <c r="H399">
        <v>1336.0734863</v>
      </c>
      <c r="I399">
        <v>1324.2557373</v>
      </c>
      <c r="J399">
        <v>1321.4831543</v>
      </c>
      <c r="K399">
        <v>1650</v>
      </c>
      <c r="L399">
        <v>0</v>
      </c>
      <c r="M399">
        <v>0</v>
      </c>
      <c r="N399">
        <v>1650</v>
      </c>
    </row>
    <row r="400" spans="1:14" x14ac:dyDescent="0.25">
      <c r="A400">
        <v>50.566853000000002</v>
      </c>
      <c r="B400" s="1">
        <f>DATE(2010,6,20) + TIME(13,36,16)</f>
        <v>40349.566851851851</v>
      </c>
      <c r="C400">
        <v>80</v>
      </c>
      <c r="D400">
        <v>79.934158324999999</v>
      </c>
      <c r="E400">
        <v>40</v>
      </c>
      <c r="F400">
        <v>14.999950409</v>
      </c>
      <c r="G400">
        <v>1338.0537108999999</v>
      </c>
      <c r="H400">
        <v>1336.0699463000001</v>
      </c>
      <c r="I400">
        <v>1324.2572021000001</v>
      </c>
      <c r="J400">
        <v>1321.4840088000001</v>
      </c>
      <c r="K400">
        <v>1650</v>
      </c>
      <c r="L400">
        <v>0</v>
      </c>
      <c r="M400">
        <v>0</v>
      </c>
      <c r="N400">
        <v>1650</v>
      </c>
    </row>
    <row r="401" spans="1:14" x14ac:dyDescent="0.25">
      <c r="A401">
        <v>50.991135999999997</v>
      </c>
      <c r="B401" s="1">
        <f>DATE(2010,6,20) + TIME(23,47,14)</f>
        <v>40349.99113425926</v>
      </c>
      <c r="C401">
        <v>80</v>
      </c>
      <c r="D401">
        <v>79.934158324999999</v>
      </c>
      <c r="E401">
        <v>40</v>
      </c>
      <c r="F401">
        <v>14.999966621</v>
      </c>
      <c r="G401">
        <v>1338.0487060999999</v>
      </c>
      <c r="H401">
        <v>1336.0664062000001</v>
      </c>
      <c r="I401">
        <v>1324.2586670000001</v>
      </c>
      <c r="J401">
        <v>1321.4849853999999</v>
      </c>
      <c r="K401">
        <v>1650</v>
      </c>
      <c r="L401">
        <v>0</v>
      </c>
      <c r="M401">
        <v>0</v>
      </c>
      <c r="N401">
        <v>1650</v>
      </c>
    </row>
    <row r="402" spans="1:14" x14ac:dyDescent="0.25">
      <c r="A402">
        <v>51.422893999999999</v>
      </c>
      <c r="B402" s="1">
        <f>DATE(2010,6,21) + TIME(10,8,58)</f>
        <v>40350.422893518517</v>
      </c>
      <c r="C402">
        <v>80</v>
      </c>
      <c r="D402">
        <v>79.934158324999999</v>
      </c>
      <c r="E402">
        <v>40</v>
      </c>
      <c r="F402">
        <v>14.999984741</v>
      </c>
      <c r="G402">
        <v>1338.0437012</v>
      </c>
      <c r="H402">
        <v>1336.0628661999999</v>
      </c>
      <c r="I402">
        <v>1324.2602539</v>
      </c>
      <c r="J402">
        <v>1321.4858397999999</v>
      </c>
      <c r="K402">
        <v>1650</v>
      </c>
      <c r="L402">
        <v>0</v>
      </c>
      <c r="M402">
        <v>0</v>
      </c>
      <c r="N402">
        <v>1650</v>
      </c>
    </row>
    <row r="403" spans="1:14" x14ac:dyDescent="0.25">
      <c r="A403">
        <v>51.863208</v>
      </c>
      <c r="B403" s="1">
        <f>DATE(2010,6,21) + TIME(20,43,1)</f>
        <v>40350.863206018519</v>
      </c>
      <c r="C403">
        <v>80</v>
      </c>
      <c r="D403">
        <v>79.934158324999999</v>
      </c>
      <c r="E403">
        <v>40</v>
      </c>
      <c r="F403">
        <v>15.000006676</v>
      </c>
      <c r="G403">
        <v>1338.0385742000001</v>
      </c>
      <c r="H403">
        <v>1336.0592041</v>
      </c>
      <c r="I403">
        <v>1324.2618408000001</v>
      </c>
      <c r="J403">
        <v>1321.4868164</v>
      </c>
      <c r="K403">
        <v>1650</v>
      </c>
      <c r="L403">
        <v>0</v>
      </c>
      <c r="M403">
        <v>0</v>
      </c>
      <c r="N403">
        <v>1650</v>
      </c>
    </row>
    <row r="404" spans="1:14" x14ac:dyDescent="0.25">
      <c r="A404">
        <v>52.085473</v>
      </c>
      <c r="B404" s="1">
        <f>DATE(2010,6,22) + TIME(2,3,4)</f>
        <v>40351.085462962961</v>
      </c>
      <c r="C404">
        <v>80</v>
      </c>
      <c r="D404">
        <v>79.934150696000003</v>
      </c>
      <c r="E404">
        <v>40</v>
      </c>
      <c r="F404">
        <v>15.000021934999999</v>
      </c>
      <c r="G404">
        <v>1338.0333252</v>
      </c>
      <c r="H404">
        <v>1336.0555420000001</v>
      </c>
      <c r="I404">
        <v>1324.2634277</v>
      </c>
      <c r="J404">
        <v>1321.4876709</v>
      </c>
      <c r="K404">
        <v>1650</v>
      </c>
      <c r="L404">
        <v>0</v>
      </c>
      <c r="M404">
        <v>0</v>
      </c>
      <c r="N404">
        <v>1650</v>
      </c>
    </row>
    <row r="405" spans="1:14" x14ac:dyDescent="0.25">
      <c r="A405">
        <v>52.307737000000003</v>
      </c>
      <c r="B405" s="1">
        <f>DATE(2010,6,22) + TIME(7,23,8)</f>
        <v>40351.30773148148</v>
      </c>
      <c r="C405">
        <v>80</v>
      </c>
      <c r="D405">
        <v>79.934143066000004</v>
      </c>
      <c r="E405">
        <v>40</v>
      </c>
      <c r="F405">
        <v>15.000038147</v>
      </c>
      <c r="G405">
        <v>1338.0307617000001</v>
      </c>
      <c r="H405">
        <v>1336.0537108999999</v>
      </c>
      <c r="I405">
        <v>1324.2641602000001</v>
      </c>
      <c r="J405">
        <v>1321.4881591999999</v>
      </c>
      <c r="K405">
        <v>1650</v>
      </c>
      <c r="L405">
        <v>0</v>
      </c>
      <c r="M405">
        <v>0</v>
      </c>
      <c r="N405">
        <v>1650</v>
      </c>
    </row>
    <row r="406" spans="1:14" x14ac:dyDescent="0.25">
      <c r="A406">
        <v>52.530002000000003</v>
      </c>
      <c r="B406" s="1">
        <f>DATE(2010,6,22) + TIME(12,43,12)</f>
        <v>40351.53</v>
      </c>
      <c r="C406">
        <v>80</v>
      </c>
      <c r="D406">
        <v>79.934143066000004</v>
      </c>
      <c r="E406">
        <v>40</v>
      </c>
      <c r="F406">
        <v>15.000054359</v>
      </c>
      <c r="G406">
        <v>1338.0281981999999</v>
      </c>
      <c r="H406">
        <v>1336.0518798999999</v>
      </c>
      <c r="I406">
        <v>1324.2650146000001</v>
      </c>
      <c r="J406">
        <v>1321.4886475000001</v>
      </c>
      <c r="K406">
        <v>1650</v>
      </c>
      <c r="L406">
        <v>0</v>
      </c>
      <c r="M406">
        <v>0</v>
      </c>
      <c r="N406">
        <v>1650</v>
      </c>
    </row>
    <row r="407" spans="1:14" x14ac:dyDescent="0.25">
      <c r="A407">
        <v>52.751868000000002</v>
      </c>
      <c r="B407" s="1">
        <f>DATE(2010,6,22) + TIME(18,2,41)</f>
        <v>40351.751863425925</v>
      </c>
      <c r="C407">
        <v>80</v>
      </c>
      <c r="D407">
        <v>79.934143066000004</v>
      </c>
      <c r="E407">
        <v>40</v>
      </c>
      <c r="F407">
        <v>15.000072479</v>
      </c>
      <c r="G407">
        <v>1338.0256348</v>
      </c>
      <c r="H407">
        <v>1336.0500488</v>
      </c>
      <c r="I407">
        <v>1324.2658690999999</v>
      </c>
      <c r="J407">
        <v>1321.4891356999999</v>
      </c>
      <c r="K407">
        <v>1650</v>
      </c>
      <c r="L407">
        <v>0</v>
      </c>
      <c r="M407">
        <v>0</v>
      </c>
      <c r="N407">
        <v>1650</v>
      </c>
    </row>
    <row r="408" spans="1:14" x14ac:dyDescent="0.25">
      <c r="A408">
        <v>52.973163999999997</v>
      </c>
      <c r="B408" s="1">
        <f>DATE(2010,6,22) + TIME(23,21,21)</f>
        <v>40351.97315972222</v>
      </c>
      <c r="C408">
        <v>80</v>
      </c>
      <c r="D408">
        <v>79.934135436999995</v>
      </c>
      <c r="E408">
        <v>40</v>
      </c>
      <c r="F408">
        <v>15.000091553000001</v>
      </c>
      <c r="G408">
        <v>1338.0230713000001</v>
      </c>
      <c r="H408">
        <v>1336.0483397999999</v>
      </c>
      <c r="I408">
        <v>1324.2667236</v>
      </c>
      <c r="J408">
        <v>1321.489624</v>
      </c>
      <c r="K408">
        <v>1650</v>
      </c>
      <c r="L408">
        <v>0</v>
      </c>
      <c r="M408">
        <v>0</v>
      </c>
      <c r="N408">
        <v>1650</v>
      </c>
    </row>
    <row r="409" spans="1:14" x14ac:dyDescent="0.25">
      <c r="A409">
        <v>53.194040999999999</v>
      </c>
      <c r="B409" s="1">
        <f>DATE(2010,6,23) + TIME(4,39,25)</f>
        <v>40352.194039351853</v>
      </c>
      <c r="C409">
        <v>80</v>
      </c>
      <c r="D409">
        <v>79.934135436999995</v>
      </c>
      <c r="E409">
        <v>40</v>
      </c>
      <c r="F409">
        <v>15.000112533999999</v>
      </c>
      <c r="G409">
        <v>1338.0205077999999</v>
      </c>
      <c r="H409">
        <v>1336.0465088000001</v>
      </c>
      <c r="I409">
        <v>1324.2675781</v>
      </c>
      <c r="J409">
        <v>1321.4902344</v>
      </c>
      <c r="K409">
        <v>1650</v>
      </c>
      <c r="L409">
        <v>0</v>
      </c>
      <c r="M409">
        <v>0</v>
      </c>
      <c r="N409">
        <v>1650</v>
      </c>
    </row>
    <row r="410" spans="1:14" x14ac:dyDescent="0.25">
      <c r="A410">
        <v>53.414642999999998</v>
      </c>
      <c r="B410" s="1">
        <f>DATE(2010,6,23) + TIME(9,57,5)</f>
        <v>40352.414641203701</v>
      </c>
      <c r="C410">
        <v>80</v>
      </c>
      <c r="D410">
        <v>79.934135436999995</v>
      </c>
      <c r="E410">
        <v>40</v>
      </c>
      <c r="F410">
        <v>15.000134468000001</v>
      </c>
      <c r="G410">
        <v>1338.0180664</v>
      </c>
      <c r="H410">
        <v>1336.0447998</v>
      </c>
      <c r="I410">
        <v>1324.2684326000001</v>
      </c>
      <c r="J410">
        <v>1321.4907227000001</v>
      </c>
      <c r="K410">
        <v>1650</v>
      </c>
      <c r="L410">
        <v>0</v>
      </c>
      <c r="M410">
        <v>0</v>
      </c>
      <c r="N410">
        <v>1650</v>
      </c>
    </row>
    <row r="411" spans="1:14" x14ac:dyDescent="0.25">
      <c r="A411">
        <v>53.635112999999997</v>
      </c>
      <c r="B411" s="1">
        <f>DATE(2010,6,23) + TIME(15,14,33)</f>
        <v>40352.635104166664</v>
      </c>
      <c r="C411">
        <v>80</v>
      </c>
      <c r="D411">
        <v>79.934135436999995</v>
      </c>
      <c r="E411">
        <v>40</v>
      </c>
      <c r="F411">
        <v>15.000157356000001</v>
      </c>
      <c r="G411">
        <v>1338.015625</v>
      </c>
      <c r="H411">
        <v>1336.0429687999999</v>
      </c>
      <c r="I411">
        <v>1324.2692870999999</v>
      </c>
      <c r="J411">
        <v>1321.4912108999999</v>
      </c>
      <c r="K411">
        <v>1650</v>
      </c>
      <c r="L411">
        <v>0</v>
      </c>
      <c r="M411">
        <v>0</v>
      </c>
      <c r="N411">
        <v>1650</v>
      </c>
    </row>
    <row r="412" spans="1:14" x14ac:dyDescent="0.25">
      <c r="A412">
        <v>53.855581999999998</v>
      </c>
      <c r="B412" s="1">
        <f>DATE(2010,6,23) + TIME(20,32,2)</f>
        <v>40352.855578703704</v>
      </c>
      <c r="C412">
        <v>80</v>
      </c>
      <c r="D412">
        <v>79.934135436999995</v>
      </c>
      <c r="E412">
        <v>40</v>
      </c>
      <c r="F412">
        <v>15.000183105</v>
      </c>
      <c r="G412">
        <v>1338.0130615</v>
      </c>
      <c r="H412">
        <v>1336.0412598</v>
      </c>
      <c r="I412">
        <v>1324.2701416</v>
      </c>
      <c r="J412">
        <v>1321.4916992000001</v>
      </c>
      <c r="K412">
        <v>1650</v>
      </c>
      <c r="L412">
        <v>0</v>
      </c>
      <c r="M412">
        <v>0</v>
      </c>
      <c r="N412">
        <v>1650</v>
      </c>
    </row>
    <row r="413" spans="1:14" x14ac:dyDescent="0.25">
      <c r="A413">
        <v>54.076051999999997</v>
      </c>
      <c r="B413" s="1">
        <f>DATE(2010,6,24) + TIME(1,49,30)</f>
        <v>40353.076041666667</v>
      </c>
      <c r="C413">
        <v>80</v>
      </c>
      <c r="D413">
        <v>79.934135436999995</v>
      </c>
      <c r="E413">
        <v>40</v>
      </c>
      <c r="F413">
        <v>15.000209807999999</v>
      </c>
      <c r="G413">
        <v>1338.0106201000001</v>
      </c>
      <c r="H413">
        <v>1336.0394286999999</v>
      </c>
      <c r="I413">
        <v>1324.2709961</v>
      </c>
      <c r="J413">
        <v>1321.4921875</v>
      </c>
      <c r="K413">
        <v>1650</v>
      </c>
      <c r="L413">
        <v>0</v>
      </c>
      <c r="M413">
        <v>0</v>
      </c>
      <c r="N413">
        <v>1650</v>
      </c>
    </row>
    <row r="414" spans="1:14" x14ac:dyDescent="0.25">
      <c r="A414">
        <v>54.296522000000003</v>
      </c>
      <c r="B414" s="1">
        <f>DATE(2010,6,24) + TIME(7,6,59)</f>
        <v>40353.296516203707</v>
      </c>
      <c r="C414">
        <v>80</v>
      </c>
      <c r="D414">
        <v>79.934135436999995</v>
      </c>
      <c r="E414">
        <v>40</v>
      </c>
      <c r="F414">
        <v>15.000239371999999</v>
      </c>
      <c r="G414">
        <v>1338.0081786999999</v>
      </c>
      <c r="H414">
        <v>1336.0377197</v>
      </c>
      <c r="I414">
        <v>1324.2718506000001</v>
      </c>
      <c r="J414">
        <v>1321.4926757999999</v>
      </c>
      <c r="K414">
        <v>1650</v>
      </c>
      <c r="L414">
        <v>0</v>
      </c>
      <c r="M414">
        <v>0</v>
      </c>
      <c r="N414">
        <v>1650</v>
      </c>
    </row>
    <row r="415" spans="1:14" x14ac:dyDescent="0.25">
      <c r="A415">
        <v>54.516990999999997</v>
      </c>
      <c r="B415" s="1">
        <f>DATE(2010,6,24) + TIME(12,24,28)</f>
        <v>40353.51699074074</v>
      </c>
      <c r="C415">
        <v>80</v>
      </c>
      <c r="D415">
        <v>79.934135436999995</v>
      </c>
      <c r="E415">
        <v>40</v>
      </c>
      <c r="F415">
        <v>15.00026989</v>
      </c>
      <c r="G415">
        <v>1338.0057373</v>
      </c>
      <c r="H415">
        <v>1336.0360106999999</v>
      </c>
      <c r="I415">
        <v>1324.2727050999999</v>
      </c>
      <c r="J415">
        <v>1321.4931641000001</v>
      </c>
      <c r="K415">
        <v>1650</v>
      </c>
      <c r="L415">
        <v>0</v>
      </c>
      <c r="M415">
        <v>0</v>
      </c>
      <c r="N415">
        <v>1650</v>
      </c>
    </row>
    <row r="416" spans="1:14" x14ac:dyDescent="0.25">
      <c r="A416">
        <v>54.737461000000003</v>
      </c>
      <c r="B416" s="1">
        <f>DATE(2010,6,24) + TIME(17,41,56)</f>
        <v>40353.737453703703</v>
      </c>
      <c r="C416">
        <v>80</v>
      </c>
      <c r="D416">
        <v>79.934135436999995</v>
      </c>
      <c r="E416">
        <v>40</v>
      </c>
      <c r="F416">
        <v>15.000304222</v>
      </c>
      <c r="G416">
        <v>1338.0032959</v>
      </c>
      <c r="H416">
        <v>1336.0343018000001</v>
      </c>
      <c r="I416">
        <v>1324.2735596</v>
      </c>
      <c r="J416">
        <v>1321.4936522999999</v>
      </c>
      <c r="K416">
        <v>1650</v>
      </c>
      <c r="L416">
        <v>0</v>
      </c>
      <c r="M416">
        <v>0</v>
      </c>
      <c r="N416">
        <v>1650</v>
      </c>
    </row>
    <row r="417" spans="1:14" x14ac:dyDescent="0.25">
      <c r="A417">
        <v>54.957931000000002</v>
      </c>
      <c r="B417" s="1">
        <f>DATE(2010,6,24) + TIME(22,59,25)</f>
        <v>40353.957928240743</v>
      </c>
      <c r="C417">
        <v>80</v>
      </c>
      <c r="D417">
        <v>79.934143066000004</v>
      </c>
      <c r="E417">
        <v>40</v>
      </c>
      <c r="F417">
        <v>15.000339508</v>
      </c>
      <c r="G417">
        <v>1338.0008545000001</v>
      </c>
      <c r="H417">
        <v>1336.0325928</v>
      </c>
      <c r="I417">
        <v>1324.2745361</v>
      </c>
      <c r="J417">
        <v>1321.4941406</v>
      </c>
      <c r="K417">
        <v>1650</v>
      </c>
      <c r="L417">
        <v>0</v>
      </c>
      <c r="M417">
        <v>0</v>
      </c>
      <c r="N417">
        <v>1650</v>
      </c>
    </row>
    <row r="418" spans="1:14" x14ac:dyDescent="0.25">
      <c r="A418">
        <v>55.178400000000003</v>
      </c>
      <c r="B418" s="1">
        <f>DATE(2010,6,25) + TIME(4,16,53)</f>
        <v>40354.178391203706</v>
      </c>
      <c r="C418">
        <v>80</v>
      </c>
      <c r="D418">
        <v>79.934143066000004</v>
      </c>
      <c r="E418">
        <v>40</v>
      </c>
      <c r="F418">
        <v>15.000378609</v>
      </c>
      <c r="G418">
        <v>1337.9984131000001</v>
      </c>
      <c r="H418">
        <v>1336.0308838000001</v>
      </c>
      <c r="I418">
        <v>1324.2753906</v>
      </c>
      <c r="J418">
        <v>1321.494751</v>
      </c>
      <c r="K418">
        <v>1650</v>
      </c>
      <c r="L418">
        <v>0</v>
      </c>
      <c r="M418">
        <v>0</v>
      </c>
      <c r="N418">
        <v>1650</v>
      </c>
    </row>
    <row r="419" spans="1:14" x14ac:dyDescent="0.25">
      <c r="A419">
        <v>55.619340000000001</v>
      </c>
      <c r="B419" s="1">
        <f>DATE(2010,6,25) + TIME(14,51,50)</f>
        <v>40354.619328703702</v>
      </c>
      <c r="C419">
        <v>80</v>
      </c>
      <c r="D419">
        <v>79.934158324999999</v>
      </c>
      <c r="E419">
        <v>40</v>
      </c>
      <c r="F419">
        <v>15.000451088</v>
      </c>
      <c r="G419">
        <v>1337.9960937999999</v>
      </c>
      <c r="H419">
        <v>1336.0291748</v>
      </c>
      <c r="I419">
        <v>1324.2762451000001</v>
      </c>
      <c r="J419">
        <v>1321.4952393000001</v>
      </c>
      <c r="K419">
        <v>1650</v>
      </c>
      <c r="L419">
        <v>0</v>
      </c>
      <c r="M419">
        <v>0</v>
      </c>
      <c r="N419">
        <v>1650</v>
      </c>
    </row>
    <row r="420" spans="1:14" x14ac:dyDescent="0.25">
      <c r="A420">
        <v>56.061604000000003</v>
      </c>
      <c r="B420" s="1">
        <f>DATE(2010,6,26) + TIME(1,28,42)</f>
        <v>40355.061597222222</v>
      </c>
      <c r="C420">
        <v>80</v>
      </c>
      <c r="D420">
        <v>79.934165954999997</v>
      </c>
      <c r="E420">
        <v>40</v>
      </c>
      <c r="F420">
        <v>15.000536919</v>
      </c>
      <c r="G420">
        <v>1337.9913329999999</v>
      </c>
      <c r="H420">
        <v>1336.0258789</v>
      </c>
      <c r="I420">
        <v>1324.2780762</v>
      </c>
      <c r="J420">
        <v>1321.4962158000001</v>
      </c>
      <c r="K420">
        <v>1650</v>
      </c>
      <c r="L420">
        <v>0</v>
      </c>
      <c r="M420">
        <v>0</v>
      </c>
      <c r="N420">
        <v>1650</v>
      </c>
    </row>
    <row r="421" spans="1:14" x14ac:dyDescent="0.25">
      <c r="A421">
        <v>56.509604000000003</v>
      </c>
      <c r="B421" s="1">
        <f>DATE(2010,6,26) + TIME(12,13,49)</f>
        <v>40355.509594907409</v>
      </c>
      <c r="C421">
        <v>80</v>
      </c>
      <c r="D421">
        <v>79.934173584000007</v>
      </c>
      <c r="E421">
        <v>40</v>
      </c>
      <c r="F421">
        <v>15.000638007999999</v>
      </c>
      <c r="G421">
        <v>1337.9865723</v>
      </c>
      <c r="H421">
        <v>1336.0224608999999</v>
      </c>
      <c r="I421">
        <v>1324.2799072</v>
      </c>
      <c r="J421">
        <v>1321.4973144999999</v>
      </c>
      <c r="K421">
        <v>1650</v>
      </c>
      <c r="L421">
        <v>0</v>
      </c>
      <c r="M421">
        <v>0</v>
      </c>
      <c r="N421">
        <v>1650</v>
      </c>
    </row>
    <row r="422" spans="1:14" x14ac:dyDescent="0.25">
      <c r="A422">
        <v>56.964396999999998</v>
      </c>
      <c r="B422" s="1">
        <f>DATE(2010,6,26) + TIME(23,8,43)</f>
        <v>40355.964386574073</v>
      </c>
      <c r="C422">
        <v>80</v>
      </c>
      <c r="D422">
        <v>79.934181213000002</v>
      </c>
      <c r="E422">
        <v>40</v>
      </c>
      <c r="F422">
        <v>15.000757217</v>
      </c>
      <c r="G422">
        <v>1337.9818115</v>
      </c>
      <c r="H422">
        <v>1336.019043</v>
      </c>
      <c r="I422">
        <v>1324.2817382999999</v>
      </c>
      <c r="J422">
        <v>1321.4984131000001</v>
      </c>
      <c r="K422">
        <v>1650</v>
      </c>
      <c r="L422">
        <v>0</v>
      </c>
      <c r="M422">
        <v>0</v>
      </c>
      <c r="N422">
        <v>1650</v>
      </c>
    </row>
    <row r="423" spans="1:14" x14ac:dyDescent="0.25">
      <c r="A423">
        <v>57.427143000000001</v>
      </c>
      <c r="B423" s="1">
        <f>DATE(2010,6,27) + TIME(10,15,5)</f>
        <v>40356.427141203705</v>
      </c>
      <c r="C423">
        <v>80</v>
      </c>
      <c r="D423">
        <v>79.934188843000001</v>
      </c>
      <c r="E423">
        <v>40</v>
      </c>
      <c r="F423">
        <v>15.000898361000001</v>
      </c>
      <c r="G423">
        <v>1337.9770507999999</v>
      </c>
      <c r="H423">
        <v>1336.0157471</v>
      </c>
      <c r="I423">
        <v>1324.2836914</v>
      </c>
      <c r="J423">
        <v>1321.4995117000001</v>
      </c>
      <c r="K423">
        <v>1650</v>
      </c>
      <c r="L423">
        <v>0</v>
      </c>
      <c r="M423">
        <v>0</v>
      </c>
      <c r="N423">
        <v>1650</v>
      </c>
    </row>
    <row r="424" spans="1:14" x14ac:dyDescent="0.25">
      <c r="A424">
        <v>57.899095000000003</v>
      </c>
      <c r="B424" s="1">
        <f>DATE(2010,6,27) + TIME(21,34,41)</f>
        <v>40356.899085648147</v>
      </c>
      <c r="C424">
        <v>80</v>
      </c>
      <c r="D424">
        <v>79.934188843000001</v>
      </c>
      <c r="E424">
        <v>40</v>
      </c>
      <c r="F424">
        <v>15.001063347000001</v>
      </c>
      <c r="G424">
        <v>1337.972168</v>
      </c>
      <c r="H424">
        <v>1336.012207</v>
      </c>
      <c r="I424">
        <v>1324.2856445</v>
      </c>
      <c r="J424">
        <v>1321.5006103999999</v>
      </c>
      <c r="K424">
        <v>1650</v>
      </c>
      <c r="L424">
        <v>0</v>
      </c>
      <c r="M424">
        <v>0</v>
      </c>
      <c r="N424">
        <v>1650</v>
      </c>
    </row>
    <row r="425" spans="1:14" x14ac:dyDescent="0.25">
      <c r="A425">
        <v>58.377096000000002</v>
      </c>
      <c r="B425" s="1">
        <f>DATE(2010,6,28) + TIME(9,3,1)</f>
        <v>40357.37709490741</v>
      </c>
      <c r="C425">
        <v>80</v>
      </c>
      <c r="D425">
        <v>79.934196471999996</v>
      </c>
      <c r="E425">
        <v>40</v>
      </c>
      <c r="F425">
        <v>15.001256943</v>
      </c>
      <c r="G425">
        <v>1337.9672852000001</v>
      </c>
      <c r="H425">
        <v>1336.0087891000001</v>
      </c>
      <c r="I425">
        <v>1324.2877197</v>
      </c>
      <c r="J425">
        <v>1321.5017089999999</v>
      </c>
      <c r="K425">
        <v>1650</v>
      </c>
      <c r="L425">
        <v>0</v>
      </c>
      <c r="M425">
        <v>0</v>
      </c>
      <c r="N425">
        <v>1650</v>
      </c>
    </row>
    <row r="426" spans="1:14" x14ac:dyDescent="0.25">
      <c r="A426">
        <v>58.616464999999998</v>
      </c>
      <c r="B426" s="1">
        <f>DATE(2010,6,28) + TIME(14,47,42)</f>
        <v>40357.61645833333</v>
      </c>
      <c r="C426">
        <v>80</v>
      </c>
      <c r="D426">
        <v>79.934196471999996</v>
      </c>
      <c r="E426">
        <v>40</v>
      </c>
      <c r="F426">
        <v>15.001386642</v>
      </c>
      <c r="G426">
        <v>1337.9624022999999</v>
      </c>
      <c r="H426">
        <v>1336.005249</v>
      </c>
      <c r="I426">
        <v>1324.2896728999999</v>
      </c>
      <c r="J426">
        <v>1321.5029297000001</v>
      </c>
      <c r="K426">
        <v>1650</v>
      </c>
      <c r="L426">
        <v>0</v>
      </c>
      <c r="M426">
        <v>0</v>
      </c>
      <c r="N426">
        <v>1650</v>
      </c>
    </row>
    <row r="427" spans="1:14" x14ac:dyDescent="0.25">
      <c r="A427">
        <v>58.855834000000002</v>
      </c>
      <c r="B427" s="1">
        <f>DATE(2010,6,28) + TIME(20,32,24)</f>
        <v>40357.855833333335</v>
      </c>
      <c r="C427">
        <v>80</v>
      </c>
      <c r="D427">
        <v>79.934196471999996</v>
      </c>
      <c r="E427">
        <v>40</v>
      </c>
      <c r="F427">
        <v>15.001523971999999</v>
      </c>
      <c r="G427">
        <v>1337.9599608999999</v>
      </c>
      <c r="H427">
        <v>1336.0035399999999</v>
      </c>
      <c r="I427">
        <v>1324.2907714999999</v>
      </c>
      <c r="J427">
        <v>1321.503418</v>
      </c>
      <c r="K427">
        <v>1650</v>
      </c>
      <c r="L427">
        <v>0</v>
      </c>
      <c r="M427">
        <v>0</v>
      </c>
      <c r="N427">
        <v>1650</v>
      </c>
    </row>
    <row r="428" spans="1:14" x14ac:dyDescent="0.25">
      <c r="A428">
        <v>59.094991999999998</v>
      </c>
      <c r="B428" s="1">
        <f>DATE(2010,6,29) + TIME(2,16,47)</f>
        <v>40358.094988425924</v>
      </c>
      <c r="C428">
        <v>80</v>
      </c>
      <c r="D428">
        <v>79.934196471999996</v>
      </c>
      <c r="E428">
        <v>40</v>
      </c>
      <c r="F428">
        <v>15.001668929999999</v>
      </c>
      <c r="G428">
        <v>1337.9575195</v>
      </c>
      <c r="H428">
        <v>1336.0017089999999</v>
      </c>
      <c r="I428">
        <v>1324.2918701000001</v>
      </c>
      <c r="J428">
        <v>1321.5040283000001</v>
      </c>
      <c r="K428">
        <v>1650</v>
      </c>
      <c r="L428">
        <v>0</v>
      </c>
      <c r="M428">
        <v>0</v>
      </c>
      <c r="N428">
        <v>1650</v>
      </c>
    </row>
    <row r="429" spans="1:14" x14ac:dyDescent="0.25">
      <c r="A429">
        <v>59.333618999999999</v>
      </c>
      <c r="B429" s="1">
        <f>DATE(2010,6,29) + TIME(8,0,24)</f>
        <v>40358.333611111113</v>
      </c>
      <c r="C429">
        <v>80</v>
      </c>
      <c r="D429">
        <v>79.934196471999996</v>
      </c>
      <c r="E429">
        <v>40</v>
      </c>
      <c r="F429">
        <v>15.001822472000001</v>
      </c>
      <c r="G429">
        <v>1337.9550781</v>
      </c>
      <c r="H429">
        <v>1336</v>
      </c>
      <c r="I429">
        <v>1324.2929687999999</v>
      </c>
      <c r="J429">
        <v>1321.5046387</v>
      </c>
      <c r="K429">
        <v>1650</v>
      </c>
      <c r="L429">
        <v>0</v>
      </c>
      <c r="M429">
        <v>0</v>
      </c>
      <c r="N429">
        <v>1650</v>
      </c>
    </row>
    <row r="430" spans="1:14" x14ac:dyDescent="0.25">
      <c r="A430">
        <v>59.571871000000002</v>
      </c>
      <c r="B430" s="1">
        <f>DATE(2010,6,29) + TIME(13,43,29)</f>
        <v>40358.571863425925</v>
      </c>
      <c r="C430">
        <v>80</v>
      </c>
      <c r="D430">
        <v>79.934196471999996</v>
      </c>
      <c r="E430">
        <v>40</v>
      </c>
      <c r="F430">
        <v>15.001985550000001</v>
      </c>
      <c r="G430">
        <v>1337.9527588000001</v>
      </c>
      <c r="H430">
        <v>1335.9982910000001</v>
      </c>
      <c r="I430">
        <v>1324.2939452999999</v>
      </c>
      <c r="J430">
        <v>1321.505249</v>
      </c>
      <c r="K430">
        <v>1650</v>
      </c>
      <c r="L430">
        <v>0</v>
      </c>
      <c r="M430">
        <v>0</v>
      </c>
      <c r="N430">
        <v>1650</v>
      </c>
    </row>
    <row r="431" spans="1:14" x14ac:dyDescent="0.25">
      <c r="A431">
        <v>59.809899000000001</v>
      </c>
      <c r="B431" s="1">
        <f>DATE(2010,6,29) + TIME(19,26,15)</f>
        <v>40358.809895833336</v>
      </c>
      <c r="C431">
        <v>80</v>
      </c>
      <c r="D431">
        <v>79.934196471999996</v>
      </c>
      <c r="E431">
        <v>40</v>
      </c>
      <c r="F431">
        <v>15.002160072000001</v>
      </c>
      <c r="G431">
        <v>1337.9503173999999</v>
      </c>
      <c r="H431">
        <v>1335.996582</v>
      </c>
      <c r="I431">
        <v>1324.2950439000001</v>
      </c>
      <c r="J431">
        <v>1321.5058594</v>
      </c>
      <c r="K431">
        <v>1650</v>
      </c>
      <c r="L431">
        <v>0</v>
      </c>
      <c r="M431">
        <v>0</v>
      </c>
      <c r="N431">
        <v>1650</v>
      </c>
    </row>
    <row r="432" spans="1:14" x14ac:dyDescent="0.25">
      <c r="A432">
        <v>60.047853000000003</v>
      </c>
      <c r="B432" s="1">
        <f>DATE(2010,6,30) + TIME(1,8,54)</f>
        <v>40359.047847222224</v>
      </c>
      <c r="C432">
        <v>80</v>
      </c>
      <c r="D432">
        <v>79.934204101999995</v>
      </c>
      <c r="E432">
        <v>40</v>
      </c>
      <c r="F432">
        <v>15.002345085</v>
      </c>
      <c r="G432">
        <v>1337.9479980000001</v>
      </c>
      <c r="H432">
        <v>1335.9948730000001</v>
      </c>
      <c r="I432">
        <v>1324.2961425999999</v>
      </c>
      <c r="J432">
        <v>1321.5064697</v>
      </c>
      <c r="K432">
        <v>1650</v>
      </c>
      <c r="L432">
        <v>0</v>
      </c>
      <c r="M432">
        <v>0</v>
      </c>
      <c r="N432">
        <v>1650</v>
      </c>
    </row>
    <row r="433" spans="1:14" x14ac:dyDescent="0.25">
      <c r="A433">
        <v>60.285806999999998</v>
      </c>
      <c r="B433" s="1">
        <f>DATE(2010,6,30) + TIME(6,51,33)</f>
        <v>40359.285798611112</v>
      </c>
      <c r="C433">
        <v>80</v>
      </c>
      <c r="D433">
        <v>79.934204101999995</v>
      </c>
      <c r="E433">
        <v>40</v>
      </c>
      <c r="F433">
        <v>15.002543448999999</v>
      </c>
      <c r="G433">
        <v>1337.9455565999999</v>
      </c>
      <c r="H433">
        <v>1335.9932861</v>
      </c>
      <c r="I433">
        <v>1324.2972411999999</v>
      </c>
      <c r="J433">
        <v>1321.5070800999999</v>
      </c>
      <c r="K433">
        <v>1650</v>
      </c>
      <c r="L433">
        <v>0</v>
      </c>
      <c r="M433">
        <v>0</v>
      </c>
      <c r="N433">
        <v>1650</v>
      </c>
    </row>
    <row r="434" spans="1:14" x14ac:dyDescent="0.25">
      <c r="A434">
        <v>60.523761999999998</v>
      </c>
      <c r="B434" s="1">
        <f>DATE(2010,6,30) + TIME(12,34,13)</f>
        <v>40359.523761574077</v>
      </c>
      <c r="C434">
        <v>80</v>
      </c>
      <c r="D434">
        <v>79.934211731000005</v>
      </c>
      <c r="E434">
        <v>40</v>
      </c>
      <c r="F434">
        <v>15.002755165</v>
      </c>
      <c r="G434">
        <v>1337.9432373</v>
      </c>
      <c r="H434">
        <v>1335.9915771000001</v>
      </c>
      <c r="I434">
        <v>1324.2983397999999</v>
      </c>
      <c r="J434">
        <v>1321.5076904</v>
      </c>
      <c r="K434">
        <v>1650</v>
      </c>
      <c r="L434">
        <v>0</v>
      </c>
      <c r="M434">
        <v>0</v>
      </c>
      <c r="N434">
        <v>1650</v>
      </c>
    </row>
    <row r="435" spans="1:14" x14ac:dyDescent="0.25">
      <c r="A435">
        <v>60.761881000000002</v>
      </c>
      <c r="B435" s="1">
        <f>DATE(2010,6,30) + TIME(18,17,6)</f>
        <v>40359.761874999997</v>
      </c>
      <c r="C435">
        <v>80</v>
      </c>
      <c r="D435">
        <v>79.934211731000005</v>
      </c>
      <c r="E435">
        <v>40</v>
      </c>
      <c r="F435">
        <v>15.002981186</v>
      </c>
      <c r="G435">
        <v>1337.940918</v>
      </c>
      <c r="H435">
        <v>1335.9898682</v>
      </c>
      <c r="I435">
        <v>1324.2994385</v>
      </c>
      <c r="J435">
        <v>1321.5083007999999</v>
      </c>
      <c r="K435">
        <v>1650</v>
      </c>
      <c r="L435">
        <v>0</v>
      </c>
      <c r="M435">
        <v>0</v>
      </c>
      <c r="N435">
        <v>1650</v>
      </c>
    </row>
    <row r="436" spans="1:14" x14ac:dyDescent="0.25">
      <c r="A436">
        <v>61</v>
      </c>
      <c r="B436" s="1">
        <f>DATE(2010,7,1) + TIME(0,0,0)</f>
        <v>40360</v>
      </c>
      <c r="C436">
        <v>80</v>
      </c>
      <c r="D436">
        <v>79.93421936</v>
      </c>
      <c r="E436">
        <v>40</v>
      </c>
      <c r="F436">
        <v>15.003222466</v>
      </c>
      <c r="G436">
        <v>1337.9385986</v>
      </c>
      <c r="H436">
        <v>1335.9882812000001</v>
      </c>
      <c r="I436">
        <v>1324.3005370999999</v>
      </c>
      <c r="J436">
        <v>1321.5089111</v>
      </c>
      <c r="K436">
        <v>1650</v>
      </c>
      <c r="L436">
        <v>0</v>
      </c>
      <c r="M436">
        <v>0</v>
      </c>
      <c r="N436">
        <v>1650</v>
      </c>
    </row>
    <row r="437" spans="1:14" x14ac:dyDescent="0.25">
      <c r="A437">
        <v>61.238118999999998</v>
      </c>
      <c r="B437" s="1">
        <f>DATE(2010,7,1) + TIME(5,42,53)</f>
        <v>40360.238113425927</v>
      </c>
      <c r="C437">
        <v>80</v>
      </c>
      <c r="D437">
        <v>79.934226989999999</v>
      </c>
      <c r="E437">
        <v>40</v>
      </c>
      <c r="F437">
        <v>15.003481864999999</v>
      </c>
      <c r="G437">
        <v>1337.9362793</v>
      </c>
      <c r="H437">
        <v>1335.9865723</v>
      </c>
      <c r="I437">
        <v>1324.3017577999999</v>
      </c>
      <c r="J437">
        <v>1321.5095214999999</v>
      </c>
      <c r="K437">
        <v>1650</v>
      </c>
      <c r="L437">
        <v>0</v>
      </c>
      <c r="M437">
        <v>0</v>
      </c>
      <c r="N437">
        <v>1650</v>
      </c>
    </row>
    <row r="438" spans="1:14" x14ac:dyDescent="0.25">
      <c r="A438">
        <v>61.714357</v>
      </c>
      <c r="B438" s="1">
        <f>DATE(2010,7,1) + TIME(17,8,40)</f>
        <v>40360.71435185185</v>
      </c>
      <c r="C438">
        <v>80</v>
      </c>
      <c r="D438">
        <v>79.934242248999993</v>
      </c>
      <c r="E438">
        <v>40</v>
      </c>
      <c r="F438">
        <v>15.003957747999999</v>
      </c>
      <c r="G438">
        <v>1337.934082</v>
      </c>
      <c r="H438">
        <v>1335.9849853999999</v>
      </c>
      <c r="I438">
        <v>1324.3028564000001</v>
      </c>
      <c r="J438">
        <v>1321.5102539</v>
      </c>
      <c r="K438">
        <v>1650</v>
      </c>
      <c r="L438">
        <v>0</v>
      </c>
      <c r="M438">
        <v>0</v>
      </c>
      <c r="N438">
        <v>1650</v>
      </c>
    </row>
    <row r="439" spans="1:14" x14ac:dyDescent="0.25">
      <c r="A439">
        <v>62.190682000000002</v>
      </c>
      <c r="B439" s="1">
        <f>DATE(2010,7,2) + TIME(4,34,34)</f>
        <v>40361.190671296295</v>
      </c>
      <c r="C439">
        <v>80</v>
      </c>
      <c r="D439">
        <v>79.934257506999998</v>
      </c>
      <c r="E439">
        <v>40</v>
      </c>
      <c r="F439">
        <v>15.004521370000001</v>
      </c>
      <c r="G439">
        <v>1337.9294434000001</v>
      </c>
      <c r="H439">
        <v>1335.9816894999999</v>
      </c>
      <c r="I439">
        <v>1324.3051757999999</v>
      </c>
      <c r="J439">
        <v>1321.5114745999999</v>
      </c>
      <c r="K439">
        <v>1650</v>
      </c>
      <c r="L439">
        <v>0</v>
      </c>
      <c r="M439">
        <v>0</v>
      </c>
      <c r="N439">
        <v>1650</v>
      </c>
    </row>
    <row r="440" spans="1:14" x14ac:dyDescent="0.25">
      <c r="A440">
        <v>62.672522999999998</v>
      </c>
      <c r="B440" s="1">
        <f>DATE(2010,7,2) + TIME(16,8,25)</f>
        <v>40361.672511574077</v>
      </c>
      <c r="C440">
        <v>80</v>
      </c>
      <c r="D440">
        <v>79.934272766000007</v>
      </c>
      <c r="E440">
        <v>40</v>
      </c>
      <c r="F440">
        <v>15.005182266</v>
      </c>
      <c r="G440">
        <v>1337.9249268000001</v>
      </c>
      <c r="H440">
        <v>1335.9783935999999</v>
      </c>
      <c r="I440">
        <v>1324.3074951000001</v>
      </c>
      <c r="J440">
        <v>1321.5128173999999</v>
      </c>
      <c r="K440">
        <v>1650</v>
      </c>
      <c r="L440">
        <v>0</v>
      </c>
      <c r="M440">
        <v>0</v>
      </c>
      <c r="N440">
        <v>1650</v>
      </c>
    </row>
    <row r="441" spans="1:14" x14ac:dyDescent="0.25">
      <c r="A441">
        <v>63.161056000000002</v>
      </c>
      <c r="B441" s="1">
        <f>DATE(2010,7,3) + TIME(3,51,55)</f>
        <v>40362.161053240743</v>
      </c>
      <c r="C441">
        <v>80</v>
      </c>
      <c r="D441">
        <v>79.934288025000001</v>
      </c>
      <c r="E441">
        <v>40</v>
      </c>
      <c r="F441">
        <v>15.005955695999999</v>
      </c>
      <c r="G441">
        <v>1337.9204102000001</v>
      </c>
      <c r="H441">
        <v>1335.9750977000001</v>
      </c>
      <c r="I441">
        <v>1324.3099365</v>
      </c>
      <c r="J441">
        <v>1321.5140381000001</v>
      </c>
      <c r="K441">
        <v>1650</v>
      </c>
      <c r="L441">
        <v>0</v>
      </c>
      <c r="M441">
        <v>0</v>
      </c>
      <c r="N441">
        <v>1650</v>
      </c>
    </row>
    <row r="442" spans="1:14" x14ac:dyDescent="0.25">
      <c r="A442">
        <v>63.657549000000003</v>
      </c>
      <c r="B442" s="1">
        <f>DATE(2010,7,3) + TIME(15,46,52)</f>
        <v>40362.657546296294</v>
      </c>
      <c r="C442">
        <v>80</v>
      </c>
      <c r="D442">
        <v>79.934303283999995</v>
      </c>
      <c r="E442">
        <v>40</v>
      </c>
      <c r="F442">
        <v>15.006855965</v>
      </c>
      <c r="G442">
        <v>1337.9157714999999</v>
      </c>
      <c r="H442">
        <v>1335.9718018000001</v>
      </c>
      <c r="I442">
        <v>1324.3123779</v>
      </c>
      <c r="J442">
        <v>1321.5153809000001</v>
      </c>
      <c r="K442">
        <v>1650</v>
      </c>
      <c r="L442">
        <v>0</v>
      </c>
      <c r="M442">
        <v>0</v>
      </c>
      <c r="N442">
        <v>1650</v>
      </c>
    </row>
    <row r="443" spans="1:14" x14ac:dyDescent="0.25">
      <c r="A443">
        <v>64.161788999999999</v>
      </c>
      <c r="B443" s="1">
        <f>DATE(2010,7,4) + TIME(3,52,58)</f>
        <v>40363.161782407406</v>
      </c>
      <c r="C443">
        <v>80</v>
      </c>
      <c r="D443">
        <v>79.934310913000004</v>
      </c>
      <c r="E443">
        <v>40</v>
      </c>
      <c r="F443">
        <v>15.007903099</v>
      </c>
      <c r="G443">
        <v>1337.9112548999999</v>
      </c>
      <c r="H443">
        <v>1335.9685059000001</v>
      </c>
      <c r="I443">
        <v>1324.3149414</v>
      </c>
      <c r="J443">
        <v>1321.5168457</v>
      </c>
      <c r="K443">
        <v>1650</v>
      </c>
      <c r="L443">
        <v>0</v>
      </c>
      <c r="M443">
        <v>0</v>
      </c>
      <c r="N443">
        <v>1650</v>
      </c>
    </row>
    <row r="444" spans="1:14" x14ac:dyDescent="0.25">
      <c r="A444">
        <v>64.672511</v>
      </c>
      <c r="B444" s="1">
        <f>DATE(2010,7,4) + TIME(16,8,24)</f>
        <v>40363.672500000001</v>
      </c>
      <c r="C444">
        <v>80</v>
      </c>
      <c r="D444">
        <v>79.934326171999999</v>
      </c>
      <c r="E444">
        <v>40</v>
      </c>
      <c r="F444">
        <v>15.009116173000001</v>
      </c>
      <c r="G444">
        <v>1337.9066161999999</v>
      </c>
      <c r="H444">
        <v>1335.9652100000001</v>
      </c>
      <c r="I444">
        <v>1324.3175048999999</v>
      </c>
      <c r="J444">
        <v>1321.5183105000001</v>
      </c>
      <c r="K444">
        <v>1650</v>
      </c>
      <c r="L444">
        <v>0</v>
      </c>
      <c r="M444">
        <v>0</v>
      </c>
      <c r="N444">
        <v>1650</v>
      </c>
    </row>
    <row r="445" spans="1:14" x14ac:dyDescent="0.25">
      <c r="A445">
        <v>64.930565999999999</v>
      </c>
      <c r="B445" s="1">
        <f>DATE(2010,7,4) + TIME(22,20,0)</f>
        <v>40363.930555555555</v>
      </c>
      <c r="C445">
        <v>80</v>
      </c>
      <c r="D445">
        <v>79.934326171999999</v>
      </c>
      <c r="E445">
        <v>40</v>
      </c>
      <c r="F445">
        <v>15.009937286</v>
      </c>
      <c r="G445">
        <v>1337.9018555</v>
      </c>
      <c r="H445">
        <v>1335.9617920000001</v>
      </c>
      <c r="I445">
        <v>1324.3201904</v>
      </c>
      <c r="J445">
        <v>1321.5196533000001</v>
      </c>
      <c r="K445">
        <v>1650</v>
      </c>
      <c r="L445">
        <v>0</v>
      </c>
      <c r="M445">
        <v>0</v>
      </c>
      <c r="N445">
        <v>1650</v>
      </c>
    </row>
    <row r="446" spans="1:14" x14ac:dyDescent="0.25">
      <c r="A446">
        <v>65.187895999999995</v>
      </c>
      <c r="B446" s="1">
        <f>DATE(2010,7,5) + TIME(4,30,34)</f>
        <v>40364.187893518516</v>
      </c>
      <c r="C446">
        <v>80</v>
      </c>
      <c r="D446">
        <v>79.934326171999999</v>
      </c>
      <c r="E446">
        <v>40</v>
      </c>
      <c r="F446">
        <v>15.010796547</v>
      </c>
      <c r="G446">
        <v>1337.8995361</v>
      </c>
      <c r="H446">
        <v>1335.9600829999999</v>
      </c>
      <c r="I446">
        <v>1324.3215332</v>
      </c>
      <c r="J446">
        <v>1321.5203856999999</v>
      </c>
      <c r="K446">
        <v>1650</v>
      </c>
      <c r="L446">
        <v>0</v>
      </c>
      <c r="M446">
        <v>0</v>
      </c>
      <c r="N446">
        <v>1650</v>
      </c>
    </row>
    <row r="447" spans="1:14" x14ac:dyDescent="0.25">
      <c r="A447">
        <v>65.444444000000004</v>
      </c>
      <c r="B447" s="1">
        <f>DATE(2010,7,5) + TIME(10,39,59)</f>
        <v>40364.444432870368</v>
      </c>
      <c r="C447">
        <v>80</v>
      </c>
      <c r="D447">
        <v>79.934333800999994</v>
      </c>
      <c r="E447">
        <v>40</v>
      </c>
      <c r="F447">
        <v>15.011697769</v>
      </c>
      <c r="G447">
        <v>1337.8972168</v>
      </c>
      <c r="H447">
        <v>1335.958374</v>
      </c>
      <c r="I447">
        <v>1324.3229980000001</v>
      </c>
      <c r="J447">
        <v>1321.5212402</v>
      </c>
      <c r="K447">
        <v>1650</v>
      </c>
      <c r="L447">
        <v>0</v>
      </c>
      <c r="M447">
        <v>0</v>
      </c>
      <c r="N447">
        <v>1650</v>
      </c>
    </row>
    <row r="448" spans="1:14" x14ac:dyDescent="0.25">
      <c r="A448">
        <v>65.700387000000006</v>
      </c>
      <c r="B448" s="1">
        <f>DATE(2010,7,5) + TIME(16,48,33)</f>
        <v>40364.700381944444</v>
      </c>
      <c r="C448">
        <v>80</v>
      </c>
      <c r="D448">
        <v>79.934333800999994</v>
      </c>
      <c r="E448">
        <v>40</v>
      </c>
      <c r="F448">
        <v>15.012647629</v>
      </c>
      <c r="G448">
        <v>1337.8948975000001</v>
      </c>
      <c r="H448">
        <v>1335.9567870999999</v>
      </c>
      <c r="I448">
        <v>1324.3243408000001</v>
      </c>
      <c r="J448">
        <v>1321.5219727000001</v>
      </c>
      <c r="K448">
        <v>1650</v>
      </c>
      <c r="L448">
        <v>0</v>
      </c>
      <c r="M448">
        <v>0</v>
      </c>
      <c r="N448">
        <v>1650</v>
      </c>
    </row>
    <row r="449" spans="1:14" x14ac:dyDescent="0.25">
      <c r="A449">
        <v>65.955898000000005</v>
      </c>
      <c r="B449" s="1">
        <f>DATE(2010,7,5) + TIME(22,56,29)</f>
        <v>40364.955891203703</v>
      </c>
      <c r="C449">
        <v>80</v>
      </c>
      <c r="D449">
        <v>79.934341431000007</v>
      </c>
      <c r="E449">
        <v>40</v>
      </c>
      <c r="F449">
        <v>15.013649940000001</v>
      </c>
      <c r="G449">
        <v>1337.8925781</v>
      </c>
      <c r="H449">
        <v>1335.9550781</v>
      </c>
      <c r="I449">
        <v>1324.3258057</v>
      </c>
      <c r="J449">
        <v>1321.5227050999999</v>
      </c>
      <c r="K449">
        <v>1650</v>
      </c>
      <c r="L449">
        <v>0</v>
      </c>
      <c r="M449">
        <v>0</v>
      </c>
      <c r="N449">
        <v>1650</v>
      </c>
    </row>
    <row r="450" spans="1:14" x14ac:dyDescent="0.25">
      <c r="A450">
        <v>66.211146999999997</v>
      </c>
      <c r="B450" s="1">
        <f>DATE(2010,7,6) + TIME(5,4,3)</f>
        <v>40365.211145833331</v>
      </c>
      <c r="C450">
        <v>80</v>
      </c>
      <c r="D450">
        <v>79.934349060000002</v>
      </c>
      <c r="E450">
        <v>40</v>
      </c>
      <c r="F450">
        <v>15.01471138</v>
      </c>
      <c r="G450">
        <v>1337.8903809000001</v>
      </c>
      <c r="H450">
        <v>1335.9534911999999</v>
      </c>
      <c r="I450">
        <v>1324.3272704999999</v>
      </c>
      <c r="J450">
        <v>1321.5234375</v>
      </c>
      <c r="K450">
        <v>1650</v>
      </c>
      <c r="L450">
        <v>0</v>
      </c>
      <c r="M450">
        <v>0</v>
      </c>
      <c r="N450">
        <v>1650</v>
      </c>
    </row>
    <row r="451" spans="1:14" x14ac:dyDescent="0.25">
      <c r="A451">
        <v>66.466301999999999</v>
      </c>
      <c r="B451" s="1">
        <f>DATE(2010,7,6) + TIME(11,11,28)</f>
        <v>40365.466296296298</v>
      </c>
      <c r="C451">
        <v>80</v>
      </c>
      <c r="D451">
        <v>79.934356688999998</v>
      </c>
      <c r="E451">
        <v>40</v>
      </c>
      <c r="F451">
        <v>15.015837669</v>
      </c>
      <c r="G451">
        <v>1337.8880615</v>
      </c>
      <c r="H451">
        <v>1335.9517822</v>
      </c>
      <c r="I451">
        <v>1324.3287353999999</v>
      </c>
      <c r="J451">
        <v>1321.5242920000001</v>
      </c>
      <c r="K451">
        <v>1650</v>
      </c>
      <c r="L451">
        <v>0</v>
      </c>
      <c r="M451">
        <v>0</v>
      </c>
      <c r="N451">
        <v>1650</v>
      </c>
    </row>
    <row r="452" spans="1:14" x14ac:dyDescent="0.25">
      <c r="A452">
        <v>66.721457999999998</v>
      </c>
      <c r="B452" s="1">
        <f>DATE(2010,7,6) + TIME(17,18,53)</f>
        <v>40365.721446759257</v>
      </c>
      <c r="C452">
        <v>80</v>
      </c>
      <c r="D452">
        <v>79.934364318999997</v>
      </c>
      <c r="E452">
        <v>40</v>
      </c>
      <c r="F452">
        <v>15.017033576999999</v>
      </c>
      <c r="G452">
        <v>1337.8858643000001</v>
      </c>
      <c r="H452">
        <v>1335.9501952999999</v>
      </c>
      <c r="I452">
        <v>1324.3300781</v>
      </c>
      <c r="J452">
        <v>1321.5250243999999</v>
      </c>
      <c r="K452">
        <v>1650</v>
      </c>
      <c r="L452">
        <v>0</v>
      </c>
      <c r="M452">
        <v>0</v>
      </c>
      <c r="N452">
        <v>1650</v>
      </c>
    </row>
    <row r="453" spans="1:14" x14ac:dyDescent="0.25">
      <c r="A453">
        <v>66.976613</v>
      </c>
      <c r="B453" s="1">
        <f>DATE(2010,7,6) + TIME(23,26,19)</f>
        <v>40365.9766087963</v>
      </c>
      <c r="C453">
        <v>80</v>
      </c>
      <c r="D453">
        <v>79.934371948000006</v>
      </c>
      <c r="E453">
        <v>40</v>
      </c>
      <c r="F453">
        <v>15.018304825</v>
      </c>
      <c r="G453">
        <v>1337.8836670000001</v>
      </c>
      <c r="H453">
        <v>1335.9484863</v>
      </c>
      <c r="I453">
        <v>1324.3316649999999</v>
      </c>
      <c r="J453">
        <v>1321.5258789</v>
      </c>
      <c r="K453">
        <v>1650</v>
      </c>
      <c r="L453">
        <v>0</v>
      </c>
      <c r="M453">
        <v>0</v>
      </c>
      <c r="N453">
        <v>1650</v>
      </c>
    </row>
    <row r="454" spans="1:14" x14ac:dyDescent="0.25">
      <c r="A454">
        <v>67.231769</v>
      </c>
      <c r="B454" s="1">
        <f>DATE(2010,7,7) + TIME(5,33,44)</f>
        <v>40366.231759259259</v>
      </c>
      <c r="C454">
        <v>80</v>
      </c>
      <c r="D454">
        <v>79.934379578000005</v>
      </c>
      <c r="E454">
        <v>40</v>
      </c>
      <c r="F454">
        <v>15.019656181</v>
      </c>
      <c r="G454">
        <v>1337.8813477000001</v>
      </c>
      <c r="H454">
        <v>1335.9468993999999</v>
      </c>
      <c r="I454">
        <v>1324.3331298999999</v>
      </c>
      <c r="J454">
        <v>1321.5266113</v>
      </c>
      <c r="K454">
        <v>1650</v>
      </c>
      <c r="L454">
        <v>0</v>
      </c>
      <c r="M454">
        <v>0</v>
      </c>
      <c r="N454">
        <v>1650</v>
      </c>
    </row>
    <row r="455" spans="1:14" x14ac:dyDescent="0.25">
      <c r="A455">
        <v>67.486924000000002</v>
      </c>
      <c r="B455" s="1">
        <f>DATE(2010,7,7) + TIME(11,41,10)</f>
        <v>40366.486921296295</v>
      </c>
      <c r="C455">
        <v>80</v>
      </c>
      <c r="D455">
        <v>79.934387207</v>
      </c>
      <c r="E455">
        <v>40</v>
      </c>
      <c r="F455">
        <v>15.021094322</v>
      </c>
      <c r="G455">
        <v>1337.8791504000001</v>
      </c>
      <c r="H455">
        <v>1335.9453125</v>
      </c>
      <c r="I455">
        <v>1324.3345947</v>
      </c>
      <c r="J455">
        <v>1321.5274658000001</v>
      </c>
      <c r="K455">
        <v>1650</v>
      </c>
      <c r="L455">
        <v>0</v>
      </c>
      <c r="M455">
        <v>0</v>
      </c>
      <c r="N455">
        <v>1650</v>
      </c>
    </row>
    <row r="456" spans="1:14" x14ac:dyDescent="0.25">
      <c r="A456">
        <v>67.742080000000001</v>
      </c>
      <c r="B456" s="1">
        <f>DATE(2010,7,7) + TIME(17,48,35)</f>
        <v>40366.742071759261</v>
      </c>
      <c r="C456">
        <v>80</v>
      </c>
      <c r="D456">
        <v>79.934394835999996</v>
      </c>
      <c r="E456">
        <v>40</v>
      </c>
      <c r="F456">
        <v>15.022624969000001</v>
      </c>
      <c r="G456">
        <v>1337.8769531</v>
      </c>
      <c r="H456">
        <v>1335.9437256000001</v>
      </c>
      <c r="I456">
        <v>1324.3360596</v>
      </c>
      <c r="J456">
        <v>1321.5281981999999</v>
      </c>
      <c r="K456">
        <v>1650</v>
      </c>
      <c r="L456">
        <v>0</v>
      </c>
      <c r="M456">
        <v>0</v>
      </c>
      <c r="N456">
        <v>1650</v>
      </c>
    </row>
    <row r="457" spans="1:14" x14ac:dyDescent="0.25">
      <c r="A457">
        <v>68.252391000000003</v>
      </c>
      <c r="B457" s="1">
        <f>DATE(2010,7,8) + TIME(6,3,26)</f>
        <v>40367.252384259256</v>
      </c>
      <c r="C457">
        <v>80</v>
      </c>
      <c r="D457">
        <v>79.934417725000003</v>
      </c>
      <c r="E457">
        <v>40</v>
      </c>
      <c r="F457">
        <v>15.025404930000001</v>
      </c>
      <c r="G457">
        <v>1337.8747559000001</v>
      </c>
      <c r="H457">
        <v>1335.9421387</v>
      </c>
      <c r="I457">
        <v>1324.3376464999999</v>
      </c>
      <c r="J457">
        <v>1321.5290527</v>
      </c>
      <c r="K457">
        <v>1650</v>
      </c>
      <c r="L457">
        <v>0</v>
      </c>
      <c r="M457">
        <v>0</v>
      </c>
      <c r="N457">
        <v>1650</v>
      </c>
    </row>
    <row r="458" spans="1:14" x14ac:dyDescent="0.25">
      <c r="A458">
        <v>68.763192000000004</v>
      </c>
      <c r="B458" s="1">
        <f>DATE(2010,7,8) + TIME(18,18,59)</f>
        <v>40367.763182870367</v>
      </c>
      <c r="C458">
        <v>80</v>
      </c>
      <c r="D458">
        <v>79.934440613000007</v>
      </c>
      <c r="E458">
        <v>40</v>
      </c>
      <c r="F458">
        <v>15.028681754999999</v>
      </c>
      <c r="G458">
        <v>1337.8704834</v>
      </c>
      <c r="H458">
        <v>1335.9389647999999</v>
      </c>
      <c r="I458">
        <v>1324.3406981999999</v>
      </c>
      <c r="J458">
        <v>1321.5307617000001</v>
      </c>
      <c r="K458">
        <v>1650</v>
      </c>
      <c r="L458">
        <v>0</v>
      </c>
      <c r="M458">
        <v>0</v>
      </c>
      <c r="N458">
        <v>1650</v>
      </c>
    </row>
    <row r="459" spans="1:14" x14ac:dyDescent="0.25">
      <c r="A459">
        <v>69.279478999999995</v>
      </c>
      <c r="B459" s="1">
        <f>DATE(2010,7,9) + TIME(6,42,26)</f>
        <v>40368.279467592591</v>
      </c>
      <c r="C459">
        <v>80</v>
      </c>
      <c r="D459">
        <v>79.934463500999996</v>
      </c>
      <c r="E459">
        <v>40</v>
      </c>
      <c r="F459">
        <v>15.032505035</v>
      </c>
      <c r="G459">
        <v>1337.8660889</v>
      </c>
      <c r="H459">
        <v>1335.9357910000001</v>
      </c>
      <c r="I459">
        <v>1324.3438721</v>
      </c>
      <c r="J459">
        <v>1321.5324707</v>
      </c>
      <c r="K459">
        <v>1650</v>
      </c>
      <c r="L459">
        <v>0</v>
      </c>
      <c r="M459">
        <v>0</v>
      </c>
      <c r="N459">
        <v>1650</v>
      </c>
    </row>
    <row r="460" spans="1:14" x14ac:dyDescent="0.25">
      <c r="A460">
        <v>69.802519000000004</v>
      </c>
      <c r="B460" s="1">
        <f>DATE(2010,7,9) + TIME(19,15,37)</f>
        <v>40368.802511574075</v>
      </c>
      <c r="C460">
        <v>80</v>
      </c>
      <c r="D460">
        <v>79.934478760000005</v>
      </c>
      <c r="E460">
        <v>40</v>
      </c>
      <c r="F460">
        <v>15.036933898999999</v>
      </c>
      <c r="G460">
        <v>1337.8618164</v>
      </c>
      <c r="H460">
        <v>1335.9326172000001</v>
      </c>
      <c r="I460">
        <v>1324.3470459</v>
      </c>
      <c r="J460">
        <v>1321.5341797000001</v>
      </c>
      <c r="K460">
        <v>1650</v>
      </c>
      <c r="L460">
        <v>0</v>
      </c>
      <c r="M460">
        <v>0</v>
      </c>
      <c r="N460">
        <v>1650</v>
      </c>
    </row>
    <row r="461" spans="1:14" x14ac:dyDescent="0.25">
      <c r="A461">
        <v>70.333687999999995</v>
      </c>
      <c r="B461" s="1">
        <f>DATE(2010,7,10) + TIME(8,0,30)</f>
        <v>40369.333680555559</v>
      </c>
      <c r="C461">
        <v>80</v>
      </c>
      <c r="D461">
        <v>79.934501647999994</v>
      </c>
      <c r="E461">
        <v>40</v>
      </c>
      <c r="F461">
        <v>15.042047501000001</v>
      </c>
      <c r="G461">
        <v>1337.8574219</v>
      </c>
      <c r="H461">
        <v>1335.9294434000001</v>
      </c>
      <c r="I461">
        <v>1324.3504639</v>
      </c>
      <c r="J461">
        <v>1321.5360106999999</v>
      </c>
      <c r="K461">
        <v>1650</v>
      </c>
      <c r="L461">
        <v>0</v>
      </c>
      <c r="M461">
        <v>0</v>
      </c>
      <c r="N461">
        <v>1650</v>
      </c>
    </row>
    <row r="462" spans="1:14" x14ac:dyDescent="0.25">
      <c r="A462">
        <v>70.874213999999995</v>
      </c>
      <c r="B462" s="1">
        <f>DATE(2010,7,10) + TIME(20,58,52)</f>
        <v>40369.874212962961</v>
      </c>
      <c r="C462">
        <v>80</v>
      </c>
      <c r="D462">
        <v>79.934524535999998</v>
      </c>
      <c r="E462">
        <v>40</v>
      </c>
      <c r="F462">
        <v>15.04794693</v>
      </c>
      <c r="G462">
        <v>1337.8530272999999</v>
      </c>
      <c r="H462">
        <v>1335.9262695</v>
      </c>
      <c r="I462">
        <v>1324.3538818</v>
      </c>
      <c r="J462">
        <v>1321.5378418</v>
      </c>
      <c r="K462">
        <v>1650</v>
      </c>
      <c r="L462">
        <v>0</v>
      </c>
      <c r="M462">
        <v>0</v>
      </c>
      <c r="N462">
        <v>1650</v>
      </c>
    </row>
    <row r="463" spans="1:14" x14ac:dyDescent="0.25">
      <c r="A463">
        <v>71.420485999999997</v>
      </c>
      <c r="B463" s="1">
        <f>DATE(2010,7,11) + TIME(10,5,29)</f>
        <v>40370.420474537037</v>
      </c>
      <c r="C463">
        <v>80</v>
      </c>
      <c r="D463">
        <v>79.934539795000006</v>
      </c>
      <c r="E463">
        <v>40</v>
      </c>
      <c r="F463">
        <v>15.054714203</v>
      </c>
      <c r="G463">
        <v>1337.8485106999999</v>
      </c>
      <c r="H463">
        <v>1335.9229736</v>
      </c>
      <c r="I463">
        <v>1324.3575439000001</v>
      </c>
      <c r="J463">
        <v>1321.5397949000001</v>
      </c>
      <c r="K463">
        <v>1650</v>
      </c>
      <c r="L463">
        <v>0</v>
      </c>
      <c r="M463">
        <v>0</v>
      </c>
      <c r="N463">
        <v>1650</v>
      </c>
    </row>
    <row r="464" spans="1:14" x14ac:dyDescent="0.25">
      <c r="A464">
        <v>71.697103999999996</v>
      </c>
      <c r="B464" s="1">
        <f>DATE(2010,7,11) + TIME(16,43,49)</f>
        <v>40370.697094907409</v>
      </c>
      <c r="C464">
        <v>80</v>
      </c>
      <c r="D464">
        <v>79.934547424000002</v>
      </c>
      <c r="E464">
        <v>40</v>
      </c>
      <c r="F464">
        <v>15.059307098</v>
      </c>
      <c r="G464">
        <v>1337.8441161999999</v>
      </c>
      <c r="H464">
        <v>1335.9196777</v>
      </c>
      <c r="I464">
        <v>1324.3613281</v>
      </c>
      <c r="J464">
        <v>1321.5417480000001</v>
      </c>
      <c r="K464">
        <v>1650</v>
      </c>
      <c r="L464">
        <v>0</v>
      </c>
      <c r="M464">
        <v>0</v>
      </c>
      <c r="N464">
        <v>1650</v>
      </c>
    </row>
    <row r="465" spans="1:14" x14ac:dyDescent="0.25">
      <c r="A465">
        <v>71.973721999999995</v>
      </c>
      <c r="B465" s="1">
        <f>DATE(2010,7,11) + TIME(23,22,9)</f>
        <v>40370.973715277774</v>
      </c>
      <c r="C465">
        <v>80</v>
      </c>
      <c r="D465">
        <v>79.934547424000002</v>
      </c>
      <c r="E465">
        <v>40</v>
      </c>
      <c r="F465">
        <v>15.064081192</v>
      </c>
      <c r="G465">
        <v>1337.8417969</v>
      </c>
      <c r="H465">
        <v>1335.9180908000001</v>
      </c>
      <c r="I465">
        <v>1324.3632812000001</v>
      </c>
      <c r="J465">
        <v>1321.5427245999999</v>
      </c>
      <c r="K465">
        <v>1650</v>
      </c>
      <c r="L465">
        <v>0</v>
      </c>
      <c r="M465">
        <v>0</v>
      </c>
      <c r="N465">
        <v>1650</v>
      </c>
    </row>
    <row r="466" spans="1:14" x14ac:dyDescent="0.25">
      <c r="A466">
        <v>72.250338999999997</v>
      </c>
      <c r="B466" s="1">
        <f>DATE(2010,7,12) + TIME(6,0,29)</f>
        <v>40371.250335648147</v>
      </c>
      <c r="C466">
        <v>80</v>
      </c>
      <c r="D466">
        <v>79.934555054</v>
      </c>
      <c r="E466">
        <v>40</v>
      </c>
      <c r="F466">
        <v>15.069067955</v>
      </c>
      <c r="G466">
        <v>1337.8395995999999</v>
      </c>
      <c r="H466">
        <v>1335.9165039</v>
      </c>
      <c r="I466">
        <v>1324.3652344</v>
      </c>
      <c r="J466">
        <v>1321.5438231999999</v>
      </c>
      <c r="K466">
        <v>1650</v>
      </c>
      <c r="L466">
        <v>0</v>
      </c>
      <c r="M466">
        <v>0</v>
      </c>
      <c r="N466">
        <v>1650</v>
      </c>
    </row>
    <row r="467" spans="1:14" x14ac:dyDescent="0.25">
      <c r="A467">
        <v>72.526956999999996</v>
      </c>
      <c r="B467" s="1">
        <f>DATE(2010,7,12) + TIME(12,38,49)</f>
        <v>40371.526956018519</v>
      </c>
      <c r="C467">
        <v>80</v>
      </c>
      <c r="D467">
        <v>79.934570312000005</v>
      </c>
      <c r="E467">
        <v>40</v>
      </c>
      <c r="F467">
        <v>15.074297905</v>
      </c>
      <c r="G467">
        <v>1337.8374022999999</v>
      </c>
      <c r="H467">
        <v>1335.9147949000001</v>
      </c>
      <c r="I467">
        <v>1324.3671875</v>
      </c>
      <c r="J467">
        <v>1321.5449219</v>
      </c>
      <c r="K467">
        <v>1650</v>
      </c>
      <c r="L467">
        <v>0</v>
      </c>
      <c r="M467">
        <v>0</v>
      </c>
      <c r="N467">
        <v>1650</v>
      </c>
    </row>
    <row r="468" spans="1:14" x14ac:dyDescent="0.25">
      <c r="A468">
        <v>72.803280999999998</v>
      </c>
      <c r="B468" s="1">
        <f>DATE(2010,7,12) + TIME(19,16,43)</f>
        <v>40371.80327546296</v>
      </c>
      <c r="C468">
        <v>80</v>
      </c>
      <c r="D468">
        <v>79.934577942000004</v>
      </c>
      <c r="E468">
        <v>40</v>
      </c>
      <c r="F468">
        <v>15.079794884</v>
      </c>
      <c r="G468">
        <v>1337.8352050999999</v>
      </c>
      <c r="H468">
        <v>1335.9132079999999</v>
      </c>
      <c r="I468">
        <v>1324.3692627</v>
      </c>
      <c r="J468">
        <v>1321.5460204999999</v>
      </c>
      <c r="K468">
        <v>1650</v>
      </c>
      <c r="L468">
        <v>0</v>
      </c>
      <c r="M468">
        <v>0</v>
      </c>
      <c r="N468">
        <v>1650</v>
      </c>
    </row>
    <row r="469" spans="1:14" x14ac:dyDescent="0.25">
      <c r="A469">
        <v>73.079189999999997</v>
      </c>
      <c r="B469" s="1">
        <f>DATE(2010,7,13) + TIME(1,54,2)</f>
        <v>40372.079189814816</v>
      </c>
      <c r="C469">
        <v>80</v>
      </c>
      <c r="D469">
        <v>79.934585571</v>
      </c>
      <c r="E469">
        <v>40</v>
      </c>
      <c r="F469">
        <v>15.085581779</v>
      </c>
      <c r="G469">
        <v>1337.8330077999999</v>
      </c>
      <c r="H469">
        <v>1335.9116211</v>
      </c>
      <c r="I469">
        <v>1324.3713379000001</v>
      </c>
      <c r="J469">
        <v>1321.5471190999999</v>
      </c>
      <c r="K469">
        <v>1650</v>
      </c>
      <c r="L469">
        <v>0</v>
      </c>
      <c r="M469">
        <v>0</v>
      </c>
      <c r="N469">
        <v>1650</v>
      </c>
    </row>
    <row r="470" spans="1:14" x14ac:dyDescent="0.25">
      <c r="A470">
        <v>73.354876000000004</v>
      </c>
      <c r="B470" s="1">
        <f>DATE(2010,7,13) + TIME(8,31,1)</f>
        <v>40372.354872685188</v>
      </c>
      <c r="C470">
        <v>80</v>
      </c>
      <c r="D470">
        <v>79.934593200999998</v>
      </c>
      <c r="E470">
        <v>40</v>
      </c>
      <c r="F470">
        <v>15.091686249</v>
      </c>
      <c r="G470">
        <v>1337.8308105000001</v>
      </c>
      <c r="H470">
        <v>1335.9100341999999</v>
      </c>
      <c r="I470">
        <v>1324.3732910000001</v>
      </c>
      <c r="J470">
        <v>1321.5482178</v>
      </c>
      <c r="K470">
        <v>1650</v>
      </c>
      <c r="L470">
        <v>0</v>
      </c>
      <c r="M470">
        <v>0</v>
      </c>
      <c r="N470">
        <v>1650</v>
      </c>
    </row>
    <row r="471" spans="1:14" x14ac:dyDescent="0.25">
      <c r="A471">
        <v>73.630527999999998</v>
      </c>
      <c r="B471" s="1">
        <f>DATE(2010,7,13) + TIME(15,7,57)</f>
        <v>40372.630520833336</v>
      </c>
      <c r="C471">
        <v>80</v>
      </c>
      <c r="D471">
        <v>79.934608459000003</v>
      </c>
      <c r="E471">
        <v>40</v>
      </c>
      <c r="F471">
        <v>15.098138809</v>
      </c>
      <c r="G471">
        <v>1337.8287353999999</v>
      </c>
      <c r="H471">
        <v>1335.9084473</v>
      </c>
      <c r="I471">
        <v>1324.3753661999999</v>
      </c>
      <c r="J471">
        <v>1321.5493164</v>
      </c>
      <c r="K471">
        <v>1650</v>
      </c>
      <c r="L471">
        <v>0</v>
      </c>
      <c r="M471">
        <v>0</v>
      </c>
      <c r="N471">
        <v>1650</v>
      </c>
    </row>
    <row r="472" spans="1:14" x14ac:dyDescent="0.25">
      <c r="A472">
        <v>73.906178999999995</v>
      </c>
      <c r="B472" s="1">
        <f>DATE(2010,7,13) + TIME(21,44,53)</f>
        <v>40372.906168981484</v>
      </c>
      <c r="C472">
        <v>80</v>
      </c>
      <c r="D472">
        <v>79.934616089000002</v>
      </c>
      <c r="E472">
        <v>40</v>
      </c>
      <c r="F472">
        <v>15.104963303</v>
      </c>
      <c r="G472">
        <v>1337.8265381000001</v>
      </c>
      <c r="H472">
        <v>1335.9068603999999</v>
      </c>
      <c r="I472">
        <v>1324.3775635</v>
      </c>
      <c r="J472">
        <v>1321.5504149999999</v>
      </c>
      <c r="K472">
        <v>1650</v>
      </c>
      <c r="L472">
        <v>0</v>
      </c>
      <c r="M472">
        <v>0</v>
      </c>
      <c r="N472">
        <v>1650</v>
      </c>
    </row>
    <row r="473" spans="1:14" x14ac:dyDescent="0.25">
      <c r="A473">
        <v>74.181831000000003</v>
      </c>
      <c r="B473" s="1">
        <f>DATE(2010,7,14) + TIME(4,21,50)</f>
        <v>40373.181828703702</v>
      </c>
      <c r="C473">
        <v>80</v>
      </c>
      <c r="D473">
        <v>79.934631347999996</v>
      </c>
      <c r="E473">
        <v>40</v>
      </c>
      <c r="F473">
        <v>15.112187386</v>
      </c>
      <c r="G473">
        <v>1337.8243408000001</v>
      </c>
      <c r="H473">
        <v>1335.9052733999999</v>
      </c>
      <c r="I473">
        <v>1324.3796387</v>
      </c>
      <c r="J473">
        <v>1321.5516356999999</v>
      </c>
      <c r="K473">
        <v>1650</v>
      </c>
      <c r="L473">
        <v>0</v>
      </c>
      <c r="M473">
        <v>0</v>
      </c>
      <c r="N473">
        <v>1650</v>
      </c>
    </row>
    <row r="474" spans="1:14" x14ac:dyDescent="0.25">
      <c r="A474">
        <v>74.457481999999999</v>
      </c>
      <c r="B474" s="1">
        <f>DATE(2010,7,14) + TIME(10,58,46)</f>
        <v>40373.457476851851</v>
      </c>
      <c r="C474">
        <v>80</v>
      </c>
      <c r="D474">
        <v>79.934638977000006</v>
      </c>
      <c r="E474">
        <v>40</v>
      </c>
      <c r="F474">
        <v>15.119835854</v>
      </c>
      <c r="G474">
        <v>1337.8222656</v>
      </c>
      <c r="H474">
        <v>1335.9036865</v>
      </c>
      <c r="I474">
        <v>1324.3818358999999</v>
      </c>
      <c r="J474">
        <v>1321.5528564000001</v>
      </c>
      <c r="K474">
        <v>1650</v>
      </c>
      <c r="L474">
        <v>0</v>
      </c>
      <c r="M474">
        <v>0</v>
      </c>
      <c r="N474">
        <v>1650</v>
      </c>
    </row>
    <row r="475" spans="1:14" x14ac:dyDescent="0.25">
      <c r="A475">
        <v>74.733134000000007</v>
      </c>
      <c r="B475" s="1">
        <f>DATE(2010,7,14) + TIME(17,35,42)</f>
        <v>40373.733124999999</v>
      </c>
      <c r="C475">
        <v>80</v>
      </c>
      <c r="D475">
        <v>79.934654236</v>
      </c>
      <c r="E475">
        <v>40</v>
      </c>
      <c r="F475">
        <v>15.127935409999999</v>
      </c>
      <c r="G475">
        <v>1337.8200684000001</v>
      </c>
      <c r="H475">
        <v>1335.9020995999999</v>
      </c>
      <c r="I475">
        <v>1324.3840332</v>
      </c>
      <c r="J475">
        <v>1321.5539550999999</v>
      </c>
      <c r="K475">
        <v>1650</v>
      </c>
      <c r="L475">
        <v>0</v>
      </c>
      <c r="M475">
        <v>0</v>
      </c>
      <c r="N475">
        <v>1650</v>
      </c>
    </row>
    <row r="476" spans="1:14" x14ac:dyDescent="0.25">
      <c r="A476">
        <v>75.008785000000003</v>
      </c>
      <c r="B476" s="1">
        <f>DATE(2010,7,15) + TIME(0,12,39)</f>
        <v>40374.008784722224</v>
      </c>
      <c r="C476">
        <v>80</v>
      </c>
      <c r="D476">
        <v>79.934661864999995</v>
      </c>
      <c r="E476">
        <v>40</v>
      </c>
      <c r="F476">
        <v>15.136512756</v>
      </c>
      <c r="G476">
        <v>1337.8179932</v>
      </c>
      <c r="H476">
        <v>1335.9005127</v>
      </c>
      <c r="I476">
        <v>1324.3862305</v>
      </c>
      <c r="J476">
        <v>1321.5551757999999</v>
      </c>
      <c r="K476">
        <v>1650</v>
      </c>
      <c r="L476">
        <v>0</v>
      </c>
      <c r="M476">
        <v>0</v>
      </c>
      <c r="N476">
        <v>1650</v>
      </c>
    </row>
    <row r="477" spans="1:14" x14ac:dyDescent="0.25">
      <c r="A477">
        <v>75.284436999999997</v>
      </c>
      <c r="B477" s="1">
        <f>DATE(2010,7,15) + TIME(6,49,35)</f>
        <v>40374.284432870372</v>
      </c>
      <c r="C477">
        <v>80</v>
      </c>
      <c r="D477">
        <v>79.934677124000004</v>
      </c>
      <c r="E477">
        <v>40</v>
      </c>
      <c r="F477">
        <v>15.145596504</v>
      </c>
      <c r="G477">
        <v>1337.815918</v>
      </c>
      <c r="H477">
        <v>1335.8990478999999</v>
      </c>
      <c r="I477">
        <v>1324.3884277</v>
      </c>
      <c r="J477">
        <v>1321.5565185999999</v>
      </c>
      <c r="K477">
        <v>1650</v>
      </c>
      <c r="L477">
        <v>0</v>
      </c>
      <c r="M477">
        <v>0</v>
      </c>
      <c r="N477">
        <v>1650</v>
      </c>
    </row>
    <row r="478" spans="1:14" x14ac:dyDescent="0.25">
      <c r="A478">
        <v>75.835740000000001</v>
      </c>
      <c r="B478" s="1">
        <f>DATE(2010,7,15) + TIME(20,3,27)</f>
        <v>40374.835729166669</v>
      </c>
      <c r="C478">
        <v>80</v>
      </c>
      <c r="D478">
        <v>79.934707642000006</v>
      </c>
      <c r="E478">
        <v>40</v>
      </c>
      <c r="F478">
        <v>15.161840439000001</v>
      </c>
      <c r="G478">
        <v>1337.8138428</v>
      </c>
      <c r="H478">
        <v>1335.8974608999999</v>
      </c>
      <c r="I478">
        <v>1324.3905029</v>
      </c>
      <c r="J478">
        <v>1321.5578613</v>
      </c>
      <c r="K478">
        <v>1650</v>
      </c>
      <c r="L478">
        <v>0</v>
      </c>
      <c r="M478">
        <v>0</v>
      </c>
      <c r="N478">
        <v>1650</v>
      </c>
    </row>
    <row r="479" spans="1:14" x14ac:dyDescent="0.25">
      <c r="A479">
        <v>76.388820999999993</v>
      </c>
      <c r="B479" s="1">
        <f>DATE(2010,7,16) + TIME(9,19,54)</f>
        <v>40375.388819444444</v>
      </c>
      <c r="C479">
        <v>80</v>
      </c>
      <c r="D479">
        <v>79.934738159000005</v>
      </c>
      <c r="E479">
        <v>40</v>
      </c>
      <c r="F479">
        <v>15.180967331</v>
      </c>
      <c r="G479">
        <v>1337.8095702999999</v>
      </c>
      <c r="H479">
        <v>1335.8944091999999</v>
      </c>
      <c r="I479">
        <v>1324.3951416</v>
      </c>
      <c r="J479">
        <v>1321.5603027</v>
      </c>
      <c r="K479">
        <v>1650</v>
      </c>
      <c r="L479">
        <v>0</v>
      </c>
      <c r="M479">
        <v>0</v>
      </c>
      <c r="N479">
        <v>1650</v>
      </c>
    </row>
    <row r="480" spans="1:14" x14ac:dyDescent="0.25">
      <c r="A480">
        <v>76.949242999999996</v>
      </c>
      <c r="B480" s="1">
        <f>DATE(2010,7,16) + TIME(22,46,54)</f>
        <v>40375.949236111112</v>
      </c>
      <c r="C480">
        <v>80</v>
      </c>
      <c r="D480">
        <v>79.934761046999995</v>
      </c>
      <c r="E480">
        <v>40</v>
      </c>
      <c r="F480">
        <v>15.203187943</v>
      </c>
      <c r="G480">
        <v>1337.8054199000001</v>
      </c>
      <c r="H480">
        <v>1335.8913574000001</v>
      </c>
      <c r="I480">
        <v>1324.3999022999999</v>
      </c>
      <c r="J480">
        <v>1321.5629882999999</v>
      </c>
      <c r="K480">
        <v>1650</v>
      </c>
      <c r="L480">
        <v>0</v>
      </c>
      <c r="M480">
        <v>0</v>
      </c>
      <c r="N480">
        <v>1650</v>
      </c>
    </row>
    <row r="481" spans="1:14" x14ac:dyDescent="0.25">
      <c r="A481">
        <v>77.518429999999995</v>
      </c>
      <c r="B481" s="1">
        <f>DATE(2010,7,17) + TIME(12,26,32)</f>
        <v>40376.518425925926</v>
      </c>
      <c r="C481">
        <v>80</v>
      </c>
      <c r="D481">
        <v>79.934783936000002</v>
      </c>
      <c r="E481">
        <v>40</v>
      </c>
      <c r="F481">
        <v>15.228780746</v>
      </c>
      <c r="G481">
        <v>1337.8012695</v>
      </c>
      <c r="H481">
        <v>1335.8883057</v>
      </c>
      <c r="I481">
        <v>1324.4047852000001</v>
      </c>
      <c r="J481">
        <v>1321.5657959</v>
      </c>
      <c r="K481">
        <v>1650</v>
      </c>
      <c r="L481">
        <v>0</v>
      </c>
      <c r="M481">
        <v>0</v>
      </c>
      <c r="N481">
        <v>1650</v>
      </c>
    </row>
    <row r="482" spans="1:14" x14ac:dyDescent="0.25">
      <c r="A482">
        <v>78.097941000000006</v>
      </c>
      <c r="B482" s="1">
        <f>DATE(2010,7,18) + TIME(2,21,2)</f>
        <v>40377.097939814812</v>
      </c>
      <c r="C482">
        <v>80</v>
      </c>
      <c r="D482">
        <v>79.934814453000001</v>
      </c>
      <c r="E482">
        <v>40</v>
      </c>
      <c r="F482">
        <v>15.258143425</v>
      </c>
      <c r="G482">
        <v>1337.7969971</v>
      </c>
      <c r="H482">
        <v>1335.8851318</v>
      </c>
      <c r="I482">
        <v>1324.4099120999999</v>
      </c>
      <c r="J482">
        <v>1321.5687256000001</v>
      </c>
      <c r="K482">
        <v>1650</v>
      </c>
      <c r="L482">
        <v>0</v>
      </c>
      <c r="M482">
        <v>0</v>
      </c>
      <c r="N482">
        <v>1650</v>
      </c>
    </row>
    <row r="483" spans="1:14" x14ac:dyDescent="0.25">
      <c r="A483">
        <v>78.684804999999997</v>
      </c>
      <c r="B483" s="1">
        <f>DATE(2010,7,18) + TIME(16,26,7)</f>
        <v>40377.684803240743</v>
      </c>
      <c r="C483">
        <v>80</v>
      </c>
      <c r="D483">
        <v>79.934837341000005</v>
      </c>
      <c r="E483">
        <v>40</v>
      </c>
      <c r="F483">
        <v>15.291613579</v>
      </c>
      <c r="G483">
        <v>1337.7927245999999</v>
      </c>
      <c r="H483">
        <v>1335.8819579999999</v>
      </c>
      <c r="I483">
        <v>1324.4151611</v>
      </c>
      <c r="J483">
        <v>1321.5717772999999</v>
      </c>
      <c r="K483">
        <v>1650</v>
      </c>
      <c r="L483">
        <v>0</v>
      </c>
      <c r="M483">
        <v>0</v>
      </c>
      <c r="N483">
        <v>1650</v>
      </c>
    </row>
    <row r="484" spans="1:14" x14ac:dyDescent="0.25">
      <c r="A484">
        <v>79.278531000000001</v>
      </c>
      <c r="B484" s="1">
        <f>DATE(2010,7,19) + TIME(6,41,5)</f>
        <v>40378.27853009259</v>
      </c>
      <c r="C484">
        <v>80</v>
      </c>
      <c r="D484">
        <v>79.934867858999993</v>
      </c>
      <c r="E484">
        <v>40</v>
      </c>
      <c r="F484">
        <v>15.329641342</v>
      </c>
      <c r="G484">
        <v>1337.7884521000001</v>
      </c>
      <c r="H484">
        <v>1335.8787841999999</v>
      </c>
      <c r="I484">
        <v>1324.4206543</v>
      </c>
      <c r="J484">
        <v>1321.5750731999999</v>
      </c>
      <c r="K484">
        <v>1650</v>
      </c>
      <c r="L484">
        <v>0</v>
      </c>
      <c r="M484">
        <v>0</v>
      </c>
      <c r="N484">
        <v>1650</v>
      </c>
    </row>
    <row r="485" spans="1:14" x14ac:dyDescent="0.25">
      <c r="A485">
        <v>79.577016999999998</v>
      </c>
      <c r="B485" s="1">
        <f>DATE(2010,7,19) + TIME(13,50,54)</f>
        <v>40378.577013888891</v>
      </c>
      <c r="C485">
        <v>80</v>
      </c>
      <c r="D485">
        <v>79.934875488000003</v>
      </c>
      <c r="E485">
        <v>40</v>
      </c>
      <c r="F485">
        <v>15.355372429000001</v>
      </c>
      <c r="G485">
        <v>1337.7841797000001</v>
      </c>
      <c r="H485">
        <v>1335.8756103999999</v>
      </c>
      <c r="I485">
        <v>1324.4268798999999</v>
      </c>
      <c r="J485">
        <v>1321.5783690999999</v>
      </c>
      <c r="K485">
        <v>1650</v>
      </c>
      <c r="L485">
        <v>0</v>
      </c>
      <c r="M485">
        <v>0</v>
      </c>
      <c r="N485">
        <v>1650</v>
      </c>
    </row>
    <row r="486" spans="1:14" x14ac:dyDescent="0.25">
      <c r="A486">
        <v>79.875478999999999</v>
      </c>
      <c r="B486" s="1">
        <f>DATE(2010,7,19) + TIME(21,0,41)</f>
        <v>40378.875474537039</v>
      </c>
      <c r="C486">
        <v>80</v>
      </c>
      <c r="D486">
        <v>79.934883118000002</v>
      </c>
      <c r="E486">
        <v>40</v>
      </c>
      <c r="F486">
        <v>15.381823539999999</v>
      </c>
      <c r="G486">
        <v>1337.7819824000001</v>
      </c>
      <c r="H486">
        <v>1335.8740233999999</v>
      </c>
      <c r="I486">
        <v>1324.4298096</v>
      </c>
      <c r="J486">
        <v>1321.5802002</v>
      </c>
      <c r="K486">
        <v>1650</v>
      </c>
      <c r="L486">
        <v>0</v>
      </c>
      <c r="M486">
        <v>0</v>
      </c>
      <c r="N486">
        <v>1650</v>
      </c>
    </row>
    <row r="487" spans="1:14" x14ac:dyDescent="0.25">
      <c r="A487">
        <v>80.173281000000003</v>
      </c>
      <c r="B487" s="1">
        <f>DATE(2010,7,20) + TIME(4,9,31)</f>
        <v>40379.173275462963</v>
      </c>
      <c r="C487">
        <v>80</v>
      </c>
      <c r="D487">
        <v>79.934898376000007</v>
      </c>
      <c r="E487">
        <v>40</v>
      </c>
      <c r="F487">
        <v>15.409133911</v>
      </c>
      <c r="G487">
        <v>1337.7797852000001</v>
      </c>
      <c r="H487">
        <v>1335.8724365</v>
      </c>
      <c r="I487">
        <v>1324.4327393000001</v>
      </c>
      <c r="J487">
        <v>1321.5821533000001</v>
      </c>
      <c r="K487">
        <v>1650</v>
      </c>
      <c r="L487">
        <v>0</v>
      </c>
      <c r="M487">
        <v>0</v>
      </c>
      <c r="N487">
        <v>1650</v>
      </c>
    </row>
    <row r="488" spans="1:14" x14ac:dyDescent="0.25">
      <c r="A488">
        <v>80.470631999999995</v>
      </c>
      <c r="B488" s="1">
        <f>DATE(2010,7,20) + TIME(11,17,42)</f>
        <v>40379.470625000002</v>
      </c>
      <c r="C488">
        <v>80</v>
      </c>
      <c r="D488">
        <v>79.934906006000006</v>
      </c>
      <c r="E488">
        <v>40</v>
      </c>
      <c r="F488">
        <v>15.437473297</v>
      </c>
      <c r="G488">
        <v>1337.7777100000001</v>
      </c>
      <c r="H488">
        <v>1335.8708495999999</v>
      </c>
      <c r="I488">
        <v>1324.4356689000001</v>
      </c>
      <c r="J488">
        <v>1321.5839844</v>
      </c>
      <c r="K488">
        <v>1650</v>
      </c>
      <c r="L488">
        <v>0</v>
      </c>
      <c r="M488">
        <v>0</v>
      </c>
      <c r="N488">
        <v>1650</v>
      </c>
    </row>
    <row r="489" spans="1:14" x14ac:dyDescent="0.25">
      <c r="A489">
        <v>80.767735000000002</v>
      </c>
      <c r="B489" s="1">
        <f>DATE(2010,7,20) + TIME(18,25,32)</f>
        <v>40379.767731481479</v>
      </c>
      <c r="C489">
        <v>80</v>
      </c>
      <c r="D489">
        <v>79.934921265</v>
      </c>
      <c r="E489">
        <v>40</v>
      </c>
      <c r="F489">
        <v>15.4669981</v>
      </c>
      <c r="G489">
        <v>1337.7755127</v>
      </c>
      <c r="H489">
        <v>1335.8692627</v>
      </c>
      <c r="I489">
        <v>1324.4387207</v>
      </c>
      <c r="J489">
        <v>1321.5859375</v>
      </c>
      <c r="K489">
        <v>1650</v>
      </c>
      <c r="L489">
        <v>0</v>
      </c>
      <c r="M489">
        <v>0</v>
      </c>
      <c r="N489">
        <v>1650</v>
      </c>
    </row>
    <row r="490" spans="1:14" x14ac:dyDescent="0.25">
      <c r="A490">
        <v>81.064794000000006</v>
      </c>
      <c r="B490" s="1">
        <f>DATE(2010,7,21) + TIME(1,33,18)</f>
        <v>40380.064791666664</v>
      </c>
      <c r="C490">
        <v>80</v>
      </c>
      <c r="D490">
        <v>79.934936523000005</v>
      </c>
      <c r="E490">
        <v>40</v>
      </c>
      <c r="F490">
        <v>15.497853278999999</v>
      </c>
      <c r="G490">
        <v>1337.7734375</v>
      </c>
      <c r="H490">
        <v>1335.8676757999999</v>
      </c>
      <c r="I490">
        <v>1324.4417725000001</v>
      </c>
      <c r="J490">
        <v>1321.5880127</v>
      </c>
      <c r="K490">
        <v>1650</v>
      </c>
      <c r="L490">
        <v>0</v>
      </c>
      <c r="M490">
        <v>0</v>
      </c>
      <c r="N490">
        <v>1650</v>
      </c>
    </row>
    <row r="491" spans="1:14" x14ac:dyDescent="0.25">
      <c r="A491">
        <v>81.361851999999999</v>
      </c>
      <c r="B491" s="1">
        <f>DATE(2010,7,21) + TIME(8,41,4)</f>
        <v>40380.361851851849</v>
      </c>
      <c r="C491">
        <v>80</v>
      </c>
      <c r="D491">
        <v>79.934944153000004</v>
      </c>
      <c r="E491">
        <v>40</v>
      </c>
      <c r="F491">
        <v>15.530164719</v>
      </c>
      <c r="G491">
        <v>1337.7713623</v>
      </c>
      <c r="H491">
        <v>1335.8660889</v>
      </c>
      <c r="I491">
        <v>1324.4448242000001</v>
      </c>
      <c r="J491">
        <v>1321.5899658000001</v>
      </c>
      <c r="K491">
        <v>1650</v>
      </c>
      <c r="L491">
        <v>0</v>
      </c>
      <c r="M491">
        <v>0</v>
      </c>
      <c r="N491">
        <v>1650</v>
      </c>
    </row>
    <row r="492" spans="1:14" x14ac:dyDescent="0.25">
      <c r="A492">
        <v>81.658911000000003</v>
      </c>
      <c r="B492" s="1">
        <f>DATE(2010,7,21) + TIME(15,48,49)</f>
        <v>40380.658900462964</v>
      </c>
      <c r="C492">
        <v>80</v>
      </c>
      <c r="D492">
        <v>79.934959411999998</v>
      </c>
      <c r="E492">
        <v>40</v>
      </c>
      <c r="F492">
        <v>15.564048766999999</v>
      </c>
      <c r="G492">
        <v>1337.7692870999999</v>
      </c>
      <c r="H492">
        <v>1335.8645019999999</v>
      </c>
      <c r="I492">
        <v>1324.447876</v>
      </c>
      <c r="J492">
        <v>1321.5921631000001</v>
      </c>
      <c r="K492">
        <v>1650</v>
      </c>
      <c r="L492">
        <v>0</v>
      </c>
      <c r="M492">
        <v>0</v>
      </c>
      <c r="N492">
        <v>1650</v>
      </c>
    </row>
    <row r="493" spans="1:14" x14ac:dyDescent="0.25">
      <c r="A493">
        <v>81.955968999999996</v>
      </c>
      <c r="B493" s="1">
        <f>DATE(2010,7,21) + TIME(22,56,35)</f>
        <v>40380.955960648149</v>
      </c>
      <c r="C493">
        <v>80</v>
      </c>
      <c r="D493">
        <v>79.934974670000003</v>
      </c>
      <c r="E493">
        <v>40</v>
      </c>
      <c r="F493">
        <v>15.599614143</v>
      </c>
      <c r="G493">
        <v>1337.7672118999999</v>
      </c>
      <c r="H493">
        <v>1335.8629149999999</v>
      </c>
      <c r="I493">
        <v>1324.4510498</v>
      </c>
      <c r="J493">
        <v>1321.5942382999999</v>
      </c>
      <c r="K493">
        <v>1650</v>
      </c>
      <c r="L493">
        <v>0</v>
      </c>
      <c r="M493">
        <v>0</v>
      </c>
      <c r="N493">
        <v>1650</v>
      </c>
    </row>
    <row r="494" spans="1:14" x14ac:dyDescent="0.25">
      <c r="A494">
        <v>82.253028</v>
      </c>
      <c r="B494" s="1">
        <f>DATE(2010,7,22) + TIME(6,4,21)</f>
        <v>40381.253020833334</v>
      </c>
      <c r="C494">
        <v>80</v>
      </c>
      <c r="D494">
        <v>79.934989928999997</v>
      </c>
      <c r="E494">
        <v>40</v>
      </c>
      <c r="F494">
        <v>15.636966705000001</v>
      </c>
      <c r="G494">
        <v>1337.7651367000001</v>
      </c>
      <c r="H494">
        <v>1335.8614502</v>
      </c>
      <c r="I494">
        <v>1324.4542236</v>
      </c>
      <c r="J494">
        <v>1321.5964355000001</v>
      </c>
      <c r="K494">
        <v>1650</v>
      </c>
      <c r="L494">
        <v>0</v>
      </c>
      <c r="M494">
        <v>0</v>
      </c>
      <c r="N494">
        <v>1650</v>
      </c>
    </row>
    <row r="495" spans="1:14" x14ac:dyDescent="0.25">
      <c r="A495">
        <v>82.550085999999993</v>
      </c>
      <c r="B495" s="1">
        <f>DATE(2010,7,22) + TIME(13,12,7)</f>
        <v>40381.550081018519</v>
      </c>
      <c r="C495">
        <v>80</v>
      </c>
      <c r="D495">
        <v>79.935005188000005</v>
      </c>
      <c r="E495">
        <v>40</v>
      </c>
      <c r="F495">
        <v>15.676208495999999</v>
      </c>
      <c r="G495">
        <v>1337.7630615</v>
      </c>
      <c r="H495">
        <v>1335.8598632999999</v>
      </c>
      <c r="I495">
        <v>1324.4575195</v>
      </c>
      <c r="J495">
        <v>1321.5986327999999</v>
      </c>
      <c r="K495">
        <v>1650</v>
      </c>
      <c r="L495">
        <v>0</v>
      </c>
      <c r="M495">
        <v>0</v>
      </c>
      <c r="N495">
        <v>1650</v>
      </c>
    </row>
    <row r="496" spans="1:14" x14ac:dyDescent="0.25">
      <c r="A496">
        <v>83.144203000000005</v>
      </c>
      <c r="B496" s="1">
        <f>DATE(2010,7,23) + TIME(3,27,39)</f>
        <v>40382.144201388888</v>
      </c>
      <c r="C496">
        <v>80</v>
      </c>
      <c r="D496">
        <v>79.935043335000003</v>
      </c>
      <c r="E496">
        <v>40</v>
      </c>
      <c r="F496">
        <v>15.744936943000001</v>
      </c>
      <c r="G496">
        <v>1337.7609863</v>
      </c>
      <c r="H496">
        <v>1335.8583983999999</v>
      </c>
      <c r="I496">
        <v>1324.4598389</v>
      </c>
      <c r="J496">
        <v>1321.6011963000001</v>
      </c>
      <c r="K496">
        <v>1650</v>
      </c>
      <c r="L496">
        <v>0</v>
      </c>
      <c r="M496">
        <v>0</v>
      </c>
      <c r="N496">
        <v>1650</v>
      </c>
    </row>
    <row r="497" spans="1:14" x14ac:dyDescent="0.25">
      <c r="A497">
        <v>83.740368000000004</v>
      </c>
      <c r="B497" s="1">
        <f>DATE(2010,7,23) + TIME(17,46,7)</f>
        <v>40382.740358796298</v>
      </c>
      <c r="C497">
        <v>80</v>
      </c>
      <c r="D497">
        <v>79.935073853000006</v>
      </c>
      <c r="E497">
        <v>40</v>
      </c>
      <c r="F497">
        <v>15.825438499000001</v>
      </c>
      <c r="G497">
        <v>1337.7569579999999</v>
      </c>
      <c r="H497">
        <v>1335.8553466999999</v>
      </c>
      <c r="I497">
        <v>1324.4666748</v>
      </c>
      <c r="J497">
        <v>1321.6058350000001</v>
      </c>
      <c r="K497">
        <v>1650</v>
      </c>
      <c r="L497">
        <v>0</v>
      </c>
      <c r="M497">
        <v>0</v>
      </c>
      <c r="N497">
        <v>1650</v>
      </c>
    </row>
    <row r="498" spans="1:14" x14ac:dyDescent="0.25">
      <c r="A498">
        <v>84.343678999999995</v>
      </c>
      <c r="B498" s="1">
        <f>DATE(2010,7,24) + TIME(8,14,53)</f>
        <v>40383.343668981484</v>
      </c>
      <c r="C498">
        <v>80</v>
      </c>
      <c r="D498">
        <v>79.935112000000004</v>
      </c>
      <c r="E498">
        <v>40</v>
      </c>
      <c r="F498">
        <v>15.917971611</v>
      </c>
      <c r="G498">
        <v>1337.7528076000001</v>
      </c>
      <c r="H498">
        <v>1335.8522949000001</v>
      </c>
      <c r="I498">
        <v>1324.4735106999999</v>
      </c>
      <c r="J498">
        <v>1321.6107178</v>
      </c>
      <c r="K498">
        <v>1650</v>
      </c>
      <c r="L498">
        <v>0</v>
      </c>
      <c r="M498">
        <v>0</v>
      </c>
      <c r="N498">
        <v>1650</v>
      </c>
    </row>
    <row r="499" spans="1:14" x14ac:dyDescent="0.25">
      <c r="A499">
        <v>84.955736999999999</v>
      </c>
      <c r="B499" s="1">
        <f>DATE(2010,7,24) + TIME(22,56,15)</f>
        <v>40383.955729166664</v>
      </c>
      <c r="C499">
        <v>80</v>
      </c>
      <c r="D499">
        <v>79.935142517000003</v>
      </c>
      <c r="E499">
        <v>40</v>
      </c>
      <c r="F499">
        <v>16.023159026999998</v>
      </c>
      <c r="G499">
        <v>1337.7487793</v>
      </c>
      <c r="H499">
        <v>1335.8492432</v>
      </c>
      <c r="I499">
        <v>1324.4804687999999</v>
      </c>
      <c r="J499">
        <v>1321.6159668</v>
      </c>
      <c r="K499">
        <v>1650</v>
      </c>
      <c r="L499">
        <v>0</v>
      </c>
      <c r="M499">
        <v>0</v>
      </c>
      <c r="N499">
        <v>1650</v>
      </c>
    </row>
    <row r="500" spans="1:14" x14ac:dyDescent="0.25">
      <c r="A500">
        <v>85.573322000000005</v>
      </c>
      <c r="B500" s="1">
        <f>DATE(2010,7,25) + TIME(13,45,34)</f>
        <v>40384.573310185187</v>
      </c>
      <c r="C500">
        <v>80</v>
      </c>
      <c r="D500">
        <v>79.935173035000005</v>
      </c>
      <c r="E500">
        <v>40</v>
      </c>
      <c r="F500">
        <v>16.141427994000001</v>
      </c>
      <c r="G500">
        <v>1337.7446289</v>
      </c>
      <c r="H500">
        <v>1335.8460693</v>
      </c>
      <c r="I500">
        <v>1324.4875488</v>
      </c>
      <c r="J500">
        <v>1321.6214600000001</v>
      </c>
      <c r="K500">
        <v>1650</v>
      </c>
      <c r="L500">
        <v>0</v>
      </c>
      <c r="M500">
        <v>0</v>
      </c>
      <c r="N500">
        <v>1650</v>
      </c>
    </row>
    <row r="501" spans="1:14" x14ac:dyDescent="0.25">
      <c r="A501">
        <v>86.191952000000001</v>
      </c>
      <c r="B501" s="1">
        <f>DATE(2010,7,26) + TIME(4,36,24)</f>
        <v>40385.191944444443</v>
      </c>
      <c r="C501">
        <v>80</v>
      </c>
      <c r="D501">
        <v>79.935203552000004</v>
      </c>
      <c r="E501">
        <v>40</v>
      </c>
      <c r="F501">
        <v>16.272993088</v>
      </c>
      <c r="G501">
        <v>1337.7404785000001</v>
      </c>
      <c r="H501">
        <v>1335.8430175999999</v>
      </c>
      <c r="I501">
        <v>1324.4948730000001</v>
      </c>
      <c r="J501">
        <v>1321.6274414</v>
      </c>
      <c r="K501">
        <v>1650</v>
      </c>
      <c r="L501">
        <v>0</v>
      </c>
      <c r="M501">
        <v>0</v>
      </c>
      <c r="N501">
        <v>1650</v>
      </c>
    </row>
    <row r="502" spans="1:14" x14ac:dyDescent="0.25">
      <c r="A502">
        <v>86.813419999999994</v>
      </c>
      <c r="B502" s="1">
        <f>DATE(2010,7,26) + TIME(19,31,19)</f>
        <v>40385.813414351855</v>
      </c>
      <c r="C502">
        <v>80</v>
      </c>
      <c r="D502">
        <v>79.935234070000007</v>
      </c>
      <c r="E502">
        <v>40</v>
      </c>
      <c r="F502">
        <v>16.418787002999998</v>
      </c>
      <c r="G502">
        <v>1337.7363281</v>
      </c>
      <c r="H502">
        <v>1335.8398437999999</v>
      </c>
      <c r="I502">
        <v>1324.5021973</v>
      </c>
      <c r="J502">
        <v>1321.6336670000001</v>
      </c>
      <c r="K502">
        <v>1650</v>
      </c>
      <c r="L502">
        <v>0</v>
      </c>
      <c r="M502">
        <v>0</v>
      </c>
      <c r="N502">
        <v>1650</v>
      </c>
    </row>
    <row r="503" spans="1:14" x14ac:dyDescent="0.25">
      <c r="A503">
        <v>87.439429000000004</v>
      </c>
      <c r="B503" s="1">
        <f>DATE(2010,7,27) + TIME(10,32,46)</f>
        <v>40386.439421296294</v>
      </c>
      <c r="C503">
        <v>80</v>
      </c>
      <c r="D503">
        <v>79.935272217000005</v>
      </c>
      <c r="E503">
        <v>40</v>
      </c>
      <c r="F503">
        <v>16.580020905000001</v>
      </c>
      <c r="G503">
        <v>1337.7321777</v>
      </c>
      <c r="H503">
        <v>1335.8367920000001</v>
      </c>
      <c r="I503">
        <v>1324.5096435999999</v>
      </c>
      <c r="J503">
        <v>1321.6403809000001</v>
      </c>
      <c r="K503">
        <v>1650</v>
      </c>
      <c r="L503">
        <v>0</v>
      </c>
      <c r="M503">
        <v>0</v>
      </c>
      <c r="N503">
        <v>1650</v>
      </c>
    </row>
    <row r="504" spans="1:14" x14ac:dyDescent="0.25">
      <c r="A504">
        <v>88.071798000000001</v>
      </c>
      <c r="B504" s="1">
        <f>DATE(2010,7,28) + TIME(1,43,23)</f>
        <v>40387.071793981479</v>
      </c>
      <c r="C504">
        <v>80</v>
      </c>
      <c r="D504">
        <v>79.935302734000004</v>
      </c>
      <c r="E504">
        <v>40</v>
      </c>
      <c r="F504">
        <v>16.758169173999999</v>
      </c>
      <c r="G504">
        <v>1337.7281493999999</v>
      </c>
      <c r="H504">
        <v>1335.8337402</v>
      </c>
      <c r="I504">
        <v>1324.5172118999999</v>
      </c>
      <c r="J504">
        <v>1321.6473389</v>
      </c>
      <c r="K504">
        <v>1650</v>
      </c>
      <c r="L504">
        <v>0</v>
      </c>
      <c r="M504">
        <v>0</v>
      </c>
      <c r="N504">
        <v>1650</v>
      </c>
    </row>
    <row r="505" spans="1:14" x14ac:dyDescent="0.25">
      <c r="A505">
        <v>88.392103000000006</v>
      </c>
      <c r="B505" s="1">
        <f>DATE(2010,7,28) + TIME(9,24,37)</f>
        <v>40387.392094907409</v>
      </c>
      <c r="C505">
        <v>80</v>
      </c>
      <c r="D505">
        <v>79.935310364000003</v>
      </c>
      <c r="E505">
        <v>40</v>
      </c>
      <c r="F505">
        <v>16.878177643000001</v>
      </c>
      <c r="G505">
        <v>1337.723999</v>
      </c>
      <c r="H505">
        <v>1335.8305664</v>
      </c>
      <c r="I505">
        <v>1324.5275879000001</v>
      </c>
      <c r="J505">
        <v>1321.6542969</v>
      </c>
      <c r="K505">
        <v>1650</v>
      </c>
      <c r="L505">
        <v>0</v>
      </c>
      <c r="M505">
        <v>0</v>
      </c>
      <c r="N505">
        <v>1650</v>
      </c>
    </row>
    <row r="506" spans="1:14" x14ac:dyDescent="0.25">
      <c r="A506">
        <v>88.712128000000007</v>
      </c>
      <c r="B506" s="1">
        <f>DATE(2010,7,28) + TIME(17,5,27)</f>
        <v>40387.712118055555</v>
      </c>
      <c r="C506">
        <v>80</v>
      </c>
      <c r="D506">
        <v>79.935325622999997</v>
      </c>
      <c r="E506">
        <v>40</v>
      </c>
      <c r="F506">
        <v>16.999023437999998</v>
      </c>
      <c r="G506">
        <v>1337.7219238</v>
      </c>
      <c r="H506">
        <v>1335.8289795000001</v>
      </c>
      <c r="I506">
        <v>1324.53125</v>
      </c>
      <c r="J506">
        <v>1321.6584473</v>
      </c>
      <c r="K506">
        <v>1650</v>
      </c>
      <c r="L506">
        <v>0</v>
      </c>
      <c r="M506">
        <v>0</v>
      </c>
      <c r="N506">
        <v>1650</v>
      </c>
    </row>
    <row r="507" spans="1:14" x14ac:dyDescent="0.25">
      <c r="A507">
        <v>89.032146999999995</v>
      </c>
      <c r="B507" s="1">
        <f>DATE(2010,7,29) + TIME(0,46,17)</f>
        <v>40388.032141203701</v>
      </c>
      <c r="C507">
        <v>80</v>
      </c>
      <c r="D507">
        <v>79.935340881000002</v>
      </c>
      <c r="E507">
        <v>40</v>
      </c>
      <c r="F507">
        <v>17.121908187999999</v>
      </c>
      <c r="G507">
        <v>1337.7198486</v>
      </c>
      <c r="H507">
        <v>1335.8273925999999</v>
      </c>
      <c r="I507">
        <v>1324.5349120999999</v>
      </c>
      <c r="J507">
        <v>1321.6628418</v>
      </c>
      <c r="K507">
        <v>1650</v>
      </c>
      <c r="L507">
        <v>0</v>
      </c>
      <c r="M507">
        <v>0</v>
      </c>
      <c r="N507">
        <v>1650</v>
      </c>
    </row>
    <row r="508" spans="1:14" x14ac:dyDescent="0.25">
      <c r="A508">
        <v>89.352165999999997</v>
      </c>
      <c r="B508" s="1">
        <f>DATE(2010,7,29) + TIME(8,27,7)</f>
        <v>40388.352164351854</v>
      </c>
      <c r="C508">
        <v>80</v>
      </c>
      <c r="D508">
        <v>79.935356139999996</v>
      </c>
      <c r="E508">
        <v>40</v>
      </c>
      <c r="F508">
        <v>17.247682570999999</v>
      </c>
      <c r="G508">
        <v>1337.7177733999999</v>
      </c>
      <c r="H508">
        <v>1335.8258057</v>
      </c>
      <c r="I508">
        <v>1324.5385742000001</v>
      </c>
      <c r="J508">
        <v>1321.6672363</v>
      </c>
      <c r="K508">
        <v>1650</v>
      </c>
      <c r="L508">
        <v>0</v>
      </c>
      <c r="M508">
        <v>0</v>
      </c>
      <c r="N508">
        <v>1650</v>
      </c>
    </row>
    <row r="509" spans="1:14" x14ac:dyDescent="0.25">
      <c r="A509">
        <v>89.672184999999999</v>
      </c>
      <c r="B509" s="1">
        <f>DATE(2010,7,29) + TIME(16,7,56)</f>
        <v>40388.672175925924</v>
      </c>
      <c r="C509">
        <v>80</v>
      </c>
      <c r="D509">
        <v>79.935371399000005</v>
      </c>
      <c r="E509">
        <v>40</v>
      </c>
      <c r="F509">
        <v>17.376981735000001</v>
      </c>
      <c r="G509">
        <v>1337.7156981999999</v>
      </c>
      <c r="H509">
        <v>1335.8242187999999</v>
      </c>
      <c r="I509">
        <v>1324.5423584</v>
      </c>
      <c r="J509">
        <v>1321.6716309000001</v>
      </c>
      <c r="K509">
        <v>1650</v>
      </c>
      <c r="L509">
        <v>0</v>
      </c>
      <c r="M509">
        <v>0</v>
      </c>
      <c r="N509">
        <v>1650</v>
      </c>
    </row>
    <row r="510" spans="1:14" x14ac:dyDescent="0.25">
      <c r="A510">
        <v>89.992204999999998</v>
      </c>
      <c r="B510" s="1">
        <f>DATE(2010,7,29) + TIME(23,48,46)</f>
        <v>40388.992199074077</v>
      </c>
      <c r="C510">
        <v>80</v>
      </c>
      <c r="D510">
        <v>79.935386657999999</v>
      </c>
      <c r="E510">
        <v>40</v>
      </c>
      <c r="F510">
        <v>17.510269165</v>
      </c>
      <c r="G510">
        <v>1337.7136230000001</v>
      </c>
      <c r="H510">
        <v>1335.8227539</v>
      </c>
      <c r="I510">
        <v>1324.5461425999999</v>
      </c>
      <c r="J510">
        <v>1321.6762695</v>
      </c>
      <c r="K510">
        <v>1650</v>
      </c>
      <c r="L510">
        <v>0</v>
      </c>
      <c r="M510">
        <v>0</v>
      </c>
      <c r="N510">
        <v>1650</v>
      </c>
    </row>
    <row r="511" spans="1:14" x14ac:dyDescent="0.25">
      <c r="A511">
        <v>90.312224000000001</v>
      </c>
      <c r="B511" s="1">
        <f>DATE(2010,7,30) + TIME(7,29,36)</f>
        <v>40389.312222222223</v>
      </c>
      <c r="C511">
        <v>80</v>
      </c>
      <c r="D511">
        <v>79.935409546000002</v>
      </c>
      <c r="E511">
        <v>40</v>
      </c>
      <c r="F511">
        <v>17.647891997999999</v>
      </c>
      <c r="G511">
        <v>1337.7115478999999</v>
      </c>
      <c r="H511">
        <v>1335.8211670000001</v>
      </c>
      <c r="I511">
        <v>1324.5499268000001</v>
      </c>
      <c r="J511">
        <v>1321.6809082</v>
      </c>
      <c r="K511">
        <v>1650</v>
      </c>
      <c r="L511">
        <v>0</v>
      </c>
      <c r="M511">
        <v>0</v>
      </c>
      <c r="N511">
        <v>1650</v>
      </c>
    </row>
    <row r="512" spans="1:14" x14ac:dyDescent="0.25">
      <c r="A512">
        <v>90.632243000000003</v>
      </c>
      <c r="B512" s="1">
        <f>DATE(2010,7,30) + TIME(15,10,25)</f>
        <v>40389.632233796299</v>
      </c>
      <c r="C512">
        <v>80</v>
      </c>
      <c r="D512">
        <v>79.935424804999997</v>
      </c>
      <c r="E512">
        <v>40</v>
      </c>
      <c r="F512">
        <v>17.790092468000001</v>
      </c>
      <c r="G512">
        <v>1337.7095947</v>
      </c>
      <c r="H512">
        <v>1335.8195800999999</v>
      </c>
      <c r="I512">
        <v>1324.5535889</v>
      </c>
      <c r="J512">
        <v>1321.6856689000001</v>
      </c>
      <c r="K512">
        <v>1650</v>
      </c>
      <c r="L512">
        <v>0</v>
      </c>
      <c r="M512">
        <v>0</v>
      </c>
      <c r="N512">
        <v>1650</v>
      </c>
    </row>
    <row r="513" spans="1:14" x14ac:dyDescent="0.25">
      <c r="A513">
        <v>90.952262000000005</v>
      </c>
      <c r="B513" s="1">
        <f>DATE(2010,7,30) + TIME(22,51,15)</f>
        <v>40389.952256944445</v>
      </c>
      <c r="C513">
        <v>80</v>
      </c>
      <c r="D513">
        <v>79.935440063000001</v>
      </c>
      <c r="E513">
        <v>40</v>
      </c>
      <c r="F513">
        <v>17.937042236</v>
      </c>
      <c r="G513">
        <v>1337.7075195</v>
      </c>
      <c r="H513">
        <v>1335.8181152</v>
      </c>
      <c r="I513">
        <v>1324.5573730000001</v>
      </c>
      <c r="J513">
        <v>1321.6905518000001</v>
      </c>
      <c r="K513">
        <v>1650</v>
      </c>
      <c r="L513">
        <v>0</v>
      </c>
      <c r="M513">
        <v>0</v>
      </c>
      <c r="N513">
        <v>1650</v>
      </c>
    </row>
    <row r="514" spans="1:14" x14ac:dyDescent="0.25">
      <c r="A514">
        <v>91.272281000000007</v>
      </c>
      <c r="B514" s="1">
        <f>DATE(2010,7,31) + TIME(6,32,5)</f>
        <v>40390.272280092591</v>
      </c>
      <c r="C514">
        <v>80</v>
      </c>
      <c r="D514">
        <v>79.935462951999995</v>
      </c>
      <c r="E514">
        <v>40</v>
      </c>
      <c r="F514">
        <v>18.088855743</v>
      </c>
      <c r="G514">
        <v>1337.7054443</v>
      </c>
      <c r="H514">
        <v>1335.8165283000001</v>
      </c>
      <c r="I514">
        <v>1324.5611572</v>
      </c>
      <c r="J514">
        <v>1321.6954346</v>
      </c>
      <c r="K514">
        <v>1650</v>
      </c>
      <c r="L514">
        <v>0</v>
      </c>
      <c r="M514">
        <v>0</v>
      </c>
      <c r="N514">
        <v>1650</v>
      </c>
    </row>
    <row r="515" spans="1:14" x14ac:dyDescent="0.25">
      <c r="A515">
        <v>91.592299999999994</v>
      </c>
      <c r="B515" s="1">
        <f>DATE(2010,7,31) + TIME(14,12,54)</f>
        <v>40390.592291666668</v>
      </c>
      <c r="C515">
        <v>80</v>
      </c>
      <c r="D515">
        <v>79.935478209999999</v>
      </c>
      <c r="E515">
        <v>40</v>
      </c>
      <c r="F515">
        <v>18.245605469000001</v>
      </c>
      <c r="G515">
        <v>1337.7034911999999</v>
      </c>
      <c r="H515">
        <v>1335.8150635</v>
      </c>
      <c r="I515">
        <v>1324.5648193</v>
      </c>
      <c r="J515">
        <v>1321.7005615</v>
      </c>
      <c r="K515">
        <v>1650</v>
      </c>
      <c r="L515">
        <v>0</v>
      </c>
      <c r="M515">
        <v>0</v>
      </c>
      <c r="N515">
        <v>1650</v>
      </c>
    </row>
    <row r="516" spans="1:14" x14ac:dyDescent="0.25">
      <c r="A516">
        <v>92</v>
      </c>
      <c r="B516" s="1">
        <f>DATE(2010,8,1) + TIME(0,0,0)</f>
        <v>40391</v>
      </c>
      <c r="C516">
        <v>80</v>
      </c>
      <c r="D516">
        <v>79.935501099000007</v>
      </c>
      <c r="E516">
        <v>40</v>
      </c>
      <c r="F516">
        <v>18.439374923999999</v>
      </c>
      <c r="G516">
        <v>1337.7015381000001</v>
      </c>
      <c r="H516">
        <v>1335.8134766000001</v>
      </c>
      <c r="I516">
        <v>1324.5671387</v>
      </c>
      <c r="J516">
        <v>1321.7059326000001</v>
      </c>
      <c r="K516">
        <v>1650</v>
      </c>
      <c r="L516">
        <v>0</v>
      </c>
      <c r="M516">
        <v>0</v>
      </c>
      <c r="N516">
        <v>1650</v>
      </c>
    </row>
    <row r="517" spans="1:14" x14ac:dyDescent="0.25">
      <c r="A517">
        <v>92.320019000000002</v>
      </c>
      <c r="B517" s="1">
        <f>DATE(2010,8,1) + TIME(7,40,49)</f>
        <v>40391.320011574076</v>
      </c>
      <c r="C517">
        <v>80</v>
      </c>
      <c r="D517">
        <v>79.935516356999997</v>
      </c>
      <c r="E517">
        <v>40</v>
      </c>
      <c r="F517">
        <v>18.610084533999999</v>
      </c>
      <c r="G517">
        <v>1337.6989745999999</v>
      </c>
      <c r="H517">
        <v>1335.8115233999999</v>
      </c>
      <c r="I517">
        <v>1324.5733643000001</v>
      </c>
      <c r="J517">
        <v>1321.7124022999999</v>
      </c>
      <c r="K517">
        <v>1650</v>
      </c>
      <c r="L517">
        <v>0</v>
      </c>
      <c r="M517">
        <v>0</v>
      </c>
      <c r="N517">
        <v>1650</v>
      </c>
    </row>
    <row r="518" spans="1:14" x14ac:dyDescent="0.25">
      <c r="A518">
        <v>92.640038000000004</v>
      </c>
      <c r="B518" s="1">
        <f>DATE(2010,8,1) + TIME(15,21,39)</f>
        <v>40391.640034722222</v>
      </c>
      <c r="C518">
        <v>80</v>
      </c>
      <c r="D518">
        <v>79.935539246000005</v>
      </c>
      <c r="E518">
        <v>40</v>
      </c>
      <c r="F518">
        <v>18.784738540999999</v>
      </c>
      <c r="G518">
        <v>1337.6968993999999</v>
      </c>
      <c r="H518">
        <v>1335.8100586</v>
      </c>
      <c r="I518">
        <v>1324.5769043</v>
      </c>
      <c r="J518">
        <v>1321.7177733999999</v>
      </c>
      <c r="K518">
        <v>1650</v>
      </c>
      <c r="L518">
        <v>0</v>
      </c>
      <c r="M518">
        <v>0</v>
      </c>
      <c r="N518">
        <v>1650</v>
      </c>
    </row>
    <row r="519" spans="1:14" x14ac:dyDescent="0.25">
      <c r="A519">
        <v>92.960058000000004</v>
      </c>
      <c r="B519" s="1">
        <f>DATE(2010,8,1) + TIME(23,2,28)</f>
        <v>40391.960046296299</v>
      </c>
      <c r="C519">
        <v>80</v>
      </c>
      <c r="D519">
        <v>79.935554503999995</v>
      </c>
      <c r="E519">
        <v>40</v>
      </c>
      <c r="F519">
        <v>18.963647842</v>
      </c>
      <c r="G519">
        <v>1337.6949463000001</v>
      </c>
      <c r="H519">
        <v>1335.8084716999999</v>
      </c>
      <c r="I519">
        <v>1324.5804443</v>
      </c>
      <c r="J519">
        <v>1321.7233887</v>
      </c>
      <c r="K519">
        <v>1650</v>
      </c>
      <c r="L519">
        <v>0</v>
      </c>
      <c r="M519">
        <v>0</v>
      </c>
      <c r="N519">
        <v>1650</v>
      </c>
    </row>
    <row r="520" spans="1:14" x14ac:dyDescent="0.25">
      <c r="A520">
        <v>93.280077000000006</v>
      </c>
      <c r="B520" s="1">
        <f>DATE(2010,8,2) + TIME(6,43,18)</f>
        <v>40392.280069444445</v>
      </c>
      <c r="C520">
        <v>80</v>
      </c>
      <c r="D520">
        <v>79.935569763000004</v>
      </c>
      <c r="E520">
        <v>40</v>
      </c>
      <c r="F520">
        <v>19.147008895999999</v>
      </c>
      <c r="G520">
        <v>1337.6929932</v>
      </c>
      <c r="H520">
        <v>1335.8070068</v>
      </c>
      <c r="I520">
        <v>1324.5841064000001</v>
      </c>
      <c r="J520">
        <v>1321.7290039</v>
      </c>
      <c r="K520">
        <v>1650</v>
      </c>
      <c r="L520">
        <v>0</v>
      </c>
      <c r="M520">
        <v>0</v>
      </c>
      <c r="N520">
        <v>1650</v>
      </c>
    </row>
    <row r="521" spans="1:14" x14ac:dyDescent="0.25">
      <c r="A521">
        <v>93.600095999999994</v>
      </c>
      <c r="B521" s="1">
        <f>DATE(2010,8,2) + TIME(14,24,8)</f>
        <v>40392.600092592591</v>
      </c>
      <c r="C521">
        <v>80</v>
      </c>
      <c r="D521">
        <v>79.935592650999993</v>
      </c>
      <c r="E521">
        <v>40</v>
      </c>
      <c r="F521">
        <v>19.334953307999999</v>
      </c>
      <c r="G521">
        <v>1337.6910399999999</v>
      </c>
      <c r="H521">
        <v>1335.8055420000001</v>
      </c>
      <c r="I521">
        <v>1324.5876464999999</v>
      </c>
      <c r="J521">
        <v>1321.7348632999999</v>
      </c>
      <c r="K521">
        <v>1650</v>
      </c>
      <c r="L521">
        <v>0</v>
      </c>
      <c r="M521">
        <v>0</v>
      </c>
      <c r="N521">
        <v>1650</v>
      </c>
    </row>
    <row r="522" spans="1:14" x14ac:dyDescent="0.25">
      <c r="A522">
        <v>93.920114999999996</v>
      </c>
      <c r="B522" s="1">
        <f>DATE(2010,8,2) + TIME(22,4,57)</f>
        <v>40392.920104166667</v>
      </c>
      <c r="C522">
        <v>80</v>
      </c>
      <c r="D522">
        <v>79.935607910000002</v>
      </c>
      <c r="E522">
        <v>40</v>
      </c>
      <c r="F522">
        <v>19.527545928999999</v>
      </c>
      <c r="G522">
        <v>1337.6890868999999</v>
      </c>
      <c r="H522">
        <v>1335.8039550999999</v>
      </c>
      <c r="I522">
        <v>1324.5910644999999</v>
      </c>
      <c r="J522">
        <v>1321.7407227000001</v>
      </c>
      <c r="K522">
        <v>1650</v>
      </c>
      <c r="L522">
        <v>0</v>
      </c>
      <c r="M522">
        <v>0</v>
      </c>
      <c r="N522">
        <v>1650</v>
      </c>
    </row>
    <row r="523" spans="1:14" x14ac:dyDescent="0.25">
      <c r="A523">
        <v>94.240133999999998</v>
      </c>
      <c r="B523" s="1">
        <f>DATE(2010,8,3) + TIME(5,45,47)</f>
        <v>40393.240127314813</v>
      </c>
      <c r="C523">
        <v>80</v>
      </c>
      <c r="D523">
        <v>79.935623168999996</v>
      </c>
      <c r="E523">
        <v>40</v>
      </c>
      <c r="F523">
        <v>19.724794387999999</v>
      </c>
      <c r="G523">
        <v>1337.6871338000001</v>
      </c>
      <c r="H523">
        <v>1335.8024902</v>
      </c>
      <c r="I523">
        <v>1324.5946045000001</v>
      </c>
      <c r="J523">
        <v>1321.7467041</v>
      </c>
      <c r="K523">
        <v>1650</v>
      </c>
      <c r="L523">
        <v>0</v>
      </c>
      <c r="M523">
        <v>0</v>
      </c>
      <c r="N523">
        <v>1650</v>
      </c>
    </row>
    <row r="524" spans="1:14" x14ac:dyDescent="0.25">
      <c r="A524">
        <v>94.880172999999999</v>
      </c>
      <c r="B524" s="1">
        <f>DATE(2010,8,3) + TIME(21,7,26)</f>
        <v>40393.880162037036</v>
      </c>
      <c r="C524">
        <v>80</v>
      </c>
      <c r="D524">
        <v>79.935668945000003</v>
      </c>
      <c r="E524">
        <v>40</v>
      </c>
      <c r="F524">
        <v>20.052297591999999</v>
      </c>
      <c r="G524">
        <v>1337.6851807</v>
      </c>
      <c r="H524">
        <v>1335.8010254000001</v>
      </c>
      <c r="I524">
        <v>1324.5938721</v>
      </c>
      <c r="J524">
        <v>1321.7539062000001</v>
      </c>
      <c r="K524">
        <v>1650</v>
      </c>
      <c r="L524">
        <v>0</v>
      </c>
      <c r="M524">
        <v>0</v>
      </c>
      <c r="N524">
        <v>1650</v>
      </c>
    </row>
    <row r="525" spans="1:14" x14ac:dyDescent="0.25">
      <c r="A525">
        <v>95.522075000000001</v>
      </c>
      <c r="B525" s="1">
        <f>DATE(2010,8,4) + TIME(12,31,47)</f>
        <v>40394.52207175926</v>
      </c>
      <c r="C525">
        <v>80</v>
      </c>
      <c r="D525">
        <v>79.935714722</v>
      </c>
      <c r="E525">
        <v>40</v>
      </c>
      <c r="F525">
        <v>20.424005508</v>
      </c>
      <c r="G525">
        <v>1337.6812743999999</v>
      </c>
      <c r="H525">
        <v>1335.7980957</v>
      </c>
      <c r="I525">
        <v>1324.6016846</v>
      </c>
      <c r="J525">
        <v>1321.7653809000001</v>
      </c>
      <c r="K525">
        <v>1650</v>
      </c>
      <c r="L525">
        <v>0</v>
      </c>
      <c r="M525">
        <v>0</v>
      </c>
      <c r="N525">
        <v>1650</v>
      </c>
    </row>
    <row r="526" spans="1:14" x14ac:dyDescent="0.25">
      <c r="A526">
        <v>96.183391999999998</v>
      </c>
      <c r="B526" s="1">
        <f>DATE(2010,8,5) + TIME(4,24,5)</f>
        <v>40395.183391203704</v>
      </c>
      <c r="C526">
        <v>80</v>
      </c>
      <c r="D526">
        <v>79.935752868999998</v>
      </c>
      <c r="E526">
        <v>40</v>
      </c>
      <c r="F526">
        <v>20.834230423000001</v>
      </c>
      <c r="G526">
        <v>1337.6774902</v>
      </c>
      <c r="H526">
        <v>1335.7951660000001</v>
      </c>
      <c r="I526">
        <v>1324.6087646000001</v>
      </c>
      <c r="J526">
        <v>1321.7777100000001</v>
      </c>
      <c r="K526">
        <v>1650</v>
      </c>
      <c r="L526">
        <v>0</v>
      </c>
      <c r="M526">
        <v>0</v>
      </c>
      <c r="N526">
        <v>1650</v>
      </c>
    </row>
    <row r="527" spans="1:14" x14ac:dyDescent="0.25">
      <c r="A527">
        <v>96.865847000000002</v>
      </c>
      <c r="B527" s="1">
        <f>DATE(2010,8,5) + TIME(20,46,49)</f>
        <v>40395.865844907406</v>
      </c>
      <c r="C527">
        <v>80</v>
      </c>
      <c r="D527">
        <v>79.935791015999996</v>
      </c>
      <c r="E527">
        <v>40</v>
      </c>
      <c r="F527">
        <v>21.280069351000002</v>
      </c>
      <c r="G527">
        <v>1337.6735839999999</v>
      </c>
      <c r="H527">
        <v>1335.7921143000001</v>
      </c>
      <c r="I527">
        <v>1324.6158447</v>
      </c>
      <c r="J527">
        <v>1321.7907714999999</v>
      </c>
      <c r="K527">
        <v>1650</v>
      </c>
      <c r="L527">
        <v>0</v>
      </c>
      <c r="M527">
        <v>0</v>
      </c>
      <c r="N527">
        <v>1650</v>
      </c>
    </row>
    <row r="528" spans="1:14" x14ac:dyDescent="0.25">
      <c r="A528">
        <v>97.207893999999996</v>
      </c>
      <c r="B528" s="1">
        <f>DATE(2010,8,6) + TIME(4,59,22)</f>
        <v>40396.20789351852</v>
      </c>
      <c r="C528">
        <v>80</v>
      </c>
      <c r="D528">
        <v>79.935806274000001</v>
      </c>
      <c r="E528">
        <v>40</v>
      </c>
      <c r="F528">
        <v>21.576532363999998</v>
      </c>
      <c r="G528">
        <v>1337.6694336</v>
      </c>
      <c r="H528">
        <v>1335.7890625</v>
      </c>
      <c r="I528">
        <v>1324.6292725000001</v>
      </c>
      <c r="J528">
        <v>1321.8033447</v>
      </c>
      <c r="K528">
        <v>1650</v>
      </c>
      <c r="L528">
        <v>0</v>
      </c>
      <c r="M528">
        <v>0</v>
      </c>
      <c r="N528">
        <v>1650</v>
      </c>
    </row>
    <row r="529" spans="1:14" x14ac:dyDescent="0.25">
      <c r="A529">
        <v>97.548311999999996</v>
      </c>
      <c r="B529" s="1">
        <f>DATE(2010,8,6) + TIME(13,9,34)</f>
        <v>40396.548310185186</v>
      </c>
      <c r="C529">
        <v>80</v>
      </c>
      <c r="D529">
        <v>79.935821532999995</v>
      </c>
      <c r="E529">
        <v>40</v>
      </c>
      <c r="F529">
        <v>21.870286942</v>
      </c>
      <c r="G529">
        <v>1337.6674805</v>
      </c>
      <c r="H529">
        <v>1335.7874756000001</v>
      </c>
      <c r="I529">
        <v>1324.6319579999999</v>
      </c>
      <c r="J529">
        <v>1321.8114014</v>
      </c>
      <c r="K529">
        <v>1650</v>
      </c>
      <c r="L529">
        <v>0</v>
      </c>
      <c r="M529">
        <v>0</v>
      </c>
      <c r="N529">
        <v>1650</v>
      </c>
    </row>
    <row r="530" spans="1:14" x14ac:dyDescent="0.25">
      <c r="A530">
        <v>97.888731000000007</v>
      </c>
      <c r="B530" s="1">
        <f>DATE(2010,8,6) + TIME(21,19,46)</f>
        <v>40396.888726851852</v>
      </c>
      <c r="C530">
        <v>80</v>
      </c>
      <c r="D530">
        <v>79.935844420999999</v>
      </c>
      <c r="E530">
        <v>40</v>
      </c>
      <c r="F530">
        <v>22.162063599</v>
      </c>
      <c r="G530">
        <v>1337.6655272999999</v>
      </c>
      <c r="H530">
        <v>1335.7860106999999</v>
      </c>
      <c r="I530">
        <v>1324.6346435999999</v>
      </c>
      <c r="J530">
        <v>1321.8193358999999</v>
      </c>
      <c r="K530">
        <v>1650</v>
      </c>
      <c r="L530">
        <v>0</v>
      </c>
      <c r="M530">
        <v>0</v>
      </c>
      <c r="N530">
        <v>1650</v>
      </c>
    </row>
    <row r="531" spans="1:14" x14ac:dyDescent="0.25">
      <c r="A531">
        <v>98.229150000000004</v>
      </c>
      <c r="B531" s="1">
        <f>DATE(2010,8,7) + TIME(5,29,58)</f>
        <v>40397.229143518518</v>
      </c>
      <c r="C531">
        <v>80</v>
      </c>
      <c r="D531">
        <v>79.935859679999993</v>
      </c>
      <c r="E531">
        <v>40</v>
      </c>
      <c r="F531">
        <v>22.451929092</v>
      </c>
      <c r="G531">
        <v>1337.6634521000001</v>
      </c>
      <c r="H531">
        <v>1335.7844238</v>
      </c>
      <c r="I531">
        <v>1324.6373291</v>
      </c>
      <c r="J531">
        <v>1321.8273925999999</v>
      </c>
      <c r="K531">
        <v>1650</v>
      </c>
      <c r="L531">
        <v>0</v>
      </c>
      <c r="M531">
        <v>0</v>
      </c>
      <c r="N531">
        <v>1650</v>
      </c>
    </row>
    <row r="532" spans="1:14" x14ac:dyDescent="0.25">
      <c r="A532">
        <v>98.569569000000001</v>
      </c>
      <c r="B532" s="1">
        <f>DATE(2010,8,7) + TIME(13,40,10)</f>
        <v>40397.569560185184</v>
      </c>
      <c r="C532">
        <v>80</v>
      </c>
      <c r="D532">
        <v>79.935882567999997</v>
      </c>
      <c r="E532">
        <v>40</v>
      </c>
      <c r="F532">
        <v>22.740091324000002</v>
      </c>
      <c r="G532">
        <v>1337.661499</v>
      </c>
      <c r="H532">
        <v>1335.7829589999999</v>
      </c>
      <c r="I532">
        <v>1324.6401367000001</v>
      </c>
      <c r="J532">
        <v>1321.8353271000001</v>
      </c>
      <c r="K532">
        <v>1650</v>
      </c>
      <c r="L532">
        <v>0</v>
      </c>
      <c r="M532">
        <v>0</v>
      </c>
      <c r="N532">
        <v>1650</v>
      </c>
    </row>
    <row r="533" spans="1:14" x14ac:dyDescent="0.25">
      <c r="A533">
        <v>98.909987000000001</v>
      </c>
      <c r="B533" s="1">
        <f>DATE(2010,8,7) + TIME(21,50,22)</f>
        <v>40397.90997685185</v>
      </c>
      <c r="C533">
        <v>80</v>
      </c>
      <c r="D533">
        <v>79.935897827000005</v>
      </c>
      <c r="E533">
        <v>40</v>
      </c>
      <c r="F533">
        <v>23.026838303000002</v>
      </c>
      <c r="G533">
        <v>1337.6595459</v>
      </c>
      <c r="H533">
        <v>1335.7814940999999</v>
      </c>
      <c r="I533">
        <v>1324.6430664</v>
      </c>
      <c r="J533">
        <v>1321.8433838000001</v>
      </c>
      <c r="K533">
        <v>1650</v>
      </c>
      <c r="L533">
        <v>0</v>
      </c>
      <c r="M533">
        <v>0</v>
      </c>
      <c r="N533">
        <v>1650</v>
      </c>
    </row>
    <row r="534" spans="1:14" x14ac:dyDescent="0.25">
      <c r="A534">
        <v>99.250405999999998</v>
      </c>
      <c r="B534" s="1">
        <f>DATE(2010,8,8) + TIME(6,0,35)</f>
        <v>40398.250405092593</v>
      </c>
      <c r="C534">
        <v>80</v>
      </c>
      <c r="D534">
        <v>79.935920714999995</v>
      </c>
      <c r="E534">
        <v>40</v>
      </c>
      <c r="F534">
        <v>23.312482834000001</v>
      </c>
      <c r="G534">
        <v>1337.6575928</v>
      </c>
      <c r="H534">
        <v>1335.7799072</v>
      </c>
      <c r="I534">
        <v>1324.6459961</v>
      </c>
      <c r="J534">
        <v>1321.8513184000001</v>
      </c>
      <c r="K534">
        <v>1650</v>
      </c>
      <c r="L534">
        <v>0</v>
      </c>
      <c r="M534">
        <v>0</v>
      </c>
      <c r="N534">
        <v>1650</v>
      </c>
    </row>
    <row r="535" spans="1:14" x14ac:dyDescent="0.25">
      <c r="A535">
        <v>99.590824999999995</v>
      </c>
      <c r="B535" s="1">
        <f>DATE(2010,8,8) + TIME(14,10,47)</f>
        <v>40398.590821759259</v>
      </c>
      <c r="C535">
        <v>80</v>
      </c>
      <c r="D535">
        <v>79.935943604000002</v>
      </c>
      <c r="E535">
        <v>40</v>
      </c>
      <c r="F535">
        <v>23.597335815000001</v>
      </c>
      <c r="G535">
        <v>1337.6557617000001</v>
      </c>
      <c r="H535">
        <v>1335.7784423999999</v>
      </c>
      <c r="I535">
        <v>1324.6490478999999</v>
      </c>
      <c r="J535">
        <v>1321.859375</v>
      </c>
      <c r="K535">
        <v>1650</v>
      </c>
      <c r="L535">
        <v>0</v>
      </c>
      <c r="M535">
        <v>0</v>
      </c>
      <c r="N535">
        <v>1650</v>
      </c>
    </row>
    <row r="536" spans="1:14" x14ac:dyDescent="0.25">
      <c r="A536">
        <v>99.931244000000007</v>
      </c>
      <c r="B536" s="1">
        <f>DATE(2010,8,8) + TIME(22,20,59)</f>
        <v>40398.931238425925</v>
      </c>
      <c r="C536">
        <v>80</v>
      </c>
      <c r="D536">
        <v>79.935958862000007</v>
      </c>
      <c r="E536">
        <v>40</v>
      </c>
      <c r="F536">
        <v>23.881673812999999</v>
      </c>
      <c r="G536">
        <v>1337.6538086</v>
      </c>
      <c r="H536">
        <v>1335.7769774999999</v>
      </c>
      <c r="I536">
        <v>1324.6520995999999</v>
      </c>
      <c r="J536">
        <v>1321.8673096</v>
      </c>
      <c r="K536">
        <v>1650</v>
      </c>
      <c r="L536">
        <v>0</v>
      </c>
      <c r="M536">
        <v>0</v>
      </c>
      <c r="N536">
        <v>1650</v>
      </c>
    </row>
    <row r="537" spans="1:14" x14ac:dyDescent="0.25">
      <c r="A537">
        <v>100.612081</v>
      </c>
      <c r="B537" s="1">
        <f>DATE(2010,8,9) + TIME(14,41,23)</f>
        <v>40399.612071759257</v>
      </c>
      <c r="C537">
        <v>80</v>
      </c>
      <c r="D537">
        <v>79.936012267999999</v>
      </c>
      <c r="E537">
        <v>40</v>
      </c>
      <c r="F537">
        <v>24.330631256</v>
      </c>
      <c r="G537">
        <v>1337.6518555</v>
      </c>
      <c r="H537">
        <v>1335.7755127</v>
      </c>
      <c r="I537">
        <v>1324.6497803</v>
      </c>
      <c r="J537">
        <v>1321.8767089999999</v>
      </c>
      <c r="K537">
        <v>1650</v>
      </c>
      <c r="L537">
        <v>0</v>
      </c>
      <c r="M537">
        <v>0</v>
      </c>
      <c r="N537">
        <v>1650</v>
      </c>
    </row>
    <row r="538" spans="1:14" x14ac:dyDescent="0.25">
      <c r="A538">
        <v>101.29355</v>
      </c>
      <c r="B538" s="1">
        <f>DATE(2010,8,10) + TIME(7,2,42)</f>
        <v>40400.293541666666</v>
      </c>
      <c r="C538">
        <v>80</v>
      </c>
      <c r="D538">
        <v>79.936058044000006</v>
      </c>
      <c r="E538">
        <v>40</v>
      </c>
      <c r="F538">
        <v>24.804903029999998</v>
      </c>
      <c r="G538">
        <v>1337.6480713000001</v>
      </c>
      <c r="H538">
        <v>1335.7727050999999</v>
      </c>
      <c r="I538">
        <v>1324.6577147999999</v>
      </c>
      <c r="J538">
        <v>1321.8911132999999</v>
      </c>
      <c r="K538">
        <v>1650</v>
      </c>
      <c r="L538">
        <v>0</v>
      </c>
      <c r="M538">
        <v>0</v>
      </c>
      <c r="N538">
        <v>1650</v>
      </c>
    </row>
    <row r="539" spans="1:14" x14ac:dyDescent="0.25">
      <c r="A539">
        <v>102.004762</v>
      </c>
      <c r="B539" s="1">
        <f>DATE(2010,8,11) + TIME(0,6,51)</f>
        <v>40401.004756944443</v>
      </c>
      <c r="C539">
        <v>80</v>
      </c>
      <c r="D539">
        <v>79.936103821000003</v>
      </c>
      <c r="E539">
        <v>40</v>
      </c>
      <c r="F539">
        <v>25.321578979000002</v>
      </c>
      <c r="G539">
        <v>1337.6444091999999</v>
      </c>
      <c r="H539">
        <v>1335.7697754000001</v>
      </c>
      <c r="I539">
        <v>1324.6651611</v>
      </c>
      <c r="J539">
        <v>1321.90625</v>
      </c>
      <c r="K539">
        <v>1650</v>
      </c>
      <c r="L539">
        <v>0</v>
      </c>
      <c r="M539">
        <v>0</v>
      </c>
      <c r="N539">
        <v>1650</v>
      </c>
    </row>
    <row r="540" spans="1:14" x14ac:dyDescent="0.25">
      <c r="A540">
        <v>102.728898</v>
      </c>
      <c r="B540" s="1">
        <f>DATE(2010,8,11) + TIME(17,29,36)</f>
        <v>40401.728888888887</v>
      </c>
      <c r="C540">
        <v>80</v>
      </c>
      <c r="D540">
        <v>79.936149596999996</v>
      </c>
      <c r="E540">
        <v>40</v>
      </c>
      <c r="F540">
        <v>25.876407622999999</v>
      </c>
      <c r="G540">
        <v>1337.6405029</v>
      </c>
      <c r="H540">
        <v>1335.7668457</v>
      </c>
      <c r="I540">
        <v>1324.6729736</v>
      </c>
      <c r="J540">
        <v>1321.9224853999999</v>
      </c>
      <c r="K540">
        <v>1650</v>
      </c>
      <c r="L540">
        <v>0</v>
      </c>
      <c r="M540">
        <v>0</v>
      </c>
      <c r="N540">
        <v>1650</v>
      </c>
    </row>
    <row r="541" spans="1:14" x14ac:dyDescent="0.25">
      <c r="A541">
        <v>103.45926900000001</v>
      </c>
      <c r="B541" s="1">
        <f>DATE(2010,8,12) + TIME(11,1,20)</f>
        <v>40402.45925925926</v>
      </c>
      <c r="C541">
        <v>80</v>
      </c>
      <c r="D541">
        <v>79.936187743999994</v>
      </c>
      <c r="E541">
        <v>40</v>
      </c>
      <c r="F541">
        <v>26.460788727000001</v>
      </c>
      <c r="G541">
        <v>1337.6365966999999</v>
      </c>
      <c r="H541">
        <v>1335.7639160000001</v>
      </c>
      <c r="I541">
        <v>1324.6806641000001</v>
      </c>
      <c r="J541">
        <v>1321.9394531</v>
      </c>
      <c r="K541">
        <v>1650</v>
      </c>
      <c r="L541">
        <v>0</v>
      </c>
      <c r="M541">
        <v>0</v>
      </c>
      <c r="N541">
        <v>1650</v>
      </c>
    </row>
    <row r="542" spans="1:14" x14ac:dyDescent="0.25">
      <c r="A542">
        <v>104.19819200000001</v>
      </c>
      <c r="B542" s="1">
        <f>DATE(2010,8,13) + TIME(4,45,23)</f>
        <v>40403.198182870372</v>
      </c>
      <c r="C542">
        <v>80</v>
      </c>
      <c r="D542">
        <v>79.936233521000005</v>
      </c>
      <c r="E542">
        <v>40</v>
      </c>
      <c r="F542">
        <v>27.067695617999998</v>
      </c>
      <c r="G542">
        <v>1337.6326904</v>
      </c>
      <c r="H542">
        <v>1335.7608643000001</v>
      </c>
      <c r="I542">
        <v>1324.6881103999999</v>
      </c>
      <c r="J542">
        <v>1321.9569091999999</v>
      </c>
      <c r="K542">
        <v>1650</v>
      </c>
      <c r="L542">
        <v>0</v>
      </c>
      <c r="M542">
        <v>0</v>
      </c>
      <c r="N542">
        <v>1650</v>
      </c>
    </row>
    <row r="543" spans="1:14" x14ac:dyDescent="0.25">
      <c r="A543">
        <v>104.948015</v>
      </c>
      <c r="B543" s="1">
        <f>DATE(2010,8,13) + TIME(22,45,8)</f>
        <v>40403.948009259257</v>
      </c>
      <c r="C543">
        <v>80</v>
      </c>
      <c r="D543">
        <v>79.936279296999999</v>
      </c>
      <c r="E543">
        <v>40</v>
      </c>
      <c r="F543">
        <v>27.690286636</v>
      </c>
      <c r="G543">
        <v>1337.6287841999999</v>
      </c>
      <c r="H543">
        <v>1335.7579346</v>
      </c>
      <c r="I543">
        <v>1324.6954346</v>
      </c>
      <c r="J543">
        <v>1321.9747314000001</v>
      </c>
      <c r="K543">
        <v>1650</v>
      </c>
      <c r="L543">
        <v>0</v>
      </c>
      <c r="M543">
        <v>0</v>
      </c>
      <c r="N543">
        <v>1650</v>
      </c>
    </row>
    <row r="544" spans="1:14" x14ac:dyDescent="0.25">
      <c r="A544">
        <v>105.325378</v>
      </c>
      <c r="B544" s="1">
        <f>DATE(2010,8,14) + TIME(7,48,32)</f>
        <v>40404.325370370374</v>
      </c>
      <c r="C544">
        <v>80</v>
      </c>
      <c r="D544">
        <v>79.936302185000002</v>
      </c>
      <c r="E544">
        <v>40</v>
      </c>
      <c r="F544">
        <v>28.097387313999999</v>
      </c>
      <c r="G544">
        <v>1337.625</v>
      </c>
      <c r="H544">
        <v>1335.7550048999999</v>
      </c>
      <c r="I544">
        <v>1324.708374</v>
      </c>
      <c r="J544">
        <v>1321.9908447</v>
      </c>
      <c r="K544">
        <v>1650</v>
      </c>
      <c r="L544">
        <v>0</v>
      </c>
      <c r="M544">
        <v>0</v>
      </c>
      <c r="N544">
        <v>1650</v>
      </c>
    </row>
    <row r="545" spans="1:14" x14ac:dyDescent="0.25">
      <c r="A545">
        <v>105.702741</v>
      </c>
      <c r="B545" s="1">
        <f>DATE(2010,8,14) + TIME(16,51,56)</f>
        <v>40404.702731481484</v>
      </c>
      <c r="C545">
        <v>80</v>
      </c>
      <c r="D545">
        <v>79.936317443999997</v>
      </c>
      <c r="E545">
        <v>40</v>
      </c>
      <c r="F545">
        <v>28.476062774999999</v>
      </c>
      <c r="G545">
        <v>1337.6230469</v>
      </c>
      <c r="H545">
        <v>1335.7535399999999</v>
      </c>
      <c r="I545">
        <v>1324.7106934000001</v>
      </c>
      <c r="J545">
        <v>1322.0012207</v>
      </c>
      <c r="K545">
        <v>1650</v>
      </c>
      <c r="L545">
        <v>0</v>
      </c>
      <c r="M545">
        <v>0</v>
      </c>
      <c r="N545">
        <v>1650</v>
      </c>
    </row>
    <row r="546" spans="1:14" x14ac:dyDescent="0.25">
      <c r="A546">
        <v>106.08010400000001</v>
      </c>
      <c r="B546" s="1">
        <f>DATE(2010,8,15) + TIME(1,55,21)</f>
        <v>40405.080104166664</v>
      </c>
      <c r="C546">
        <v>80</v>
      </c>
      <c r="D546">
        <v>79.936340332</v>
      </c>
      <c r="E546">
        <v>40</v>
      </c>
      <c r="F546">
        <v>28.833242416000001</v>
      </c>
      <c r="G546">
        <v>1337.6210937999999</v>
      </c>
      <c r="H546">
        <v>1335.7520752</v>
      </c>
      <c r="I546">
        <v>1324.713501</v>
      </c>
      <c r="J546">
        <v>1322.0113524999999</v>
      </c>
      <c r="K546">
        <v>1650</v>
      </c>
      <c r="L546">
        <v>0</v>
      </c>
      <c r="M546">
        <v>0</v>
      </c>
      <c r="N546">
        <v>1650</v>
      </c>
    </row>
    <row r="547" spans="1:14" x14ac:dyDescent="0.25">
      <c r="A547">
        <v>106.457379</v>
      </c>
      <c r="B547" s="1">
        <f>DATE(2010,8,15) + TIME(10,58,37)</f>
        <v>40405.457372685189</v>
      </c>
      <c r="C547">
        <v>80</v>
      </c>
      <c r="D547">
        <v>79.936363220000004</v>
      </c>
      <c r="E547">
        <v>40</v>
      </c>
      <c r="F547">
        <v>29.173803328999998</v>
      </c>
      <c r="G547">
        <v>1337.6191406</v>
      </c>
      <c r="H547">
        <v>1335.7506103999999</v>
      </c>
      <c r="I547">
        <v>1324.7165527</v>
      </c>
      <c r="J547">
        <v>1322.0211182</v>
      </c>
      <c r="K547">
        <v>1650</v>
      </c>
      <c r="L547">
        <v>0</v>
      </c>
      <c r="M547">
        <v>0</v>
      </c>
      <c r="N547">
        <v>1650</v>
      </c>
    </row>
    <row r="548" spans="1:14" x14ac:dyDescent="0.25">
      <c r="A548">
        <v>106.83461</v>
      </c>
      <c r="B548" s="1">
        <f>DATE(2010,8,15) + TIME(20,1,50)</f>
        <v>40405.834606481483</v>
      </c>
      <c r="C548">
        <v>80</v>
      </c>
      <c r="D548">
        <v>79.936386107999994</v>
      </c>
      <c r="E548">
        <v>40</v>
      </c>
      <c r="F548">
        <v>29.501279831000002</v>
      </c>
      <c r="G548">
        <v>1337.6173096</v>
      </c>
      <c r="H548">
        <v>1335.7491454999999</v>
      </c>
      <c r="I548">
        <v>1324.7199707</v>
      </c>
      <c r="J548">
        <v>1322.0307617000001</v>
      </c>
      <c r="K548">
        <v>1650</v>
      </c>
      <c r="L548">
        <v>0</v>
      </c>
      <c r="M548">
        <v>0</v>
      </c>
      <c r="N548">
        <v>1650</v>
      </c>
    </row>
    <row r="549" spans="1:14" x14ac:dyDescent="0.25">
      <c r="A549">
        <v>107.21184</v>
      </c>
      <c r="B549" s="1">
        <f>DATE(2010,8,16) + TIME(5,5,3)</f>
        <v>40406.211840277778</v>
      </c>
      <c r="C549">
        <v>80</v>
      </c>
      <c r="D549">
        <v>79.936408997000001</v>
      </c>
      <c r="E549">
        <v>40</v>
      </c>
      <c r="F549">
        <v>29.818208693999999</v>
      </c>
      <c r="G549">
        <v>1337.6153564000001</v>
      </c>
      <c r="H549">
        <v>1335.7478027</v>
      </c>
      <c r="I549">
        <v>1324.7235106999999</v>
      </c>
      <c r="J549">
        <v>1322.0402832</v>
      </c>
      <c r="K549">
        <v>1650</v>
      </c>
      <c r="L549">
        <v>0</v>
      </c>
      <c r="M549">
        <v>0</v>
      </c>
      <c r="N549">
        <v>1650</v>
      </c>
    </row>
    <row r="550" spans="1:14" x14ac:dyDescent="0.25">
      <c r="A550">
        <v>107.589071</v>
      </c>
      <c r="B550" s="1">
        <f>DATE(2010,8,16) + TIME(14,8,15)</f>
        <v>40406.589062500003</v>
      </c>
      <c r="C550">
        <v>80</v>
      </c>
      <c r="D550">
        <v>79.936431885000005</v>
      </c>
      <c r="E550">
        <v>40</v>
      </c>
      <c r="F550">
        <v>30.126422882</v>
      </c>
      <c r="G550">
        <v>1337.6135254000001</v>
      </c>
      <c r="H550">
        <v>1335.7463379000001</v>
      </c>
      <c r="I550">
        <v>1324.7271728999999</v>
      </c>
      <c r="J550">
        <v>1322.0495605000001</v>
      </c>
      <c r="K550">
        <v>1650</v>
      </c>
      <c r="L550">
        <v>0</v>
      </c>
      <c r="M550">
        <v>0</v>
      </c>
      <c r="N550">
        <v>1650</v>
      </c>
    </row>
    <row r="551" spans="1:14" x14ac:dyDescent="0.25">
      <c r="A551">
        <v>107.966301</v>
      </c>
      <c r="B551" s="1">
        <f>DATE(2010,8,16) + TIME(23,11,28)</f>
        <v>40406.966296296298</v>
      </c>
      <c r="C551">
        <v>80</v>
      </c>
      <c r="D551">
        <v>79.936454772999994</v>
      </c>
      <c r="E551">
        <v>40</v>
      </c>
      <c r="F551">
        <v>30.427234649999999</v>
      </c>
      <c r="G551">
        <v>1337.6116943</v>
      </c>
      <c r="H551">
        <v>1335.7448730000001</v>
      </c>
      <c r="I551">
        <v>1324.730957</v>
      </c>
      <c r="J551">
        <v>1322.0588379000001</v>
      </c>
      <c r="K551">
        <v>1650</v>
      </c>
      <c r="L551">
        <v>0</v>
      </c>
      <c r="M551">
        <v>0</v>
      </c>
      <c r="N551">
        <v>1650</v>
      </c>
    </row>
    <row r="552" spans="1:14" x14ac:dyDescent="0.25">
      <c r="A552">
        <v>108.343532</v>
      </c>
      <c r="B552" s="1">
        <f>DATE(2010,8,17) + TIME(8,14,41)</f>
        <v>40407.343530092592</v>
      </c>
      <c r="C552">
        <v>80</v>
      </c>
      <c r="D552">
        <v>79.936477660999998</v>
      </c>
      <c r="E552">
        <v>40</v>
      </c>
      <c r="F552">
        <v>30.721542358000001</v>
      </c>
      <c r="G552">
        <v>1337.6098632999999</v>
      </c>
      <c r="H552">
        <v>1335.7435303</v>
      </c>
      <c r="I552">
        <v>1324.7348632999999</v>
      </c>
      <c r="J552">
        <v>1322.0679932</v>
      </c>
      <c r="K552">
        <v>1650</v>
      </c>
      <c r="L552">
        <v>0</v>
      </c>
      <c r="M552">
        <v>0</v>
      </c>
      <c r="N552">
        <v>1650</v>
      </c>
    </row>
    <row r="553" spans="1:14" x14ac:dyDescent="0.25">
      <c r="A553">
        <v>109.097993</v>
      </c>
      <c r="B553" s="1">
        <f>DATE(2010,8,18) + TIME(2,21,6)</f>
        <v>40408.097986111112</v>
      </c>
      <c r="C553">
        <v>80</v>
      </c>
      <c r="D553">
        <v>79.936531067000004</v>
      </c>
      <c r="E553">
        <v>40</v>
      </c>
      <c r="F553">
        <v>31.163465500000001</v>
      </c>
      <c r="G553">
        <v>1337.6080322</v>
      </c>
      <c r="H553">
        <v>1335.7421875</v>
      </c>
      <c r="I553">
        <v>1324.7352295000001</v>
      </c>
      <c r="J553">
        <v>1322.0787353999999</v>
      </c>
      <c r="K553">
        <v>1650</v>
      </c>
      <c r="L553">
        <v>0</v>
      </c>
      <c r="M553">
        <v>0</v>
      </c>
      <c r="N553">
        <v>1650</v>
      </c>
    </row>
    <row r="554" spans="1:14" x14ac:dyDescent="0.25">
      <c r="A554">
        <v>109.85466</v>
      </c>
      <c r="B554" s="1">
        <f>DATE(2010,8,18) + TIME(20,30,42)</f>
        <v>40408.85465277778</v>
      </c>
      <c r="C554">
        <v>80</v>
      </c>
      <c r="D554">
        <v>79.936584472999996</v>
      </c>
      <c r="E554">
        <v>40</v>
      </c>
      <c r="F554">
        <v>31.652441025000002</v>
      </c>
      <c r="G554">
        <v>1337.6043701000001</v>
      </c>
      <c r="H554">
        <v>1335.7395019999999</v>
      </c>
      <c r="I554">
        <v>1324.7446289</v>
      </c>
      <c r="J554">
        <v>1322.0950928</v>
      </c>
      <c r="K554">
        <v>1650</v>
      </c>
      <c r="L554">
        <v>0</v>
      </c>
      <c r="M554">
        <v>0</v>
      </c>
      <c r="N554">
        <v>1650</v>
      </c>
    </row>
    <row r="555" spans="1:14" x14ac:dyDescent="0.25">
      <c r="A555">
        <v>110.620835</v>
      </c>
      <c r="B555" s="1">
        <f>DATE(2010,8,19) + TIME(14,54,0)</f>
        <v>40409.620833333334</v>
      </c>
      <c r="C555">
        <v>80</v>
      </c>
      <c r="D555">
        <v>79.936637877999999</v>
      </c>
      <c r="E555">
        <v>40</v>
      </c>
      <c r="F555">
        <v>32.162803650000001</v>
      </c>
      <c r="G555">
        <v>1337.6008300999999</v>
      </c>
      <c r="H555">
        <v>1335.7368164</v>
      </c>
      <c r="I555">
        <v>1324.7536620999999</v>
      </c>
      <c r="J555">
        <v>1322.1120605000001</v>
      </c>
      <c r="K555">
        <v>1650</v>
      </c>
      <c r="L555">
        <v>0</v>
      </c>
      <c r="M555">
        <v>0</v>
      </c>
      <c r="N555">
        <v>1650</v>
      </c>
    </row>
    <row r="556" spans="1:14" x14ac:dyDescent="0.25">
      <c r="A556">
        <v>111.398697</v>
      </c>
      <c r="B556" s="1">
        <f>DATE(2010,8,20) + TIME(9,34,7)</f>
        <v>40410.398692129631</v>
      </c>
      <c r="C556">
        <v>80</v>
      </c>
      <c r="D556">
        <v>79.936683654999996</v>
      </c>
      <c r="E556">
        <v>40</v>
      </c>
      <c r="F556">
        <v>32.681434631000002</v>
      </c>
      <c r="G556">
        <v>1337.5972899999999</v>
      </c>
      <c r="H556">
        <v>1335.7341309000001</v>
      </c>
      <c r="I556">
        <v>1324.7626952999999</v>
      </c>
      <c r="J556">
        <v>1322.1295166</v>
      </c>
      <c r="K556">
        <v>1650</v>
      </c>
      <c r="L556">
        <v>0</v>
      </c>
      <c r="M556">
        <v>0</v>
      </c>
      <c r="N556">
        <v>1650</v>
      </c>
    </row>
    <row r="557" spans="1:14" x14ac:dyDescent="0.25">
      <c r="A557">
        <v>112.187769</v>
      </c>
      <c r="B557" s="1">
        <f>DATE(2010,8,21) + TIME(4,30,23)</f>
        <v>40411.1877662037</v>
      </c>
      <c r="C557">
        <v>80</v>
      </c>
      <c r="D557">
        <v>79.936737061000002</v>
      </c>
      <c r="E557">
        <v>40</v>
      </c>
      <c r="F557">
        <v>33.201004028</v>
      </c>
      <c r="G557">
        <v>1337.59375</v>
      </c>
      <c r="H557">
        <v>1335.7314452999999</v>
      </c>
      <c r="I557">
        <v>1324.7719727000001</v>
      </c>
      <c r="J557">
        <v>1322.1474608999999</v>
      </c>
      <c r="K557">
        <v>1650</v>
      </c>
      <c r="L557">
        <v>0</v>
      </c>
      <c r="M557">
        <v>0</v>
      </c>
      <c r="N557">
        <v>1650</v>
      </c>
    </row>
    <row r="558" spans="1:14" x14ac:dyDescent="0.25">
      <c r="A558">
        <v>112.986636</v>
      </c>
      <c r="B558" s="1">
        <f>DATE(2010,8,21) + TIME(23,40,45)</f>
        <v>40411.986631944441</v>
      </c>
      <c r="C558">
        <v>80</v>
      </c>
      <c r="D558">
        <v>79.936782836999996</v>
      </c>
      <c r="E558">
        <v>40</v>
      </c>
      <c r="F558">
        <v>33.717174530000001</v>
      </c>
      <c r="G558">
        <v>1337.5900879000001</v>
      </c>
      <c r="H558">
        <v>1335.7287598</v>
      </c>
      <c r="I558">
        <v>1324.7813721</v>
      </c>
      <c r="J558">
        <v>1322.1656493999999</v>
      </c>
      <c r="K558">
        <v>1650</v>
      </c>
      <c r="L558">
        <v>0</v>
      </c>
      <c r="M558">
        <v>0</v>
      </c>
      <c r="N558">
        <v>1650</v>
      </c>
    </row>
    <row r="559" spans="1:14" x14ac:dyDescent="0.25">
      <c r="A559">
        <v>113.79788000000001</v>
      </c>
      <c r="B559" s="1">
        <f>DATE(2010,8,22) + TIME(19,8,56)</f>
        <v>40412.79787037037</v>
      </c>
      <c r="C559">
        <v>80</v>
      </c>
      <c r="D559">
        <v>79.936836243000002</v>
      </c>
      <c r="E559">
        <v>40</v>
      </c>
      <c r="F559">
        <v>34.228626251000001</v>
      </c>
      <c r="G559">
        <v>1337.5865478999999</v>
      </c>
      <c r="H559">
        <v>1335.7260742000001</v>
      </c>
      <c r="I559">
        <v>1324.7911377</v>
      </c>
      <c r="J559">
        <v>1322.1839600000001</v>
      </c>
      <c r="K559">
        <v>1650</v>
      </c>
      <c r="L559">
        <v>0</v>
      </c>
      <c r="M559">
        <v>0</v>
      </c>
      <c r="N559">
        <v>1650</v>
      </c>
    </row>
    <row r="560" spans="1:14" x14ac:dyDescent="0.25">
      <c r="A560">
        <v>114.61944800000001</v>
      </c>
      <c r="B560" s="1">
        <f>DATE(2010,8,23) + TIME(14,52,0)</f>
        <v>40413.619444444441</v>
      </c>
      <c r="C560">
        <v>80</v>
      </c>
      <c r="D560">
        <v>79.936889648000005</v>
      </c>
      <c r="E560">
        <v>40</v>
      </c>
      <c r="F560">
        <v>34.734077454000001</v>
      </c>
      <c r="G560">
        <v>1337.5830077999999</v>
      </c>
      <c r="H560">
        <v>1335.7233887</v>
      </c>
      <c r="I560">
        <v>1324.8011475000001</v>
      </c>
      <c r="J560">
        <v>1322.2026367000001</v>
      </c>
      <c r="K560">
        <v>1650</v>
      </c>
      <c r="L560">
        <v>0</v>
      </c>
      <c r="M560">
        <v>0</v>
      </c>
      <c r="N560">
        <v>1650</v>
      </c>
    </row>
    <row r="561" spans="1:14" x14ac:dyDescent="0.25">
      <c r="A561">
        <v>115.031729</v>
      </c>
      <c r="B561" s="1">
        <f>DATE(2010,8,24) + TIME(0,45,41)</f>
        <v>40414.031724537039</v>
      </c>
      <c r="C561">
        <v>80</v>
      </c>
      <c r="D561">
        <v>79.936904906999999</v>
      </c>
      <c r="E561">
        <v>40</v>
      </c>
      <c r="F561">
        <v>35.066509246999999</v>
      </c>
      <c r="G561">
        <v>1337.5794678</v>
      </c>
      <c r="H561">
        <v>1335.7207031</v>
      </c>
      <c r="I561">
        <v>1324.8150635</v>
      </c>
      <c r="J561">
        <v>1322.2194824000001</v>
      </c>
      <c r="K561">
        <v>1650</v>
      </c>
      <c r="L561">
        <v>0</v>
      </c>
      <c r="M561">
        <v>0</v>
      </c>
      <c r="N561">
        <v>1650</v>
      </c>
    </row>
    <row r="562" spans="1:14" x14ac:dyDescent="0.25">
      <c r="A562">
        <v>115.443896</v>
      </c>
      <c r="B562" s="1">
        <f>DATE(2010,8,24) + TIME(10,39,12)</f>
        <v>40414.443888888891</v>
      </c>
      <c r="C562">
        <v>80</v>
      </c>
      <c r="D562">
        <v>79.936927795000003</v>
      </c>
      <c r="E562">
        <v>40</v>
      </c>
      <c r="F562">
        <v>35.367069244</v>
      </c>
      <c r="G562">
        <v>1337.5776367000001</v>
      </c>
      <c r="H562">
        <v>1335.7193603999999</v>
      </c>
      <c r="I562">
        <v>1324.8194579999999</v>
      </c>
      <c r="J562">
        <v>1322.2303466999999</v>
      </c>
      <c r="K562">
        <v>1650</v>
      </c>
      <c r="L562">
        <v>0</v>
      </c>
      <c r="M562">
        <v>0</v>
      </c>
      <c r="N562">
        <v>1650</v>
      </c>
    </row>
    <row r="563" spans="1:14" x14ac:dyDescent="0.25">
      <c r="A563">
        <v>115.855485</v>
      </c>
      <c r="B563" s="1">
        <f>DATE(2010,8,24) + TIME(20,31,53)</f>
        <v>40414.855474537035</v>
      </c>
      <c r="C563">
        <v>80</v>
      </c>
      <c r="D563">
        <v>79.936958313000005</v>
      </c>
      <c r="E563">
        <v>40</v>
      </c>
      <c r="F563">
        <v>35.645111084</v>
      </c>
      <c r="G563">
        <v>1337.5759277</v>
      </c>
      <c r="H563">
        <v>1335.7181396000001</v>
      </c>
      <c r="I563">
        <v>1324.8242187999999</v>
      </c>
      <c r="J563">
        <v>1322.2407227000001</v>
      </c>
      <c r="K563">
        <v>1650</v>
      </c>
      <c r="L563">
        <v>0</v>
      </c>
      <c r="M563">
        <v>0</v>
      </c>
      <c r="N563">
        <v>1650</v>
      </c>
    </row>
    <row r="564" spans="1:14" x14ac:dyDescent="0.25">
      <c r="A564">
        <v>116.266829</v>
      </c>
      <c r="B564" s="1">
        <f>DATE(2010,8,25) + TIME(6,24,14)</f>
        <v>40415.266828703701</v>
      </c>
      <c r="C564">
        <v>80</v>
      </c>
      <c r="D564">
        <v>79.936981200999995</v>
      </c>
      <c r="E564">
        <v>40</v>
      </c>
      <c r="F564">
        <v>35.907203674000002</v>
      </c>
      <c r="G564">
        <v>1337.5740966999999</v>
      </c>
      <c r="H564">
        <v>1335.7167969</v>
      </c>
      <c r="I564">
        <v>1324.8292236</v>
      </c>
      <c r="J564">
        <v>1322.2508545000001</v>
      </c>
      <c r="K564">
        <v>1650</v>
      </c>
      <c r="L564">
        <v>0</v>
      </c>
      <c r="M564">
        <v>0</v>
      </c>
      <c r="N564">
        <v>1650</v>
      </c>
    </row>
    <row r="565" spans="1:14" x14ac:dyDescent="0.25">
      <c r="A565">
        <v>116.678174</v>
      </c>
      <c r="B565" s="1">
        <f>DATE(2010,8,25) + TIME(16,16,34)</f>
        <v>40415.678171296298</v>
      </c>
      <c r="C565">
        <v>80</v>
      </c>
      <c r="D565">
        <v>79.937004088999998</v>
      </c>
      <c r="E565">
        <v>40</v>
      </c>
      <c r="F565">
        <v>36.157741547000001</v>
      </c>
      <c r="G565">
        <v>1337.5723877</v>
      </c>
      <c r="H565">
        <v>1335.7154541</v>
      </c>
      <c r="I565">
        <v>1324.8342285000001</v>
      </c>
      <c r="J565">
        <v>1322.2607422000001</v>
      </c>
      <c r="K565">
        <v>1650</v>
      </c>
      <c r="L565">
        <v>0</v>
      </c>
      <c r="M565">
        <v>0</v>
      </c>
      <c r="N565">
        <v>1650</v>
      </c>
    </row>
    <row r="566" spans="1:14" x14ac:dyDescent="0.25">
      <c r="A566">
        <v>117.089518</v>
      </c>
      <c r="B566" s="1">
        <f>DATE(2010,8,26) + TIME(2,8,54)</f>
        <v>40416.089513888888</v>
      </c>
      <c r="C566">
        <v>80</v>
      </c>
      <c r="D566">
        <v>79.937034607000001</v>
      </c>
      <c r="E566">
        <v>40</v>
      </c>
      <c r="F566">
        <v>36.399604797000002</v>
      </c>
      <c r="G566">
        <v>1337.5706786999999</v>
      </c>
      <c r="H566">
        <v>1335.7142334</v>
      </c>
      <c r="I566">
        <v>1324.8394774999999</v>
      </c>
      <c r="J566">
        <v>1322.2703856999999</v>
      </c>
      <c r="K566">
        <v>1650</v>
      </c>
      <c r="L566">
        <v>0</v>
      </c>
      <c r="M566">
        <v>0</v>
      </c>
      <c r="N566">
        <v>1650</v>
      </c>
    </row>
    <row r="567" spans="1:14" x14ac:dyDescent="0.25">
      <c r="A567">
        <v>117.500863</v>
      </c>
      <c r="B567" s="1">
        <f>DATE(2010,8,26) + TIME(12,1,14)</f>
        <v>40416.500856481478</v>
      </c>
      <c r="C567">
        <v>80</v>
      </c>
      <c r="D567">
        <v>79.937057495000005</v>
      </c>
      <c r="E567">
        <v>40</v>
      </c>
      <c r="F567">
        <v>36.634712219000001</v>
      </c>
      <c r="G567">
        <v>1337.5689697</v>
      </c>
      <c r="H567">
        <v>1335.7130127</v>
      </c>
      <c r="I567">
        <v>1324.8447266000001</v>
      </c>
      <c r="J567">
        <v>1322.2800293</v>
      </c>
      <c r="K567">
        <v>1650</v>
      </c>
      <c r="L567">
        <v>0</v>
      </c>
      <c r="M567">
        <v>0</v>
      </c>
      <c r="N567">
        <v>1650</v>
      </c>
    </row>
    <row r="568" spans="1:14" x14ac:dyDescent="0.25">
      <c r="A568">
        <v>117.912207</v>
      </c>
      <c r="B568" s="1">
        <f>DATE(2010,8,26) + TIME(21,53,34)</f>
        <v>40416.912199074075</v>
      </c>
      <c r="C568">
        <v>80</v>
      </c>
      <c r="D568">
        <v>79.937080382999994</v>
      </c>
      <c r="E568">
        <v>40</v>
      </c>
      <c r="F568">
        <v>36.864368439000003</v>
      </c>
      <c r="G568">
        <v>1337.5672606999999</v>
      </c>
      <c r="H568">
        <v>1335.7116699000001</v>
      </c>
      <c r="I568">
        <v>1324.8500977000001</v>
      </c>
      <c r="J568">
        <v>1322.2895507999999</v>
      </c>
      <c r="K568">
        <v>1650</v>
      </c>
      <c r="L568">
        <v>0</v>
      </c>
      <c r="M568">
        <v>0</v>
      </c>
      <c r="N568">
        <v>1650</v>
      </c>
    </row>
    <row r="569" spans="1:14" x14ac:dyDescent="0.25">
      <c r="A569">
        <v>118.32355200000001</v>
      </c>
      <c r="B569" s="1">
        <f>DATE(2010,8,27) + TIME(7,45,54)</f>
        <v>40417.323541666665</v>
      </c>
      <c r="C569">
        <v>80</v>
      </c>
      <c r="D569">
        <v>79.937110900999997</v>
      </c>
      <c r="E569">
        <v>40</v>
      </c>
      <c r="F569">
        <v>37.089443207000002</v>
      </c>
      <c r="G569">
        <v>1337.5656738</v>
      </c>
      <c r="H569">
        <v>1335.7104492000001</v>
      </c>
      <c r="I569">
        <v>1324.8554687999999</v>
      </c>
      <c r="J569">
        <v>1322.2989502</v>
      </c>
      <c r="K569">
        <v>1650</v>
      </c>
      <c r="L569">
        <v>0</v>
      </c>
      <c r="M569">
        <v>0</v>
      </c>
      <c r="N569">
        <v>1650</v>
      </c>
    </row>
    <row r="570" spans="1:14" x14ac:dyDescent="0.25">
      <c r="A570">
        <v>118.73489600000001</v>
      </c>
      <c r="B570" s="1">
        <f>DATE(2010,8,27) + TIME(17,38,15)</f>
        <v>40417.734895833331</v>
      </c>
      <c r="C570">
        <v>80</v>
      </c>
      <c r="D570">
        <v>79.937133789000001</v>
      </c>
      <c r="E570">
        <v>40</v>
      </c>
      <c r="F570">
        <v>37.310539245999998</v>
      </c>
      <c r="G570">
        <v>1337.5639647999999</v>
      </c>
      <c r="H570">
        <v>1335.7092285000001</v>
      </c>
      <c r="I570">
        <v>1324.8608397999999</v>
      </c>
      <c r="J570">
        <v>1322.3084716999999</v>
      </c>
      <c r="K570">
        <v>1650</v>
      </c>
      <c r="L570">
        <v>0</v>
      </c>
      <c r="M570">
        <v>0</v>
      </c>
      <c r="N570">
        <v>1650</v>
      </c>
    </row>
    <row r="571" spans="1:14" x14ac:dyDescent="0.25">
      <c r="A571">
        <v>119.557585</v>
      </c>
      <c r="B571" s="1">
        <f>DATE(2010,8,28) + TIME(13,22,55)</f>
        <v>40418.557581018518</v>
      </c>
      <c r="C571">
        <v>80</v>
      </c>
      <c r="D571">
        <v>79.937202454000001</v>
      </c>
      <c r="E571">
        <v>40</v>
      </c>
      <c r="F571">
        <v>37.634109496999997</v>
      </c>
      <c r="G571">
        <v>1337.5622559000001</v>
      </c>
      <c r="H571">
        <v>1335.7080077999999</v>
      </c>
      <c r="I571">
        <v>1324.8642577999999</v>
      </c>
      <c r="J571">
        <v>1322.3192139</v>
      </c>
      <c r="K571">
        <v>1650</v>
      </c>
      <c r="L571">
        <v>0</v>
      </c>
      <c r="M571">
        <v>0</v>
      </c>
      <c r="N571">
        <v>1650</v>
      </c>
    </row>
    <row r="572" spans="1:14" x14ac:dyDescent="0.25">
      <c r="A572">
        <v>120.38237100000001</v>
      </c>
      <c r="B572" s="1">
        <f>DATE(2010,8,29) + TIME(9,10,36)</f>
        <v>40419.382361111115</v>
      </c>
      <c r="C572">
        <v>80</v>
      </c>
      <c r="D572">
        <v>79.937255859000004</v>
      </c>
      <c r="E572">
        <v>40</v>
      </c>
      <c r="F572">
        <v>38.005142212000003</v>
      </c>
      <c r="G572">
        <v>1337.559082</v>
      </c>
      <c r="H572">
        <v>1335.7055664</v>
      </c>
      <c r="I572">
        <v>1324.8756103999999</v>
      </c>
      <c r="J572">
        <v>1322.3359375</v>
      </c>
      <c r="K572">
        <v>1650</v>
      </c>
      <c r="L572">
        <v>0</v>
      </c>
      <c r="M572">
        <v>0</v>
      </c>
      <c r="N572">
        <v>1650</v>
      </c>
    </row>
    <row r="573" spans="1:14" x14ac:dyDescent="0.25">
      <c r="A573">
        <v>121.218333</v>
      </c>
      <c r="B573" s="1">
        <f>DATE(2010,8,30) + TIME(5,14,24)</f>
        <v>40420.218333333331</v>
      </c>
      <c r="C573">
        <v>80</v>
      </c>
      <c r="D573">
        <v>79.937309264999996</v>
      </c>
      <c r="E573">
        <v>40</v>
      </c>
      <c r="F573">
        <v>38.396820067999997</v>
      </c>
      <c r="G573">
        <v>1337.5557861</v>
      </c>
      <c r="H573">
        <v>1335.7032471</v>
      </c>
      <c r="I573">
        <v>1324.8868408000001</v>
      </c>
      <c r="J573">
        <v>1322.3535156</v>
      </c>
      <c r="K573">
        <v>1650</v>
      </c>
      <c r="L573">
        <v>0</v>
      </c>
      <c r="M573">
        <v>0</v>
      </c>
      <c r="N573">
        <v>1650</v>
      </c>
    </row>
    <row r="574" spans="1:14" x14ac:dyDescent="0.25">
      <c r="A574">
        <v>122.06799599999999</v>
      </c>
      <c r="B574" s="1">
        <f>DATE(2010,8,31) + TIME(1,37,54)</f>
        <v>40421.067986111113</v>
      </c>
      <c r="C574">
        <v>80</v>
      </c>
      <c r="D574">
        <v>79.937362671000002</v>
      </c>
      <c r="E574">
        <v>40</v>
      </c>
      <c r="F574">
        <v>38.796897887999997</v>
      </c>
      <c r="G574">
        <v>1337.5526123</v>
      </c>
      <c r="H574">
        <v>1335.7008057</v>
      </c>
      <c r="I574">
        <v>1324.8980713000001</v>
      </c>
      <c r="J574">
        <v>1322.3718262</v>
      </c>
      <c r="K574">
        <v>1650</v>
      </c>
      <c r="L574">
        <v>0</v>
      </c>
      <c r="M574">
        <v>0</v>
      </c>
      <c r="N574">
        <v>1650</v>
      </c>
    </row>
    <row r="575" spans="1:14" x14ac:dyDescent="0.25">
      <c r="A575">
        <v>122.93405799999999</v>
      </c>
      <c r="B575" s="1">
        <f>DATE(2010,8,31) + TIME(22,25,2)</f>
        <v>40421.934050925927</v>
      </c>
      <c r="C575">
        <v>80</v>
      </c>
      <c r="D575">
        <v>79.937423706000004</v>
      </c>
      <c r="E575">
        <v>40</v>
      </c>
      <c r="F575">
        <v>39.199890136999997</v>
      </c>
      <c r="G575">
        <v>1337.5493164</v>
      </c>
      <c r="H575">
        <v>1335.6984863</v>
      </c>
      <c r="I575">
        <v>1324.9095459</v>
      </c>
      <c r="J575">
        <v>1322.390625</v>
      </c>
      <c r="K575">
        <v>1650</v>
      </c>
      <c r="L575">
        <v>0</v>
      </c>
      <c r="M575">
        <v>0</v>
      </c>
      <c r="N575">
        <v>1650</v>
      </c>
    </row>
    <row r="576" spans="1:14" x14ac:dyDescent="0.25">
      <c r="A576">
        <v>123</v>
      </c>
      <c r="B576" s="1">
        <f>DATE(2010,9,1) + TIME(0,0,0)</f>
        <v>40422</v>
      </c>
      <c r="C576">
        <v>80</v>
      </c>
      <c r="D576">
        <v>79.937423706000004</v>
      </c>
      <c r="E576">
        <v>40</v>
      </c>
      <c r="F576">
        <v>39.259704589999998</v>
      </c>
      <c r="G576">
        <v>1337.5462646000001</v>
      </c>
      <c r="H576">
        <v>1335.6962891000001</v>
      </c>
      <c r="I576">
        <v>1324.9279785000001</v>
      </c>
      <c r="J576">
        <v>1322.4052733999999</v>
      </c>
      <c r="K576">
        <v>1650</v>
      </c>
      <c r="L576">
        <v>0</v>
      </c>
      <c r="M576">
        <v>0</v>
      </c>
      <c r="N576">
        <v>1650</v>
      </c>
    </row>
    <row r="577" spans="1:14" x14ac:dyDescent="0.25">
      <c r="A577">
        <v>123.87545799999999</v>
      </c>
      <c r="B577" s="1">
        <f>DATE(2010,9,1) + TIME(21,0,39)</f>
        <v>40422.875451388885</v>
      </c>
      <c r="C577">
        <v>80</v>
      </c>
      <c r="D577">
        <v>79.937484741000006</v>
      </c>
      <c r="E577">
        <v>40</v>
      </c>
      <c r="F577">
        <v>39.645168304000002</v>
      </c>
      <c r="G577">
        <v>1337.5457764</v>
      </c>
      <c r="H577">
        <v>1335.6959228999999</v>
      </c>
      <c r="I577">
        <v>1324.9221190999999</v>
      </c>
      <c r="J577">
        <v>1322.4118652</v>
      </c>
      <c r="K577">
        <v>1650</v>
      </c>
      <c r="L577">
        <v>0</v>
      </c>
      <c r="M577">
        <v>0</v>
      </c>
      <c r="N577">
        <v>1650</v>
      </c>
    </row>
    <row r="578" spans="1:14" x14ac:dyDescent="0.25">
      <c r="A578">
        <v>124.76381600000001</v>
      </c>
      <c r="B578" s="1">
        <f>DATE(2010,9,2) + TIME(18,19,53)</f>
        <v>40423.763807870368</v>
      </c>
      <c r="C578">
        <v>80</v>
      </c>
      <c r="D578">
        <v>79.937538146999998</v>
      </c>
      <c r="E578">
        <v>40</v>
      </c>
      <c r="F578">
        <v>40.036052703999999</v>
      </c>
      <c r="G578">
        <v>1337.5426024999999</v>
      </c>
      <c r="H578">
        <v>1335.6936035000001</v>
      </c>
      <c r="I578">
        <v>1324.9342041</v>
      </c>
      <c r="J578">
        <v>1322.4310303</v>
      </c>
      <c r="K578">
        <v>1650</v>
      </c>
      <c r="L578">
        <v>0</v>
      </c>
      <c r="M578">
        <v>0</v>
      </c>
      <c r="N578">
        <v>1650</v>
      </c>
    </row>
    <row r="579" spans="1:14" x14ac:dyDescent="0.25">
      <c r="A579">
        <v>125.21545</v>
      </c>
      <c r="B579" s="1">
        <f>DATE(2010,9,3) + TIME(5,10,14)</f>
        <v>40424.215439814812</v>
      </c>
      <c r="C579">
        <v>80</v>
      </c>
      <c r="D579">
        <v>79.937561035000002</v>
      </c>
      <c r="E579">
        <v>40</v>
      </c>
      <c r="F579">
        <v>40.305404662999997</v>
      </c>
      <c r="G579">
        <v>1337.5393065999999</v>
      </c>
      <c r="H579">
        <v>1335.6911620999999</v>
      </c>
      <c r="I579">
        <v>1324.9486084</v>
      </c>
      <c r="J579">
        <v>1322.4488524999999</v>
      </c>
      <c r="K579">
        <v>1650</v>
      </c>
      <c r="L579">
        <v>0</v>
      </c>
      <c r="M579">
        <v>0</v>
      </c>
      <c r="N579">
        <v>1650</v>
      </c>
    </row>
    <row r="580" spans="1:14" x14ac:dyDescent="0.25">
      <c r="A580">
        <v>125.666445</v>
      </c>
      <c r="B580" s="1">
        <f>DATE(2010,9,3) + TIME(15,59,40)</f>
        <v>40424.666435185187</v>
      </c>
      <c r="C580">
        <v>80</v>
      </c>
      <c r="D580">
        <v>79.937591553000004</v>
      </c>
      <c r="E580">
        <v>40</v>
      </c>
      <c r="F580">
        <v>40.546131133999999</v>
      </c>
      <c r="G580">
        <v>1337.5377197</v>
      </c>
      <c r="H580">
        <v>1335.6899414</v>
      </c>
      <c r="I580">
        <v>1324.9544678</v>
      </c>
      <c r="J580">
        <v>1322.4605713000001</v>
      </c>
      <c r="K580">
        <v>1650</v>
      </c>
      <c r="L580">
        <v>0</v>
      </c>
      <c r="M580">
        <v>0</v>
      </c>
      <c r="N580">
        <v>1650</v>
      </c>
    </row>
    <row r="581" spans="1:14" x14ac:dyDescent="0.25">
      <c r="A581">
        <v>126.116095</v>
      </c>
      <c r="B581" s="1">
        <f>DATE(2010,9,4) + TIME(2,47,10)</f>
        <v>40425.116087962961</v>
      </c>
      <c r="C581">
        <v>80</v>
      </c>
      <c r="D581">
        <v>79.937614440999994</v>
      </c>
      <c r="E581">
        <v>40</v>
      </c>
      <c r="F581">
        <v>40.767860413000001</v>
      </c>
      <c r="G581">
        <v>1337.5360106999999</v>
      </c>
      <c r="H581">
        <v>1335.6888428</v>
      </c>
      <c r="I581">
        <v>1324.9605713000001</v>
      </c>
      <c r="J581">
        <v>1322.4716797000001</v>
      </c>
      <c r="K581">
        <v>1650</v>
      </c>
      <c r="L581">
        <v>0</v>
      </c>
      <c r="M581">
        <v>0</v>
      </c>
      <c r="N581">
        <v>1650</v>
      </c>
    </row>
    <row r="582" spans="1:14" x14ac:dyDescent="0.25">
      <c r="A582">
        <v>126.564791</v>
      </c>
      <c r="B582" s="1">
        <f>DATE(2010,9,4) + TIME(13,33,17)</f>
        <v>40425.564780092594</v>
      </c>
      <c r="C582">
        <v>80</v>
      </c>
      <c r="D582">
        <v>79.937644958000007</v>
      </c>
      <c r="E582">
        <v>40</v>
      </c>
      <c r="F582">
        <v>40.976894379000001</v>
      </c>
      <c r="G582">
        <v>1337.5344238</v>
      </c>
      <c r="H582">
        <v>1335.6876221</v>
      </c>
      <c r="I582">
        <v>1324.9666748</v>
      </c>
      <c r="J582">
        <v>1322.4824219</v>
      </c>
      <c r="K582">
        <v>1650</v>
      </c>
      <c r="L582">
        <v>0</v>
      </c>
      <c r="M582">
        <v>0</v>
      </c>
      <c r="N582">
        <v>1650</v>
      </c>
    </row>
    <row r="583" spans="1:14" x14ac:dyDescent="0.25">
      <c r="A583">
        <v>127.012913</v>
      </c>
      <c r="B583" s="1">
        <f>DATE(2010,9,5) + TIME(0,18,35)</f>
        <v>40426.01290509259</v>
      </c>
      <c r="C583">
        <v>80</v>
      </c>
      <c r="D583">
        <v>79.937675475999995</v>
      </c>
      <c r="E583">
        <v>40</v>
      </c>
      <c r="F583">
        <v>41.177246093999997</v>
      </c>
      <c r="G583">
        <v>1337.5328368999999</v>
      </c>
      <c r="H583">
        <v>1335.6865233999999</v>
      </c>
      <c r="I583">
        <v>1324.9727783000001</v>
      </c>
      <c r="J583">
        <v>1322.4929199000001</v>
      </c>
      <c r="K583">
        <v>1650</v>
      </c>
      <c r="L583">
        <v>0</v>
      </c>
      <c r="M583">
        <v>0</v>
      </c>
      <c r="N583">
        <v>1650</v>
      </c>
    </row>
    <row r="584" spans="1:14" x14ac:dyDescent="0.25">
      <c r="A584">
        <v>127.460837</v>
      </c>
      <c r="B584" s="1">
        <f>DATE(2010,9,5) + TIME(11,3,36)</f>
        <v>40426.460833333331</v>
      </c>
      <c r="C584">
        <v>80</v>
      </c>
      <c r="D584">
        <v>79.937698363999999</v>
      </c>
      <c r="E584">
        <v>40</v>
      </c>
      <c r="F584">
        <v>41.371490479000002</v>
      </c>
      <c r="G584">
        <v>1337.5313721</v>
      </c>
      <c r="H584">
        <v>1335.6854248</v>
      </c>
      <c r="I584">
        <v>1324.9790039</v>
      </c>
      <c r="J584">
        <v>1322.5031738</v>
      </c>
      <c r="K584">
        <v>1650</v>
      </c>
      <c r="L584">
        <v>0</v>
      </c>
      <c r="M584">
        <v>0</v>
      </c>
      <c r="N584">
        <v>1650</v>
      </c>
    </row>
    <row r="585" spans="1:14" x14ac:dyDescent="0.25">
      <c r="A585">
        <v>127.908761</v>
      </c>
      <c r="B585" s="1">
        <f>DATE(2010,9,5) + TIME(21,48,36)</f>
        <v>40426.908750000002</v>
      </c>
      <c r="C585">
        <v>80</v>
      </c>
      <c r="D585">
        <v>79.937728882000002</v>
      </c>
      <c r="E585">
        <v>40</v>
      </c>
      <c r="F585">
        <v>41.561260222999998</v>
      </c>
      <c r="G585">
        <v>1337.5297852000001</v>
      </c>
      <c r="H585">
        <v>1335.6842041</v>
      </c>
      <c r="I585">
        <v>1324.9851074000001</v>
      </c>
      <c r="J585">
        <v>1322.5133057</v>
      </c>
      <c r="K585">
        <v>1650</v>
      </c>
      <c r="L585">
        <v>0</v>
      </c>
      <c r="M585">
        <v>0</v>
      </c>
      <c r="N585">
        <v>1650</v>
      </c>
    </row>
    <row r="586" spans="1:14" x14ac:dyDescent="0.25">
      <c r="A586">
        <v>128.356685</v>
      </c>
      <c r="B586" s="1">
        <f>DATE(2010,9,6) + TIME(8,33,37)</f>
        <v>40427.356678240743</v>
      </c>
      <c r="C586">
        <v>80</v>
      </c>
      <c r="D586">
        <v>79.937759399000001</v>
      </c>
      <c r="E586">
        <v>40</v>
      </c>
      <c r="F586">
        <v>41.747566223</v>
      </c>
      <c r="G586">
        <v>1337.5281981999999</v>
      </c>
      <c r="H586">
        <v>1335.6831055</v>
      </c>
      <c r="I586">
        <v>1324.9913329999999</v>
      </c>
      <c r="J586">
        <v>1322.5234375</v>
      </c>
      <c r="K586">
        <v>1650</v>
      </c>
      <c r="L586">
        <v>0</v>
      </c>
      <c r="M586">
        <v>0</v>
      </c>
      <c r="N586">
        <v>1650</v>
      </c>
    </row>
    <row r="587" spans="1:14" x14ac:dyDescent="0.25">
      <c r="A587">
        <v>128.804609</v>
      </c>
      <c r="B587" s="1">
        <f>DATE(2010,9,6) + TIME(19,18,38)</f>
        <v>40427.804606481484</v>
      </c>
      <c r="C587">
        <v>80</v>
      </c>
      <c r="D587">
        <v>79.937789917000003</v>
      </c>
      <c r="E587">
        <v>40</v>
      </c>
      <c r="F587">
        <v>41.931056976000001</v>
      </c>
      <c r="G587">
        <v>1337.5267334</v>
      </c>
      <c r="H587">
        <v>1335.6820068</v>
      </c>
      <c r="I587">
        <v>1324.9974365</v>
      </c>
      <c r="J587">
        <v>1322.5334473</v>
      </c>
      <c r="K587">
        <v>1650</v>
      </c>
      <c r="L587">
        <v>0</v>
      </c>
      <c r="M587">
        <v>0</v>
      </c>
      <c r="N587">
        <v>1650</v>
      </c>
    </row>
    <row r="588" spans="1:14" x14ac:dyDescent="0.25">
      <c r="A588">
        <v>129.700458</v>
      </c>
      <c r="B588" s="1">
        <f>DATE(2010,9,7) + TIME(16,48,39)</f>
        <v>40428.70045138889</v>
      </c>
      <c r="C588">
        <v>80</v>
      </c>
      <c r="D588">
        <v>79.937858582000004</v>
      </c>
      <c r="E588">
        <v>40</v>
      </c>
      <c r="F588">
        <v>42.194408416999998</v>
      </c>
      <c r="G588">
        <v>1337.5251464999999</v>
      </c>
      <c r="H588">
        <v>1335.6809082</v>
      </c>
      <c r="I588">
        <v>1325.0021973</v>
      </c>
      <c r="J588">
        <v>1322.5446777</v>
      </c>
      <c r="K588">
        <v>1650</v>
      </c>
      <c r="L588">
        <v>0</v>
      </c>
      <c r="M588">
        <v>0</v>
      </c>
      <c r="N588">
        <v>1650</v>
      </c>
    </row>
    <row r="589" spans="1:14" x14ac:dyDescent="0.25">
      <c r="A589">
        <v>130.59698399999999</v>
      </c>
      <c r="B589" s="1">
        <f>DATE(2010,9,8) + TIME(14,19,39)</f>
        <v>40429.596979166665</v>
      </c>
      <c r="C589">
        <v>80</v>
      </c>
      <c r="D589">
        <v>79.937919617000006</v>
      </c>
      <c r="E589">
        <v>40</v>
      </c>
      <c r="F589">
        <v>42.505214690999999</v>
      </c>
      <c r="G589">
        <v>1337.5222168</v>
      </c>
      <c r="H589">
        <v>1335.6788329999999</v>
      </c>
      <c r="I589">
        <v>1325.0144043</v>
      </c>
      <c r="J589">
        <v>1322.5620117000001</v>
      </c>
      <c r="K589">
        <v>1650</v>
      </c>
      <c r="L589">
        <v>0</v>
      </c>
      <c r="M589">
        <v>0</v>
      </c>
      <c r="N589">
        <v>1650</v>
      </c>
    </row>
    <row r="590" spans="1:14" x14ac:dyDescent="0.25">
      <c r="A590">
        <v>131.50360599999999</v>
      </c>
      <c r="B590" s="1">
        <f>DATE(2010,9,9) + TIME(12,5,11)</f>
        <v>40430.503599537034</v>
      </c>
      <c r="C590">
        <v>80</v>
      </c>
      <c r="D590">
        <v>79.937980651999993</v>
      </c>
      <c r="E590">
        <v>40</v>
      </c>
      <c r="F590">
        <v>42.835704802999999</v>
      </c>
      <c r="G590">
        <v>1337.5191649999999</v>
      </c>
      <c r="H590">
        <v>1335.6766356999999</v>
      </c>
      <c r="I590">
        <v>1325.0266113</v>
      </c>
      <c r="J590">
        <v>1322.5804443</v>
      </c>
      <c r="K590">
        <v>1650</v>
      </c>
      <c r="L590">
        <v>0</v>
      </c>
      <c r="M590">
        <v>0</v>
      </c>
      <c r="N590">
        <v>1650</v>
      </c>
    </row>
    <row r="591" spans="1:14" x14ac:dyDescent="0.25">
      <c r="A591">
        <v>132.42315099999999</v>
      </c>
      <c r="B591" s="1">
        <f>DATE(2010,9,10) + TIME(10,9,20)</f>
        <v>40431.423148148147</v>
      </c>
      <c r="C591">
        <v>80</v>
      </c>
      <c r="D591">
        <v>79.938041686999995</v>
      </c>
      <c r="E591">
        <v>40</v>
      </c>
      <c r="F591">
        <v>43.174156189000001</v>
      </c>
      <c r="G591">
        <v>1337.5162353999999</v>
      </c>
      <c r="H591">
        <v>1335.6745605000001</v>
      </c>
      <c r="I591">
        <v>1325.0388184000001</v>
      </c>
      <c r="J591">
        <v>1322.5993652</v>
      </c>
      <c r="K591">
        <v>1650</v>
      </c>
      <c r="L591">
        <v>0</v>
      </c>
      <c r="M591">
        <v>0</v>
      </c>
      <c r="N591">
        <v>1650</v>
      </c>
    </row>
    <row r="592" spans="1:14" x14ac:dyDescent="0.25">
      <c r="A592">
        <v>133.356019</v>
      </c>
      <c r="B592" s="1">
        <f>DATE(2010,9,11) + TIME(8,32,40)</f>
        <v>40432.35601851852</v>
      </c>
      <c r="C592">
        <v>80</v>
      </c>
      <c r="D592">
        <v>79.938102721999996</v>
      </c>
      <c r="E592">
        <v>40</v>
      </c>
      <c r="F592">
        <v>43.515228270999998</v>
      </c>
      <c r="G592">
        <v>1337.5133057</v>
      </c>
      <c r="H592">
        <v>1335.6724853999999</v>
      </c>
      <c r="I592">
        <v>1325.0511475000001</v>
      </c>
      <c r="J592">
        <v>1322.6186522999999</v>
      </c>
      <c r="K592">
        <v>1650</v>
      </c>
      <c r="L592">
        <v>0</v>
      </c>
      <c r="M592">
        <v>0</v>
      </c>
      <c r="N592">
        <v>1650</v>
      </c>
    </row>
    <row r="593" spans="1:14" x14ac:dyDescent="0.25">
      <c r="A593">
        <v>134.30031500000001</v>
      </c>
      <c r="B593" s="1">
        <f>DATE(2010,9,12) + TIME(7,12,27)</f>
        <v>40433.300312500003</v>
      </c>
      <c r="C593">
        <v>80</v>
      </c>
      <c r="D593">
        <v>79.938163756999998</v>
      </c>
      <c r="E593">
        <v>40</v>
      </c>
      <c r="F593">
        <v>43.856033324999999</v>
      </c>
      <c r="G593">
        <v>1337.510376</v>
      </c>
      <c r="H593">
        <v>1335.6704102000001</v>
      </c>
      <c r="I593">
        <v>1325.0635986</v>
      </c>
      <c r="J593">
        <v>1322.6381836</v>
      </c>
      <c r="K593">
        <v>1650</v>
      </c>
      <c r="L593">
        <v>0</v>
      </c>
      <c r="M593">
        <v>0</v>
      </c>
      <c r="N593">
        <v>1650</v>
      </c>
    </row>
    <row r="594" spans="1:14" x14ac:dyDescent="0.25">
      <c r="A594">
        <v>135.259265</v>
      </c>
      <c r="B594" s="1">
        <f>DATE(2010,9,13) + TIME(6,13,20)</f>
        <v>40434.259259259263</v>
      </c>
      <c r="C594">
        <v>80</v>
      </c>
      <c r="D594">
        <v>79.938224792</v>
      </c>
      <c r="E594">
        <v>40</v>
      </c>
      <c r="F594">
        <v>44.195537567000002</v>
      </c>
      <c r="G594">
        <v>1337.5074463000001</v>
      </c>
      <c r="H594">
        <v>1335.6683350000001</v>
      </c>
      <c r="I594">
        <v>1325.0761719</v>
      </c>
      <c r="J594">
        <v>1322.6578368999999</v>
      </c>
      <c r="K594">
        <v>1650</v>
      </c>
      <c r="L594">
        <v>0</v>
      </c>
      <c r="M594">
        <v>0</v>
      </c>
      <c r="N594">
        <v>1650</v>
      </c>
    </row>
    <row r="595" spans="1:14" x14ac:dyDescent="0.25">
      <c r="A595">
        <v>136.22723500000001</v>
      </c>
      <c r="B595" s="1">
        <f>DATE(2010,9,14) + TIME(5,27,13)</f>
        <v>40435.227233796293</v>
      </c>
      <c r="C595">
        <v>80</v>
      </c>
      <c r="D595">
        <v>79.938285828000005</v>
      </c>
      <c r="E595">
        <v>40</v>
      </c>
      <c r="F595">
        <v>44.532409668</v>
      </c>
      <c r="G595">
        <v>1337.5045166</v>
      </c>
      <c r="H595">
        <v>1335.6662598</v>
      </c>
      <c r="I595">
        <v>1325.0888672000001</v>
      </c>
      <c r="J595">
        <v>1322.6776123</v>
      </c>
      <c r="K595">
        <v>1650</v>
      </c>
      <c r="L595">
        <v>0</v>
      </c>
      <c r="M595">
        <v>0</v>
      </c>
      <c r="N595">
        <v>1650</v>
      </c>
    </row>
    <row r="596" spans="1:14" x14ac:dyDescent="0.25">
      <c r="A596">
        <v>136.71722199999999</v>
      </c>
      <c r="B596" s="1">
        <f>DATE(2010,9,14) + TIME(17,12,47)</f>
        <v>40435.717210648145</v>
      </c>
      <c r="C596">
        <v>80</v>
      </c>
      <c r="D596">
        <v>79.938316345000004</v>
      </c>
      <c r="E596">
        <v>40</v>
      </c>
      <c r="F596">
        <v>44.766609191999997</v>
      </c>
      <c r="G596">
        <v>1337.5015868999999</v>
      </c>
      <c r="H596">
        <v>1335.6641846</v>
      </c>
      <c r="I596">
        <v>1325.1031493999999</v>
      </c>
      <c r="J596">
        <v>1322.6956786999999</v>
      </c>
      <c r="K596">
        <v>1650</v>
      </c>
      <c r="L596">
        <v>0</v>
      </c>
      <c r="M596">
        <v>0</v>
      </c>
      <c r="N596">
        <v>1650</v>
      </c>
    </row>
    <row r="597" spans="1:14" x14ac:dyDescent="0.25">
      <c r="A597">
        <v>137.20720900000001</v>
      </c>
      <c r="B597" s="1">
        <f>DATE(2010,9,15) + TIME(4,58,22)</f>
        <v>40436.207199074073</v>
      </c>
      <c r="C597">
        <v>80</v>
      </c>
      <c r="D597">
        <v>79.938339232999994</v>
      </c>
      <c r="E597">
        <v>40</v>
      </c>
      <c r="F597">
        <v>44.972076416</v>
      </c>
      <c r="G597">
        <v>1337.5001221</v>
      </c>
      <c r="H597">
        <v>1335.6632079999999</v>
      </c>
      <c r="I597">
        <v>1325.1094971</v>
      </c>
      <c r="J597">
        <v>1322.7073975000001</v>
      </c>
      <c r="K597">
        <v>1650</v>
      </c>
      <c r="L597">
        <v>0</v>
      </c>
      <c r="M597">
        <v>0</v>
      </c>
      <c r="N597">
        <v>1650</v>
      </c>
    </row>
    <row r="598" spans="1:14" x14ac:dyDescent="0.25">
      <c r="A598">
        <v>137.69719599999999</v>
      </c>
      <c r="B598" s="1">
        <f>DATE(2010,9,15) + TIME(16,43,57)</f>
        <v>40436.697187500002</v>
      </c>
      <c r="C598">
        <v>80</v>
      </c>
      <c r="D598">
        <v>79.938369750999996</v>
      </c>
      <c r="E598">
        <v>40</v>
      </c>
      <c r="F598">
        <v>45.159633636000002</v>
      </c>
      <c r="G598">
        <v>1337.4986572</v>
      </c>
      <c r="H598">
        <v>1335.6621094</v>
      </c>
      <c r="I598">
        <v>1325.1158447</v>
      </c>
      <c r="J598">
        <v>1322.7185059000001</v>
      </c>
      <c r="K598">
        <v>1650</v>
      </c>
      <c r="L598">
        <v>0</v>
      </c>
      <c r="M598">
        <v>0</v>
      </c>
      <c r="N598">
        <v>1650</v>
      </c>
    </row>
    <row r="599" spans="1:14" x14ac:dyDescent="0.25">
      <c r="A599">
        <v>138.18718200000001</v>
      </c>
      <c r="B599" s="1">
        <f>DATE(2010,9,16) + TIME(4,29,32)</f>
        <v>40437.187175925923</v>
      </c>
      <c r="C599">
        <v>80</v>
      </c>
      <c r="D599">
        <v>79.938400268999999</v>
      </c>
      <c r="E599">
        <v>40</v>
      </c>
      <c r="F599">
        <v>45.335754395000002</v>
      </c>
      <c r="G599">
        <v>1337.4971923999999</v>
      </c>
      <c r="H599">
        <v>1335.6611327999999</v>
      </c>
      <c r="I599">
        <v>1325.1223144999999</v>
      </c>
      <c r="J599">
        <v>1322.7290039</v>
      </c>
      <c r="K599">
        <v>1650</v>
      </c>
      <c r="L599">
        <v>0</v>
      </c>
      <c r="M599">
        <v>0</v>
      </c>
      <c r="N599">
        <v>1650</v>
      </c>
    </row>
    <row r="600" spans="1:14" x14ac:dyDescent="0.25">
      <c r="A600">
        <v>138.67716899999999</v>
      </c>
      <c r="B600" s="1">
        <f>DATE(2010,9,16) + TIME(16,15,7)</f>
        <v>40437.677164351851</v>
      </c>
      <c r="C600">
        <v>80</v>
      </c>
      <c r="D600">
        <v>79.938430785999998</v>
      </c>
      <c r="E600">
        <v>40</v>
      </c>
      <c r="F600">
        <v>45.504299164000003</v>
      </c>
      <c r="G600">
        <v>1337.4958495999999</v>
      </c>
      <c r="H600">
        <v>1335.6601562000001</v>
      </c>
      <c r="I600">
        <v>1325.1286620999999</v>
      </c>
      <c r="J600">
        <v>1322.7392577999999</v>
      </c>
      <c r="K600">
        <v>1650</v>
      </c>
      <c r="L600">
        <v>0</v>
      </c>
      <c r="M600">
        <v>0</v>
      </c>
      <c r="N600">
        <v>1650</v>
      </c>
    </row>
    <row r="601" spans="1:14" x14ac:dyDescent="0.25">
      <c r="A601">
        <v>139.16715600000001</v>
      </c>
      <c r="B601" s="1">
        <f>DATE(2010,9,17) + TIME(4,0,42)</f>
        <v>40438.16715277778</v>
      </c>
      <c r="C601">
        <v>80</v>
      </c>
      <c r="D601">
        <v>79.938468932999996</v>
      </c>
      <c r="E601">
        <v>40</v>
      </c>
      <c r="F601">
        <v>45.667575835999997</v>
      </c>
      <c r="G601">
        <v>1337.4943848</v>
      </c>
      <c r="H601">
        <v>1335.6591797000001</v>
      </c>
      <c r="I601">
        <v>1325.1350098</v>
      </c>
      <c r="J601">
        <v>1322.7492675999999</v>
      </c>
      <c r="K601">
        <v>1650</v>
      </c>
      <c r="L601">
        <v>0</v>
      </c>
      <c r="M601">
        <v>0</v>
      </c>
      <c r="N601">
        <v>1650</v>
      </c>
    </row>
    <row r="602" spans="1:14" x14ac:dyDescent="0.25">
      <c r="A602">
        <v>139.65714299999999</v>
      </c>
      <c r="B602" s="1">
        <f>DATE(2010,9,17) + TIME(15,46,17)</f>
        <v>40438.657141203701</v>
      </c>
      <c r="C602">
        <v>80</v>
      </c>
      <c r="D602">
        <v>79.938499450999998</v>
      </c>
      <c r="E602">
        <v>40</v>
      </c>
      <c r="F602">
        <v>45.826972961000003</v>
      </c>
      <c r="G602">
        <v>1337.4930420000001</v>
      </c>
      <c r="H602">
        <v>1335.6582031</v>
      </c>
      <c r="I602">
        <v>1325.1412353999999</v>
      </c>
      <c r="J602">
        <v>1322.7590332</v>
      </c>
      <c r="K602">
        <v>1650</v>
      </c>
      <c r="L602">
        <v>0</v>
      </c>
      <c r="M602">
        <v>0</v>
      </c>
      <c r="N602">
        <v>1650</v>
      </c>
    </row>
    <row r="603" spans="1:14" x14ac:dyDescent="0.25">
      <c r="A603">
        <v>140.14713</v>
      </c>
      <c r="B603" s="1">
        <f>DATE(2010,9,18) + TIME(3,31,52)</f>
        <v>40439.147129629629</v>
      </c>
      <c r="C603">
        <v>80</v>
      </c>
      <c r="D603">
        <v>79.938529967999997</v>
      </c>
      <c r="E603">
        <v>40</v>
      </c>
      <c r="F603">
        <v>45.983325958000002</v>
      </c>
      <c r="G603">
        <v>1337.4915771000001</v>
      </c>
      <c r="H603">
        <v>1335.6572266000001</v>
      </c>
      <c r="I603">
        <v>1325.1475829999999</v>
      </c>
      <c r="J603">
        <v>1322.7687988</v>
      </c>
      <c r="K603">
        <v>1650</v>
      </c>
      <c r="L603">
        <v>0</v>
      </c>
      <c r="M603">
        <v>0</v>
      </c>
      <c r="N603">
        <v>1650</v>
      </c>
    </row>
    <row r="604" spans="1:14" x14ac:dyDescent="0.25">
      <c r="A604">
        <v>140.63711699999999</v>
      </c>
      <c r="B604" s="1">
        <f>DATE(2010,9,18) + TIME(15,17,26)</f>
        <v>40439.637106481481</v>
      </c>
      <c r="C604">
        <v>80</v>
      </c>
      <c r="D604">
        <v>79.938560486</v>
      </c>
      <c r="E604">
        <v>40</v>
      </c>
      <c r="F604">
        <v>46.137138366999999</v>
      </c>
      <c r="G604">
        <v>1337.4902344</v>
      </c>
      <c r="H604">
        <v>1335.65625</v>
      </c>
      <c r="I604">
        <v>1325.1538086</v>
      </c>
      <c r="J604">
        <v>1322.7783202999999</v>
      </c>
      <c r="K604">
        <v>1650</v>
      </c>
      <c r="L604">
        <v>0</v>
      </c>
      <c r="M604">
        <v>0</v>
      </c>
      <c r="N604">
        <v>1650</v>
      </c>
    </row>
    <row r="605" spans="1:14" x14ac:dyDescent="0.25">
      <c r="A605">
        <v>141.127104</v>
      </c>
      <c r="B605" s="1">
        <f>DATE(2010,9,19) + TIME(3,3,1)</f>
        <v>40440.12709490741</v>
      </c>
      <c r="C605">
        <v>80</v>
      </c>
      <c r="D605">
        <v>79.938591002999999</v>
      </c>
      <c r="E605">
        <v>40</v>
      </c>
      <c r="F605">
        <v>46.288715363000001</v>
      </c>
      <c r="G605">
        <v>1337.4888916</v>
      </c>
      <c r="H605">
        <v>1335.6553954999999</v>
      </c>
      <c r="I605">
        <v>1325.1599120999999</v>
      </c>
      <c r="J605">
        <v>1322.7877197</v>
      </c>
      <c r="K605">
        <v>1650</v>
      </c>
      <c r="L605">
        <v>0</v>
      </c>
      <c r="M605">
        <v>0</v>
      </c>
      <c r="N605">
        <v>1650</v>
      </c>
    </row>
    <row r="606" spans="1:14" x14ac:dyDescent="0.25">
      <c r="A606">
        <v>142.107077</v>
      </c>
      <c r="B606" s="1">
        <f>DATE(2010,9,20) + TIME(2,34,11)</f>
        <v>40441.107071759259</v>
      </c>
      <c r="C606">
        <v>80</v>
      </c>
      <c r="D606">
        <v>79.938667296999995</v>
      </c>
      <c r="E606">
        <v>40</v>
      </c>
      <c r="F606">
        <v>46.501319885000001</v>
      </c>
      <c r="G606">
        <v>1337.4875488</v>
      </c>
      <c r="H606">
        <v>1335.6544189000001</v>
      </c>
      <c r="I606">
        <v>1325.1651611</v>
      </c>
      <c r="J606">
        <v>1322.7982178</v>
      </c>
      <c r="K606">
        <v>1650</v>
      </c>
      <c r="L606">
        <v>0</v>
      </c>
      <c r="M606">
        <v>0</v>
      </c>
      <c r="N606">
        <v>1650</v>
      </c>
    </row>
    <row r="607" spans="1:14" x14ac:dyDescent="0.25">
      <c r="A607">
        <v>143.0874</v>
      </c>
      <c r="B607" s="1">
        <f>DATE(2010,9,21) + TIME(2,5,51)</f>
        <v>40442.087395833332</v>
      </c>
      <c r="C607">
        <v>80</v>
      </c>
      <c r="D607">
        <v>79.938735961999996</v>
      </c>
      <c r="E607">
        <v>40</v>
      </c>
      <c r="F607">
        <v>46.757949828999998</v>
      </c>
      <c r="G607">
        <v>1337.4848632999999</v>
      </c>
      <c r="H607">
        <v>1335.6525879000001</v>
      </c>
      <c r="I607">
        <v>1325.1770019999999</v>
      </c>
      <c r="J607">
        <v>1322.8143310999999</v>
      </c>
      <c r="K607">
        <v>1650</v>
      </c>
      <c r="L607">
        <v>0</v>
      </c>
      <c r="M607">
        <v>0</v>
      </c>
      <c r="N607">
        <v>1650</v>
      </c>
    </row>
    <row r="608" spans="1:14" x14ac:dyDescent="0.25">
      <c r="A608">
        <v>144.081186</v>
      </c>
      <c r="B608" s="1">
        <f>DATE(2010,9,22) + TIME(1,56,54)</f>
        <v>40443.081180555557</v>
      </c>
      <c r="C608">
        <v>80</v>
      </c>
      <c r="D608">
        <v>79.938796996999997</v>
      </c>
      <c r="E608">
        <v>40</v>
      </c>
      <c r="F608">
        <v>47.030815124999997</v>
      </c>
      <c r="G608">
        <v>1337.4821777</v>
      </c>
      <c r="H608">
        <v>1335.6507568</v>
      </c>
      <c r="I608">
        <v>1325.1888428</v>
      </c>
      <c r="J608">
        <v>1322.831543</v>
      </c>
      <c r="K608">
        <v>1650</v>
      </c>
      <c r="L608">
        <v>0</v>
      </c>
      <c r="M608">
        <v>0</v>
      </c>
      <c r="N608">
        <v>1650</v>
      </c>
    </row>
    <row r="609" spans="1:14" x14ac:dyDescent="0.25">
      <c r="A609">
        <v>145.09157500000001</v>
      </c>
      <c r="B609" s="1">
        <f>DATE(2010,9,23) + TIME(2,11,52)</f>
        <v>40444.091574074075</v>
      </c>
      <c r="C609">
        <v>80</v>
      </c>
      <c r="D609">
        <v>79.938865661999998</v>
      </c>
      <c r="E609">
        <v>40</v>
      </c>
      <c r="F609">
        <v>47.309295654000003</v>
      </c>
      <c r="G609">
        <v>1337.4796143000001</v>
      </c>
      <c r="H609">
        <v>1335.6489257999999</v>
      </c>
      <c r="I609">
        <v>1325.2008057</v>
      </c>
      <c r="J609">
        <v>1322.8492432</v>
      </c>
      <c r="K609">
        <v>1650</v>
      </c>
      <c r="L609">
        <v>0</v>
      </c>
      <c r="M609">
        <v>0</v>
      </c>
      <c r="N609">
        <v>1650</v>
      </c>
    </row>
    <row r="610" spans="1:14" x14ac:dyDescent="0.25">
      <c r="A610">
        <v>146.119437</v>
      </c>
      <c r="B610" s="1">
        <f>DATE(2010,9,24) + TIME(2,51,59)</f>
        <v>40445.119432870371</v>
      </c>
      <c r="C610">
        <v>80</v>
      </c>
      <c r="D610">
        <v>79.938934325999995</v>
      </c>
      <c r="E610">
        <v>40</v>
      </c>
      <c r="F610">
        <v>47.588996887</v>
      </c>
      <c r="G610">
        <v>1337.4769286999999</v>
      </c>
      <c r="H610">
        <v>1335.6472168</v>
      </c>
      <c r="I610">
        <v>1325.2130127</v>
      </c>
      <c r="J610">
        <v>1322.8671875</v>
      </c>
      <c r="K610">
        <v>1650</v>
      </c>
      <c r="L610">
        <v>0</v>
      </c>
      <c r="M610">
        <v>0</v>
      </c>
      <c r="N610">
        <v>1650</v>
      </c>
    </row>
    <row r="611" spans="1:14" x14ac:dyDescent="0.25">
      <c r="A611">
        <v>147.15871999999999</v>
      </c>
      <c r="B611" s="1">
        <f>DATE(2010,9,25) + TIME(3,48,33)</f>
        <v>40446.158715277779</v>
      </c>
      <c r="C611">
        <v>80</v>
      </c>
      <c r="D611">
        <v>79.939002990999995</v>
      </c>
      <c r="E611">
        <v>40</v>
      </c>
      <c r="F611">
        <v>47.867271422999998</v>
      </c>
      <c r="G611">
        <v>1337.4742432</v>
      </c>
      <c r="H611">
        <v>1335.6453856999999</v>
      </c>
      <c r="I611">
        <v>1325.2252197</v>
      </c>
      <c r="J611">
        <v>1322.885376</v>
      </c>
      <c r="K611">
        <v>1650</v>
      </c>
      <c r="L611">
        <v>0</v>
      </c>
      <c r="M611">
        <v>0</v>
      </c>
      <c r="N611">
        <v>1650</v>
      </c>
    </row>
    <row r="612" spans="1:14" x14ac:dyDescent="0.25">
      <c r="A612">
        <v>148.21280300000001</v>
      </c>
      <c r="B612" s="1">
        <f>DATE(2010,9,26) + TIME(5,6,26)</f>
        <v>40447.212800925925</v>
      </c>
      <c r="C612">
        <v>80</v>
      </c>
      <c r="D612">
        <v>79.939071655000006</v>
      </c>
      <c r="E612">
        <v>40</v>
      </c>
      <c r="F612">
        <v>48.143039702999999</v>
      </c>
      <c r="G612">
        <v>1337.4716797000001</v>
      </c>
      <c r="H612">
        <v>1335.6435547000001</v>
      </c>
      <c r="I612">
        <v>1325.2375488</v>
      </c>
      <c r="J612">
        <v>1322.9035644999999</v>
      </c>
      <c r="K612">
        <v>1650</v>
      </c>
      <c r="L612">
        <v>0</v>
      </c>
      <c r="M612">
        <v>0</v>
      </c>
      <c r="N612">
        <v>1650</v>
      </c>
    </row>
    <row r="613" spans="1:14" x14ac:dyDescent="0.25">
      <c r="A613">
        <v>149.281969</v>
      </c>
      <c r="B613" s="1">
        <f>DATE(2010,9,27) + TIME(6,46,2)</f>
        <v>40448.281967592593</v>
      </c>
      <c r="C613">
        <v>80</v>
      </c>
      <c r="D613">
        <v>79.939140320000007</v>
      </c>
      <c r="E613">
        <v>40</v>
      </c>
      <c r="F613">
        <v>48.416004180999998</v>
      </c>
      <c r="G613">
        <v>1337.4689940999999</v>
      </c>
      <c r="H613">
        <v>1335.6418457</v>
      </c>
      <c r="I613">
        <v>1325.2498779</v>
      </c>
      <c r="J613">
        <v>1322.9217529</v>
      </c>
      <c r="K613">
        <v>1650</v>
      </c>
      <c r="L613">
        <v>0</v>
      </c>
      <c r="M613">
        <v>0</v>
      </c>
      <c r="N613">
        <v>1650</v>
      </c>
    </row>
    <row r="614" spans="1:14" x14ac:dyDescent="0.25">
      <c r="A614">
        <v>149.82080199999999</v>
      </c>
      <c r="B614" s="1">
        <f>DATE(2010,9,27) + TIME(19,41,57)</f>
        <v>40448.820798611108</v>
      </c>
      <c r="C614">
        <v>80</v>
      </c>
      <c r="D614">
        <v>79.939170837000006</v>
      </c>
      <c r="E614">
        <v>40</v>
      </c>
      <c r="F614">
        <v>48.609283447000003</v>
      </c>
      <c r="G614">
        <v>1337.4664307</v>
      </c>
      <c r="H614">
        <v>1335.6401367000001</v>
      </c>
      <c r="I614">
        <v>1325.2633057</v>
      </c>
      <c r="J614">
        <v>1322.9384766000001</v>
      </c>
      <c r="K614">
        <v>1650</v>
      </c>
      <c r="L614">
        <v>0</v>
      </c>
      <c r="M614">
        <v>0</v>
      </c>
      <c r="N614">
        <v>1650</v>
      </c>
    </row>
    <row r="615" spans="1:14" x14ac:dyDescent="0.25">
      <c r="A615">
        <v>150.35687300000001</v>
      </c>
      <c r="B615" s="1">
        <f>DATE(2010,9,28) + TIME(8,33,53)</f>
        <v>40449.356863425928</v>
      </c>
      <c r="C615">
        <v>80</v>
      </c>
      <c r="D615">
        <v>79.939201354999994</v>
      </c>
      <c r="E615">
        <v>40</v>
      </c>
      <c r="F615">
        <v>48.775028229</v>
      </c>
      <c r="G615">
        <v>1337.4650879000001</v>
      </c>
      <c r="H615">
        <v>1335.6391602000001</v>
      </c>
      <c r="I615">
        <v>1325.2697754000001</v>
      </c>
      <c r="J615">
        <v>1322.9494629000001</v>
      </c>
      <c r="K615">
        <v>1650</v>
      </c>
      <c r="L615">
        <v>0</v>
      </c>
      <c r="M615">
        <v>0</v>
      </c>
      <c r="N615">
        <v>1650</v>
      </c>
    </row>
    <row r="616" spans="1:14" x14ac:dyDescent="0.25">
      <c r="A616">
        <v>150.892529</v>
      </c>
      <c r="B616" s="1">
        <f>DATE(2010,9,28) + TIME(21,25,14)</f>
        <v>40449.892523148148</v>
      </c>
      <c r="C616">
        <v>80</v>
      </c>
      <c r="D616">
        <v>79.939231872999997</v>
      </c>
      <c r="E616">
        <v>40</v>
      </c>
      <c r="F616">
        <v>48.924663543999998</v>
      </c>
      <c r="G616">
        <v>1337.4638672000001</v>
      </c>
      <c r="H616">
        <v>1335.6383057</v>
      </c>
      <c r="I616">
        <v>1325.2761230000001</v>
      </c>
      <c r="J616">
        <v>1322.9594727000001</v>
      </c>
      <c r="K616">
        <v>1650</v>
      </c>
      <c r="L616">
        <v>0</v>
      </c>
      <c r="M616">
        <v>0</v>
      </c>
      <c r="N616">
        <v>1650</v>
      </c>
    </row>
    <row r="617" spans="1:14" x14ac:dyDescent="0.25">
      <c r="A617">
        <v>151.42818500000001</v>
      </c>
      <c r="B617" s="1">
        <f>DATE(2010,9,29) + TIME(10,16,35)</f>
        <v>40450.428182870368</v>
      </c>
      <c r="C617">
        <v>80</v>
      </c>
      <c r="D617">
        <v>79.939262389999996</v>
      </c>
      <c r="E617">
        <v>40</v>
      </c>
      <c r="F617">
        <v>49.064479828000003</v>
      </c>
      <c r="G617">
        <v>1337.4625243999999</v>
      </c>
      <c r="H617">
        <v>1335.6375731999999</v>
      </c>
      <c r="I617">
        <v>1325.2824707</v>
      </c>
      <c r="J617">
        <v>1322.9691161999999</v>
      </c>
      <c r="K617">
        <v>1650</v>
      </c>
      <c r="L617">
        <v>0</v>
      </c>
      <c r="M617">
        <v>0</v>
      </c>
      <c r="N617">
        <v>1650</v>
      </c>
    </row>
    <row r="618" spans="1:14" x14ac:dyDescent="0.25">
      <c r="A618">
        <v>151.96384</v>
      </c>
      <c r="B618" s="1">
        <f>DATE(2010,9,29) + TIME(23,7,55)</f>
        <v>40450.963831018518</v>
      </c>
      <c r="C618">
        <v>80</v>
      </c>
      <c r="D618">
        <v>79.939300536999994</v>
      </c>
      <c r="E618">
        <v>40</v>
      </c>
      <c r="F618">
        <v>49.198032378999997</v>
      </c>
      <c r="G618">
        <v>1337.4613036999999</v>
      </c>
      <c r="H618">
        <v>1335.6367187999999</v>
      </c>
      <c r="I618">
        <v>1325.2886963000001</v>
      </c>
      <c r="J618">
        <v>1322.9785156</v>
      </c>
      <c r="K618">
        <v>1650</v>
      </c>
      <c r="L618">
        <v>0</v>
      </c>
      <c r="M618">
        <v>0</v>
      </c>
      <c r="N618">
        <v>1650</v>
      </c>
    </row>
    <row r="619" spans="1:14" x14ac:dyDescent="0.25">
      <c r="A619">
        <v>153</v>
      </c>
      <c r="B619" s="1">
        <f>DATE(2010,10,1) + TIME(0,0,0)</f>
        <v>40452</v>
      </c>
      <c r="C619">
        <v>80</v>
      </c>
      <c r="D619">
        <v>79.939376831000004</v>
      </c>
      <c r="E619">
        <v>40</v>
      </c>
      <c r="F619">
        <v>49.375972748000002</v>
      </c>
      <c r="G619">
        <v>1337.4599608999999</v>
      </c>
      <c r="H619">
        <v>1335.6358643000001</v>
      </c>
      <c r="I619">
        <v>1325.2941894999999</v>
      </c>
      <c r="J619">
        <v>1322.9885254000001</v>
      </c>
      <c r="K619">
        <v>1650</v>
      </c>
      <c r="L619">
        <v>0</v>
      </c>
      <c r="M619">
        <v>0</v>
      </c>
      <c r="N619">
        <v>1650</v>
      </c>
    </row>
    <row r="620" spans="1:14" x14ac:dyDescent="0.25">
      <c r="A620">
        <v>153.53565599999999</v>
      </c>
      <c r="B620" s="1">
        <f>DATE(2010,10,1) + TIME(12,51,20)</f>
        <v>40452.53564814815</v>
      </c>
      <c r="C620">
        <v>80</v>
      </c>
      <c r="D620">
        <v>79.939407349000007</v>
      </c>
      <c r="E620">
        <v>40</v>
      </c>
      <c r="F620">
        <v>49.530384064000003</v>
      </c>
      <c r="G620">
        <v>1337.4576416</v>
      </c>
      <c r="H620">
        <v>1335.6342772999999</v>
      </c>
      <c r="I620">
        <v>1325.3061522999999</v>
      </c>
      <c r="J620">
        <v>1323.0023193</v>
      </c>
      <c r="K620">
        <v>1650</v>
      </c>
      <c r="L620">
        <v>0</v>
      </c>
      <c r="M620">
        <v>0</v>
      </c>
      <c r="N620">
        <v>1650</v>
      </c>
    </row>
    <row r="621" spans="1:14" x14ac:dyDescent="0.25">
      <c r="A621">
        <v>154.606967</v>
      </c>
      <c r="B621" s="1">
        <f>DATE(2010,10,2) + TIME(14,34,1)</f>
        <v>40453.606956018521</v>
      </c>
      <c r="C621">
        <v>80</v>
      </c>
      <c r="D621">
        <v>79.939483643000003</v>
      </c>
      <c r="E621">
        <v>40</v>
      </c>
      <c r="F621">
        <v>49.724304199000002</v>
      </c>
      <c r="G621">
        <v>1337.4564209</v>
      </c>
      <c r="H621">
        <v>1335.6334228999999</v>
      </c>
      <c r="I621">
        <v>1325.3116454999999</v>
      </c>
      <c r="J621">
        <v>1323.0130615</v>
      </c>
      <c r="K621">
        <v>1650</v>
      </c>
      <c r="L621">
        <v>0</v>
      </c>
      <c r="M621">
        <v>0</v>
      </c>
      <c r="N621">
        <v>1650</v>
      </c>
    </row>
    <row r="622" spans="1:14" x14ac:dyDescent="0.25">
      <c r="A622">
        <v>155.680903</v>
      </c>
      <c r="B622" s="1">
        <f>DATE(2010,10,3) + TIME(16,20,29)</f>
        <v>40454.680891203701</v>
      </c>
      <c r="C622">
        <v>80</v>
      </c>
      <c r="D622">
        <v>79.939552307</v>
      </c>
      <c r="E622">
        <v>40</v>
      </c>
      <c r="F622">
        <v>49.943183898999997</v>
      </c>
      <c r="G622">
        <v>1337.4539795000001</v>
      </c>
      <c r="H622">
        <v>1335.6318358999999</v>
      </c>
      <c r="I622">
        <v>1325.3232422000001</v>
      </c>
      <c r="J622">
        <v>1323.0286865</v>
      </c>
      <c r="K622">
        <v>1650</v>
      </c>
      <c r="L622">
        <v>0</v>
      </c>
      <c r="M622">
        <v>0</v>
      </c>
      <c r="N622">
        <v>1650</v>
      </c>
    </row>
    <row r="623" spans="1:14" x14ac:dyDescent="0.25">
      <c r="A623">
        <v>156.767717</v>
      </c>
      <c r="B623" s="1">
        <f>DATE(2010,10,4) + TIME(18,25,30)</f>
        <v>40455.767708333333</v>
      </c>
      <c r="C623">
        <v>80</v>
      </c>
      <c r="D623">
        <v>79.939620972</v>
      </c>
      <c r="E623">
        <v>40</v>
      </c>
      <c r="F623">
        <v>50.169441223</v>
      </c>
      <c r="G623">
        <v>1337.4515381000001</v>
      </c>
      <c r="H623">
        <v>1335.630249</v>
      </c>
      <c r="I623">
        <v>1325.3348389</v>
      </c>
      <c r="J623">
        <v>1323.0450439000001</v>
      </c>
      <c r="K623">
        <v>1650</v>
      </c>
      <c r="L623">
        <v>0</v>
      </c>
      <c r="M623">
        <v>0</v>
      </c>
      <c r="N623">
        <v>1650</v>
      </c>
    </row>
    <row r="624" spans="1:14" x14ac:dyDescent="0.25">
      <c r="A624">
        <v>157.87097399999999</v>
      </c>
      <c r="B624" s="1">
        <f>DATE(2010,10,5) + TIME(20,54,12)</f>
        <v>40456.870972222219</v>
      </c>
      <c r="C624">
        <v>80</v>
      </c>
      <c r="D624">
        <v>79.939697265999996</v>
      </c>
      <c r="E624">
        <v>40</v>
      </c>
      <c r="F624">
        <v>50.396766663000001</v>
      </c>
      <c r="G624">
        <v>1337.4492187999999</v>
      </c>
      <c r="H624">
        <v>1335.6286620999999</v>
      </c>
      <c r="I624">
        <v>1325.3466797000001</v>
      </c>
      <c r="J624">
        <v>1323.0616454999999</v>
      </c>
      <c r="K624">
        <v>1650</v>
      </c>
      <c r="L624">
        <v>0</v>
      </c>
      <c r="M624">
        <v>0</v>
      </c>
      <c r="N624">
        <v>1650</v>
      </c>
    </row>
    <row r="625" spans="1:14" x14ac:dyDescent="0.25">
      <c r="A625">
        <v>158.99135999999999</v>
      </c>
      <c r="B625" s="1">
        <f>DATE(2010,10,6) + TIME(23,47,33)</f>
        <v>40457.991354166668</v>
      </c>
      <c r="C625">
        <v>80</v>
      </c>
      <c r="D625">
        <v>79.939765929999993</v>
      </c>
      <c r="E625">
        <v>40</v>
      </c>
      <c r="F625">
        <v>50.622802733999997</v>
      </c>
      <c r="G625">
        <v>1337.4467772999999</v>
      </c>
      <c r="H625">
        <v>1335.6271973</v>
      </c>
      <c r="I625">
        <v>1325.3586425999999</v>
      </c>
      <c r="J625">
        <v>1323.0784911999999</v>
      </c>
      <c r="K625">
        <v>1650</v>
      </c>
      <c r="L625">
        <v>0</v>
      </c>
      <c r="M625">
        <v>0</v>
      </c>
      <c r="N625">
        <v>1650</v>
      </c>
    </row>
    <row r="626" spans="1:14" x14ac:dyDescent="0.25">
      <c r="A626">
        <v>160.12745100000001</v>
      </c>
      <c r="B626" s="1">
        <f>DATE(2010,10,8) + TIME(3,3,31)</f>
        <v>40459.127442129633</v>
      </c>
      <c r="C626">
        <v>80</v>
      </c>
      <c r="D626">
        <v>79.939842224000003</v>
      </c>
      <c r="E626">
        <v>40</v>
      </c>
      <c r="F626">
        <v>50.846679688000002</v>
      </c>
      <c r="G626">
        <v>1337.4443358999999</v>
      </c>
      <c r="H626">
        <v>1335.6256103999999</v>
      </c>
      <c r="I626">
        <v>1325.3707274999999</v>
      </c>
      <c r="J626">
        <v>1323.0955810999999</v>
      </c>
      <c r="K626">
        <v>1650</v>
      </c>
      <c r="L626">
        <v>0</v>
      </c>
      <c r="M626">
        <v>0</v>
      </c>
      <c r="N626">
        <v>1650</v>
      </c>
    </row>
    <row r="627" spans="1:14" x14ac:dyDescent="0.25">
      <c r="A627">
        <v>161.27478500000001</v>
      </c>
      <c r="B627" s="1">
        <f>DATE(2010,10,9) + TIME(6,35,41)</f>
        <v>40460.274780092594</v>
      </c>
      <c r="C627">
        <v>80</v>
      </c>
      <c r="D627">
        <v>79.939918517999999</v>
      </c>
      <c r="E627">
        <v>40</v>
      </c>
      <c r="F627">
        <v>51.067768096999998</v>
      </c>
      <c r="G627">
        <v>1337.4420166</v>
      </c>
      <c r="H627">
        <v>1335.6241454999999</v>
      </c>
      <c r="I627">
        <v>1325.3829346</v>
      </c>
      <c r="J627">
        <v>1323.1126709</v>
      </c>
      <c r="K627">
        <v>1650</v>
      </c>
      <c r="L627">
        <v>0</v>
      </c>
      <c r="M627">
        <v>0</v>
      </c>
      <c r="N627">
        <v>1650</v>
      </c>
    </row>
    <row r="628" spans="1:14" x14ac:dyDescent="0.25">
      <c r="A628">
        <v>162.43743499999999</v>
      </c>
      <c r="B628" s="1">
        <f>DATE(2010,10,10) + TIME(10,29,54)</f>
        <v>40461.437430555554</v>
      </c>
      <c r="C628">
        <v>80</v>
      </c>
      <c r="D628">
        <v>79.939987183</v>
      </c>
      <c r="E628">
        <v>40</v>
      </c>
      <c r="F628">
        <v>51.286014557000001</v>
      </c>
      <c r="G628">
        <v>1337.4395752</v>
      </c>
      <c r="H628">
        <v>1335.6225586</v>
      </c>
      <c r="I628">
        <v>1325.3951416</v>
      </c>
      <c r="J628">
        <v>1323.1298827999999</v>
      </c>
      <c r="K628">
        <v>1650</v>
      </c>
      <c r="L628">
        <v>0</v>
      </c>
      <c r="M628">
        <v>0</v>
      </c>
      <c r="N628">
        <v>1650</v>
      </c>
    </row>
    <row r="629" spans="1:14" x14ac:dyDescent="0.25">
      <c r="A629">
        <v>163.025713</v>
      </c>
      <c r="B629" s="1">
        <f>DATE(2010,10,11) + TIME(0,37,1)</f>
        <v>40462.025706018518</v>
      </c>
      <c r="C629">
        <v>80</v>
      </c>
      <c r="D629">
        <v>79.940017699999999</v>
      </c>
      <c r="E629">
        <v>40</v>
      </c>
      <c r="F629">
        <v>51.443504333</v>
      </c>
      <c r="G629">
        <v>1337.4372559000001</v>
      </c>
      <c r="H629">
        <v>1335.6210937999999</v>
      </c>
      <c r="I629">
        <v>1325.4080810999999</v>
      </c>
      <c r="J629">
        <v>1323.145874</v>
      </c>
      <c r="K629">
        <v>1650</v>
      </c>
      <c r="L629">
        <v>0</v>
      </c>
      <c r="M629">
        <v>0</v>
      </c>
      <c r="N629">
        <v>1650</v>
      </c>
    </row>
    <row r="630" spans="1:14" x14ac:dyDescent="0.25">
      <c r="A630">
        <v>163.613992</v>
      </c>
      <c r="B630" s="1">
        <f>DATE(2010,10,11) + TIME(14,44,8)</f>
        <v>40462.613981481481</v>
      </c>
      <c r="C630">
        <v>80</v>
      </c>
      <c r="D630">
        <v>79.940055846999996</v>
      </c>
      <c r="E630">
        <v>40</v>
      </c>
      <c r="F630">
        <v>51.576942443999997</v>
      </c>
      <c r="G630">
        <v>1337.4361572</v>
      </c>
      <c r="H630">
        <v>1335.6203613</v>
      </c>
      <c r="I630">
        <v>1325.4146728999999</v>
      </c>
      <c r="J630">
        <v>1323.15625</v>
      </c>
      <c r="K630">
        <v>1650</v>
      </c>
      <c r="L630">
        <v>0</v>
      </c>
      <c r="M630">
        <v>0</v>
      </c>
      <c r="N630">
        <v>1650</v>
      </c>
    </row>
    <row r="631" spans="1:14" x14ac:dyDescent="0.25">
      <c r="A631">
        <v>164.202203</v>
      </c>
      <c r="B631" s="1">
        <f>DATE(2010,10,12) + TIME(4,51,10)</f>
        <v>40463.202199074076</v>
      </c>
      <c r="C631">
        <v>80</v>
      </c>
      <c r="D631">
        <v>79.940093993999994</v>
      </c>
      <c r="E631">
        <v>40</v>
      </c>
      <c r="F631">
        <v>51.696880341000004</v>
      </c>
      <c r="G631">
        <v>1337.4349365</v>
      </c>
      <c r="H631">
        <v>1335.6196289</v>
      </c>
      <c r="I631">
        <v>1325.4211425999999</v>
      </c>
      <c r="J631">
        <v>1323.1660156</v>
      </c>
      <c r="K631">
        <v>1650</v>
      </c>
      <c r="L631">
        <v>0</v>
      </c>
      <c r="M631">
        <v>0</v>
      </c>
      <c r="N631">
        <v>1650</v>
      </c>
    </row>
    <row r="632" spans="1:14" x14ac:dyDescent="0.25">
      <c r="A632">
        <v>164.789524</v>
      </c>
      <c r="B632" s="1">
        <f>DATE(2010,10,12) + TIME(18,56,54)</f>
        <v>40463.789513888885</v>
      </c>
      <c r="C632">
        <v>80</v>
      </c>
      <c r="D632">
        <v>79.940124511999997</v>
      </c>
      <c r="E632">
        <v>40</v>
      </c>
      <c r="F632">
        <v>51.808887482000003</v>
      </c>
      <c r="G632">
        <v>1337.4337158000001</v>
      </c>
      <c r="H632">
        <v>1335.6188964999999</v>
      </c>
      <c r="I632">
        <v>1325.4274902</v>
      </c>
      <c r="J632">
        <v>1323.1751709</v>
      </c>
      <c r="K632">
        <v>1650</v>
      </c>
      <c r="L632">
        <v>0</v>
      </c>
      <c r="M632">
        <v>0</v>
      </c>
      <c r="N632">
        <v>1650</v>
      </c>
    </row>
    <row r="633" spans="1:14" x14ac:dyDescent="0.25">
      <c r="A633">
        <v>165.37651099999999</v>
      </c>
      <c r="B633" s="1">
        <f>DATE(2010,10,13) + TIME(9,2,10)</f>
        <v>40464.376504629632</v>
      </c>
      <c r="C633">
        <v>80</v>
      </c>
      <c r="D633">
        <v>79.940162658999995</v>
      </c>
      <c r="E633">
        <v>40</v>
      </c>
      <c r="F633">
        <v>51.916023254000002</v>
      </c>
      <c r="G633">
        <v>1337.4326172000001</v>
      </c>
      <c r="H633">
        <v>1335.6181641000001</v>
      </c>
      <c r="I633">
        <v>1325.4338379000001</v>
      </c>
      <c r="J633">
        <v>1323.184082</v>
      </c>
      <c r="K633">
        <v>1650</v>
      </c>
      <c r="L633">
        <v>0</v>
      </c>
      <c r="M633">
        <v>0</v>
      </c>
      <c r="N633">
        <v>1650</v>
      </c>
    </row>
    <row r="634" spans="1:14" x14ac:dyDescent="0.25">
      <c r="A634">
        <v>165.96349799999999</v>
      </c>
      <c r="B634" s="1">
        <f>DATE(2010,10,13) + TIME(23,7,26)</f>
        <v>40464.963495370372</v>
      </c>
      <c r="C634">
        <v>80</v>
      </c>
      <c r="D634">
        <v>79.940200806000007</v>
      </c>
      <c r="E634">
        <v>40</v>
      </c>
      <c r="F634">
        <v>52.019966125000003</v>
      </c>
      <c r="G634">
        <v>1337.4315185999999</v>
      </c>
      <c r="H634">
        <v>1335.6174315999999</v>
      </c>
      <c r="I634">
        <v>1325.4399414</v>
      </c>
      <c r="J634">
        <v>1323.1928711</v>
      </c>
      <c r="K634">
        <v>1650</v>
      </c>
      <c r="L634">
        <v>0</v>
      </c>
      <c r="M634">
        <v>0</v>
      </c>
      <c r="N634">
        <v>1650</v>
      </c>
    </row>
    <row r="635" spans="1:14" x14ac:dyDescent="0.25">
      <c r="A635">
        <v>166.55048400000001</v>
      </c>
      <c r="B635" s="1">
        <f>DATE(2010,10,14) + TIME(13,12,41)</f>
        <v>40465.550474537034</v>
      </c>
      <c r="C635">
        <v>80</v>
      </c>
      <c r="D635">
        <v>79.940238953000005</v>
      </c>
      <c r="E635">
        <v>40</v>
      </c>
      <c r="F635">
        <v>52.121623993</v>
      </c>
      <c r="G635">
        <v>1337.4302978999999</v>
      </c>
      <c r="H635">
        <v>1335.6166992000001</v>
      </c>
      <c r="I635">
        <v>1325.4460449000001</v>
      </c>
      <c r="J635">
        <v>1323.2014160000001</v>
      </c>
      <c r="K635">
        <v>1650</v>
      </c>
      <c r="L635">
        <v>0</v>
      </c>
      <c r="M635">
        <v>0</v>
      </c>
      <c r="N635">
        <v>1650</v>
      </c>
    </row>
    <row r="636" spans="1:14" x14ac:dyDescent="0.25">
      <c r="A636">
        <v>167.13747100000001</v>
      </c>
      <c r="B636" s="1">
        <f>DATE(2010,10,15) + TIME(3,17,57)</f>
        <v>40466.137465277781</v>
      </c>
      <c r="C636">
        <v>80</v>
      </c>
      <c r="D636">
        <v>79.940277100000003</v>
      </c>
      <c r="E636">
        <v>40</v>
      </c>
      <c r="F636">
        <v>52.221496582</v>
      </c>
      <c r="G636">
        <v>1337.4291992000001</v>
      </c>
      <c r="H636">
        <v>1335.6159668</v>
      </c>
      <c r="I636">
        <v>1325.4521483999999</v>
      </c>
      <c r="J636">
        <v>1323.2098389</v>
      </c>
      <c r="K636">
        <v>1650</v>
      </c>
      <c r="L636">
        <v>0</v>
      </c>
      <c r="M636">
        <v>0</v>
      </c>
      <c r="N636">
        <v>1650</v>
      </c>
    </row>
    <row r="637" spans="1:14" x14ac:dyDescent="0.25">
      <c r="A637">
        <v>168.31144499999999</v>
      </c>
      <c r="B637" s="1">
        <f>DATE(2010,10,16) + TIME(7,28,28)</f>
        <v>40467.311435185184</v>
      </c>
      <c r="C637">
        <v>80</v>
      </c>
      <c r="D637">
        <v>79.940361022999994</v>
      </c>
      <c r="E637">
        <v>40</v>
      </c>
      <c r="F637">
        <v>52.356140136999997</v>
      </c>
      <c r="G637">
        <v>1337.4281006000001</v>
      </c>
      <c r="H637">
        <v>1335.6153564000001</v>
      </c>
      <c r="I637">
        <v>1325.4578856999999</v>
      </c>
      <c r="J637">
        <v>1323.2191161999999</v>
      </c>
      <c r="K637">
        <v>1650</v>
      </c>
      <c r="L637">
        <v>0</v>
      </c>
      <c r="M637">
        <v>0</v>
      </c>
      <c r="N637">
        <v>1650</v>
      </c>
    </row>
    <row r="638" spans="1:14" x14ac:dyDescent="0.25">
      <c r="A638">
        <v>169.48728299999999</v>
      </c>
      <c r="B638" s="1">
        <f>DATE(2010,10,17) + TIME(11,41,41)</f>
        <v>40468.487280092595</v>
      </c>
      <c r="C638">
        <v>80</v>
      </c>
      <c r="D638">
        <v>79.940437317000004</v>
      </c>
      <c r="E638">
        <v>40</v>
      </c>
      <c r="F638">
        <v>52.525974273999999</v>
      </c>
      <c r="G638">
        <v>1337.4259033000001</v>
      </c>
      <c r="H638">
        <v>1335.6138916</v>
      </c>
      <c r="I638">
        <v>1325.4692382999999</v>
      </c>
      <c r="J638">
        <v>1323.2333983999999</v>
      </c>
      <c r="K638">
        <v>1650</v>
      </c>
      <c r="L638">
        <v>0</v>
      </c>
      <c r="M638">
        <v>0</v>
      </c>
      <c r="N638">
        <v>1650</v>
      </c>
    </row>
    <row r="639" spans="1:14" x14ac:dyDescent="0.25">
      <c r="A639">
        <v>170.67972700000001</v>
      </c>
      <c r="B639" s="1">
        <f>DATE(2010,10,18) + TIME(16,18,48)</f>
        <v>40469.679722222223</v>
      </c>
      <c r="C639">
        <v>80</v>
      </c>
      <c r="D639">
        <v>79.940513611</v>
      </c>
      <c r="E639">
        <v>40</v>
      </c>
      <c r="F639">
        <v>52.706829071000001</v>
      </c>
      <c r="G639">
        <v>1337.4237060999999</v>
      </c>
      <c r="H639">
        <v>1335.6125488</v>
      </c>
      <c r="I639">
        <v>1325.4807129000001</v>
      </c>
      <c r="J639">
        <v>1323.2487793</v>
      </c>
      <c r="K639">
        <v>1650</v>
      </c>
      <c r="L639">
        <v>0</v>
      </c>
      <c r="M639">
        <v>0</v>
      </c>
      <c r="N639">
        <v>1650</v>
      </c>
    </row>
    <row r="640" spans="1:14" x14ac:dyDescent="0.25">
      <c r="A640">
        <v>171.89289299999999</v>
      </c>
      <c r="B640" s="1">
        <f>DATE(2010,10,19) + TIME(21,25,45)</f>
        <v>40470.892881944441</v>
      </c>
      <c r="C640">
        <v>80</v>
      </c>
      <c r="D640">
        <v>79.940597534000005</v>
      </c>
      <c r="E640">
        <v>40</v>
      </c>
      <c r="F640">
        <v>52.891124724999997</v>
      </c>
      <c r="G640">
        <v>1337.4215088000001</v>
      </c>
      <c r="H640">
        <v>1335.6112060999999</v>
      </c>
      <c r="I640">
        <v>1325.4925536999999</v>
      </c>
      <c r="J640">
        <v>1323.2647704999999</v>
      </c>
      <c r="K640">
        <v>1650</v>
      </c>
      <c r="L640">
        <v>0</v>
      </c>
      <c r="M640">
        <v>0</v>
      </c>
      <c r="N640">
        <v>1650</v>
      </c>
    </row>
    <row r="641" spans="1:14" x14ac:dyDescent="0.25">
      <c r="A641">
        <v>173.12005400000001</v>
      </c>
      <c r="B641" s="1">
        <f>DATE(2010,10,21) + TIME(2,52,52)</f>
        <v>40472.120046296295</v>
      </c>
      <c r="C641">
        <v>80</v>
      </c>
      <c r="D641">
        <v>79.940673828000001</v>
      </c>
      <c r="E641">
        <v>40</v>
      </c>
      <c r="F641">
        <v>53.075820923000002</v>
      </c>
      <c r="G641">
        <v>1337.4194336</v>
      </c>
      <c r="H641">
        <v>1335.6098632999999</v>
      </c>
      <c r="I641">
        <v>1325.5046387</v>
      </c>
      <c r="J641">
        <v>1323.2810059000001</v>
      </c>
      <c r="K641">
        <v>1650</v>
      </c>
      <c r="L641">
        <v>0</v>
      </c>
      <c r="M641">
        <v>0</v>
      </c>
      <c r="N641">
        <v>1650</v>
      </c>
    </row>
    <row r="642" spans="1:14" x14ac:dyDescent="0.25">
      <c r="A642">
        <v>174.36337499999999</v>
      </c>
      <c r="B642" s="1">
        <f>DATE(2010,10,22) + TIME(8,43,15)</f>
        <v>40473.363368055558</v>
      </c>
      <c r="C642">
        <v>80</v>
      </c>
      <c r="D642">
        <v>79.940750121999997</v>
      </c>
      <c r="E642">
        <v>40</v>
      </c>
      <c r="F642">
        <v>53.259593963999997</v>
      </c>
      <c r="G642">
        <v>1337.4172363</v>
      </c>
      <c r="H642">
        <v>1335.6085204999999</v>
      </c>
      <c r="I642">
        <v>1325.5167236</v>
      </c>
      <c r="J642">
        <v>1323.2973632999999</v>
      </c>
      <c r="K642">
        <v>1650</v>
      </c>
      <c r="L642">
        <v>0</v>
      </c>
      <c r="M642">
        <v>0</v>
      </c>
      <c r="N642">
        <v>1650</v>
      </c>
    </row>
    <row r="643" spans="1:14" x14ac:dyDescent="0.25">
      <c r="A643">
        <v>175.626304</v>
      </c>
      <c r="B643" s="1">
        <f>DATE(2010,10,23) + TIME(15,1,52)</f>
        <v>40474.626296296294</v>
      </c>
      <c r="C643">
        <v>80</v>
      </c>
      <c r="D643">
        <v>79.940834045000003</v>
      </c>
      <c r="E643">
        <v>40</v>
      </c>
      <c r="F643">
        <v>53.442211151000002</v>
      </c>
      <c r="G643">
        <v>1337.4150391000001</v>
      </c>
      <c r="H643">
        <v>1335.6071777</v>
      </c>
      <c r="I643">
        <v>1325.5289307</v>
      </c>
      <c r="J643">
        <v>1323.3138428</v>
      </c>
      <c r="K643">
        <v>1650</v>
      </c>
      <c r="L643">
        <v>0</v>
      </c>
      <c r="M643">
        <v>0</v>
      </c>
      <c r="N643">
        <v>1650</v>
      </c>
    </row>
    <row r="644" spans="1:14" x14ac:dyDescent="0.25">
      <c r="A644">
        <v>176.90071399999999</v>
      </c>
      <c r="B644" s="1">
        <f>DATE(2010,10,24) + TIME(21,37,1)</f>
        <v>40475.900706018518</v>
      </c>
      <c r="C644">
        <v>80</v>
      </c>
      <c r="D644">
        <v>79.940910338999998</v>
      </c>
      <c r="E644">
        <v>40</v>
      </c>
      <c r="F644">
        <v>53.623306274000001</v>
      </c>
      <c r="G644">
        <v>1337.4128418</v>
      </c>
      <c r="H644">
        <v>1335.605957</v>
      </c>
      <c r="I644">
        <v>1325.5411377</v>
      </c>
      <c r="J644">
        <v>1323.3304443</v>
      </c>
      <c r="K644">
        <v>1650</v>
      </c>
      <c r="L644">
        <v>0</v>
      </c>
      <c r="M644">
        <v>0</v>
      </c>
      <c r="N644">
        <v>1650</v>
      </c>
    </row>
    <row r="645" spans="1:14" x14ac:dyDescent="0.25">
      <c r="A645">
        <v>177.54556099999999</v>
      </c>
      <c r="B645" s="1">
        <f>DATE(2010,10,25) + TIME(13,5,36)</f>
        <v>40476.545555555553</v>
      </c>
      <c r="C645">
        <v>80</v>
      </c>
      <c r="D645">
        <v>79.940940857000001</v>
      </c>
      <c r="E645">
        <v>40</v>
      </c>
      <c r="F645">
        <v>53.756660461000003</v>
      </c>
      <c r="G645">
        <v>1337.4107666</v>
      </c>
      <c r="H645">
        <v>1335.6046143000001</v>
      </c>
      <c r="I645">
        <v>1325.5538329999999</v>
      </c>
      <c r="J645">
        <v>1323.3459473</v>
      </c>
      <c r="K645">
        <v>1650</v>
      </c>
      <c r="L645">
        <v>0</v>
      </c>
      <c r="M645">
        <v>0</v>
      </c>
      <c r="N645">
        <v>1650</v>
      </c>
    </row>
    <row r="646" spans="1:14" x14ac:dyDescent="0.25">
      <c r="A646">
        <v>178.19040799999999</v>
      </c>
      <c r="B646" s="1">
        <f>DATE(2010,10,26) + TIME(4,34,11)</f>
        <v>40477.190405092595</v>
      </c>
      <c r="C646">
        <v>80</v>
      </c>
      <c r="D646">
        <v>79.940979003999999</v>
      </c>
      <c r="E646">
        <v>40</v>
      </c>
      <c r="F646">
        <v>53.868053435999997</v>
      </c>
      <c r="G646">
        <v>1337.409668</v>
      </c>
      <c r="H646">
        <v>1335.6040039</v>
      </c>
      <c r="I646">
        <v>1325.5605469</v>
      </c>
      <c r="J646">
        <v>1323.3560791</v>
      </c>
      <c r="K646">
        <v>1650</v>
      </c>
      <c r="L646">
        <v>0</v>
      </c>
      <c r="M646">
        <v>0</v>
      </c>
      <c r="N646">
        <v>1650</v>
      </c>
    </row>
    <row r="647" spans="1:14" x14ac:dyDescent="0.25">
      <c r="A647">
        <v>178.83498599999999</v>
      </c>
      <c r="B647" s="1">
        <f>DATE(2010,10,26) + TIME(20,2,22)</f>
        <v>40477.834976851853</v>
      </c>
      <c r="C647">
        <v>80</v>
      </c>
      <c r="D647">
        <v>79.941017150999997</v>
      </c>
      <c r="E647">
        <v>40</v>
      </c>
      <c r="F647">
        <v>53.967784881999997</v>
      </c>
      <c r="G647">
        <v>1337.4085693</v>
      </c>
      <c r="H647">
        <v>1335.6033935999999</v>
      </c>
      <c r="I647">
        <v>1325.5671387</v>
      </c>
      <c r="J647">
        <v>1323.3653564000001</v>
      </c>
      <c r="K647">
        <v>1650</v>
      </c>
      <c r="L647">
        <v>0</v>
      </c>
      <c r="M647">
        <v>0</v>
      </c>
      <c r="N647">
        <v>1650</v>
      </c>
    </row>
    <row r="648" spans="1:14" x14ac:dyDescent="0.25">
      <c r="A648">
        <v>179.47956400000001</v>
      </c>
      <c r="B648" s="1">
        <f>DATE(2010,10,27) + TIME(11,30,34)</f>
        <v>40478.479560185187</v>
      </c>
      <c r="C648">
        <v>80</v>
      </c>
      <c r="D648">
        <v>79.941062927000004</v>
      </c>
      <c r="E648">
        <v>40</v>
      </c>
      <c r="F648">
        <v>54.061096190999997</v>
      </c>
      <c r="G648">
        <v>1337.4075928</v>
      </c>
      <c r="H648">
        <v>1335.6027832</v>
      </c>
      <c r="I648">
        <v>1325.5734863</v>
      </c>
      <c r="J648">
        <v>1323.3742675999999</v>
      </c>
      <c r="K648">
        <v>1650</v>
      </c>
      <c r="L648">
        <v>0</v>
      </c>
      <c r="M648">
        <v>0</v>
      </c>
      <c r="N648">
        <v>1650</v>
      </c>
    </row>
    <row r="649" spans="1:14" x14ac:dyDescent="0.25">
      <c r="A649">
        <v>180.12414200000001</v>
      </c>
      <c r="B649" s="1">
        <f>DATE(2010,10,28) + TIME(2,58,45)</f>
        <v>40479.124131944445</v>
      </c>
      <c r="C649">
        <v>80</v>
      </c>
      <c r="D649">
        <v>79.941101074000002</v>
      </c>
      <c r="E649">
        <v>40</v>
      </c>
      <c r="F649">
        <v>54.150642394999998</v>
      </c>
      <c r="G649">
        <v>1337.4064940999999</v>
      </c>
      <c r="H649">
        <v>1335.6021728999999</v>
      </c>
      <c r="I649">
        <v>1325.5797118999999</v>
      </c>
      <c r="J649">
        <v>1323.3828125</v>
      </c>
      <c r="K649">
        <v>1650</v>
      </c>
      <c r="L649">
        <v>0</v>
      </c>
      <c r="M649">
        <v>0</v>
      </c>
      <c r="N649">
        <v>1650</v>
      </c>
    </row>
    <row r="650" spans="1:14" x14ac:dyDescent="0.25">
      <c r="A650">
        <v>180.768719</v>
      </c>
      <c r="B650" s="1">
        <f>DATE(2010,10,28) + TIME(18,26,57)</f>
        <v>40479.76871527778</v>
      </c>
      <c r="C650">
        <v>80</v>
      </c>
      <c r="D650">
        <v>79.941139221</v>
      </c>
      <c r="E650">
        <v>40</v>
      </c>
      <c r="F650">
        <v>54.237800598</v>
      </c>
      <c r="G650">
        <v>1337.4055175999999</v>
      </c>
      <c r="H650">
        <v>1335.6015625</v>
      </c>
      <c r="I650">
        <v>1325.5858154</v>
      </c>
      <c r="J650">
        <v>1323.3911132999999</v>
      </c>
      <c r="K650">
        <v>1650</v>
      </c>
      <c r="L650">
        <v>0</v>
      </c>
      <c r="M650">
        <v>0</v>
      </c>
      <c r="N650">
        <v>1650</v>
      </c>
    </row>
    <row r="651" spans="1:14" x14ac:dyDescent="0.25">
      <c r="A651">
        <v>181.413297</v>
      </c>
      <c r="B651" s="1">
        <f>DATE(2010,10,29) + TIME(9,55,8)</f>
        <v>40480.413287037038</v>
      </c>
      <c r="C651">
        <v>80</v>
      </c>
      <c r="D651">
        <v>79.941177367999998</v>
      </c>
      <c r="E651">
        <v>40</v>
      </c>
      <c r="F651">
        <v>54.323284149000003</v>
      </c>
      <c r="G651">
        <v>1337.4045410000001</v>
      </c>
      <c r="H651">
        <v>1335.6009521000001</v>
      </c>
      <c r="I651">
        <v>1325.5919189000001</v>
      </c>
      <c r="J651">
        <v>1323.3992920000001</v>
      </c>
      <c r="K651">
        <v>1650</v>
      </c>
      <c r="L651">
        <v>0</v>
      </c>
      <c r="M651">
        <v>0</v>
      </c>
      <c r="N651">
        <v>1650</v>
      </c>
    </row>
    <row r="652" spans="1:14" x14ac:dyDescent="0.25">
      <c r="A652">
        <v>182.057875</v>
      </c>
      <c r="B652" s="1">
        <f>DATE(2010,10,30) + TIME(1,23,20)</f>
        <v>40481.057870370372</v>
      </c>
      <c r="C652">
        <v>80</v>
      </c>
      <c r="D652">
        <v>79.941223144999995</v>
      </c>
      <c r="E652">
        <v>40</v>
      </c>
      <c r="F652">
        <v>54.407482147000003</v>
      </c>
      <c r="G652">
        <v>1337.4034423999999</v>
      </c>
      <c r="H652">
        <v>1335.6003418</v>
      </c>
      <c r="I652">
        <v>1325.5980225000001</v>
      </c>
      <c r="J652">
        <v>1323.4074707</v>
      </c>
      <c r="K652">
        <v>1650</v>
      </c>
      <c r="L652">
        <v>0</v>
      </c>
      <c r="M652">
        <v>0</v>
      </c>
      <c r="N652">
        <v>1650</v>
      </c>
    </row>
    <row r="653" spans="1:14" x14ac:dyDescent="0.25">
      <c r="A653">
        <v>182.70245199999999</v>
      </c>
      <c r="B653" s="1">
        <f>DATE(2010,10,30) + TIME(16,51,31)</f>
        <v>40481.70244212963</v>
      </c>
      <c r="C653">
        <v>80</v>
      </c>
      <c r="D653">
        <v>79.941261291999993</v>
      </c>
      <c r="E653">
        <v>40</v>
      </c>
      <c r="F653">
        <v>54.490604400999999</v>
      </c>
      <c r="G653">
        <v>1337.4024658000001</v>
      </c>
      <c r="H653">
        <v>1335.5997314000001</v>
      </c>
      <c r="I653">
        <v>1325.6040039</v>
      </c>
      <c r="J653">
        <v>1323.4154053</v>
      </c>
      <c r="K653">
        <v>1650</v>
      </c>
      <c r="L653">
        <v>0</v>
      </c>
      <c r="M653">
        <v>0</v>
      </c>
      <c r="N653">
        <v>1650</v>
      </c>
    </row>
    <row r="654" spans="1:14" x14ac:dyDescent="0.25">
      <c r="A654">
        <v>183.351226</v>
      </c>
      <c r="B654" s="1">
        <f>DATE(2010,10,31) + TIME(8,25,45)</f>
        <v>40482.351215277777</v>
      </c>
      <c r="C654">
        <v>80</v>
      </c>
      <c r="D654">
        <v>79.941299438000001</v>
      </c>
      <c r="E654">
        <v>40</v>
      </c>
      <c r="F654">
        <v>54.573043822999999</v>
      </c>
      <c r="G654">
        <v>1337.4014893000001</v>
      </c>
      <c r="H654">
        <v>1335.5991211</v>
      </c>
      <c r="I654">
        <v>1325.6099853999999</v>
      </c>
      <c r="J654">
        <v>1323.4234618999999</v>
      </c>
      <c r="K654">
        <v>1650</v>
      </c>
      <c r="L654">
        <v>0</v>
      </c>
      <c r="M654">
        <v>0</v>
      </c>
      <c r="N654">
        <v>1650</v>
      </c>
    </row>
    <row r="655" spans="1:14" x14ac:dyDescent="0.25">
      <c r="A655">
        <v>184</v>
      </c>
      <c r="B655" s="1">
        <f>DATE(2010,11,1) + TIME(0,0,0)</f>
        <v>40483</v>
      </c>
      <c r="C655">
        <v>80</v>
      </c>
      <c r="D655">
        <v>79.941345214999998</v>
      </c>
      <c r="E655">
        <v>40</v>
      </c>
      <c r="F655">
        <v>54.654724121000001</v>
      </c>
      <c r="G655">
        <v>1337.4005127</v>
      </c>
      <c r="H655">
        <v>1335.5985106999999</v>
      </c>
      <c r="I655">
        <v>1325.6159668</v>
      </c>
      <c r="J655">
        <v>1323.4313964999999</v>
      </c>
      <c r="K655">
        <v>1650</v>
      </c>
      <c r="L655">
        <v>0</v>
      </c>
      <c r="M655">
        <v>0</v>
      </c>
      <c r="N655">
        <v>1650</v>
      </c>
    </row>
    <row r="656" spans="1:14" x14ac:dyDescent="0.25">
      <c r="A656">
        <v>184.000001</v>
      </c>
      <c r="B656" s="1">
        <f>DATE(2010,11,1) + TIME(0,0,0)</f>
        <v>40483</v>
      </c>
      <c r="C656">
        <v>80</v>
      </c>
      <c r="D656">
        <v>79.941276549999998</v>
      </c>
      <c r="E656">
        <v>40</v>
      </c>
      <c r="F656">
        <v>54.654808043999999</v>
      </c>
      <c r="G656">
        <v>1335.1055908000001</v>
      </c>
      <c r="H656">
        <v>1334.7808838000001</v>
      </c>
      <c r="I656">
        <v>1328.3905029</v>
      </c>
      <c r="J656">
        <v>1326.3912353999999</v>
      </c>
      <c r="K656">
        <v>0</v>
      </c>
      <c r="L656">
        <v>1650</v>
      </c>
      <c r="M656">
        <v>1650</v>
      </c>
      <c r="N656">
        <v>0</v>
      </c>
    </row>
    <row r="657" spans="1:14" x14ac:dyDescent="0.25">
      <c r="A657">
        <v>184.00000399999999</v>
      </c>
      <c r="B657" s="1">
        <f>DATE(2010,11,1) + TIME(0,0,0)</f>
        <v>40483</v>
      </c>
      <c r="C657">
        <v>80</v>
      </c>
      <c r="D657">
        <v>79.941177367999998</v>
      </c>
      <c r="E657">
        <v>40</v>
      </c>
      <c r="F657">
        <v>54.654895781999997</v>
      </c>
      <c r="G657">
        <v>1334.4530029</v>
      </c>
      <c r="H657">
        <v>1334.1343993999999</v>
      </c>
      <c r="I657">
        <v>1329.3432617000001</v>
      </c>
      <c r="J657">
        <v>1327.5035399999999</v>
      </c>
      <c r="K657">
        <v>0</v>
      </c>
      <c r="L657">
        <v>1650</v>
      </c>
      <c r="M657">
        <v>1650</v>
      </c>
      <c r="N657">
        <v>0</v>
      </c>
    </row>
    <row r="658" spans="1:14" x14ac:dyDescent="0.25">
      <c r="A658">
        <v>184.000013</v>
      </c>
      <c r="B658" s="1">
        <f>DATE(2010,11,1) + TIME(0,0,1)</f>
        <v>40483.000011574077</v>
      </c>
      <c r="C658">
        <v>80</v>
      </c>
      <c r="D658">
        <v>79.941085814999994</v>
      </c>
      <c r="E658">
        <v>40</v>
      </c>
      <c r="F658">
        <v>54.654891968000001</v>
      </c>
      <c r="G658">
        <v>1333.7735596</v>
      </c>
      <c r="H658">
        <v>1333.4294434000001</v>
      </c>
      <c r="I658">
        <v>1330.597168</v>
      </c>
      <c r="J658">
        <v>1328.7575684000001</v>
      </c>
      <c r="K658">
        <v>0</v>
      </c>
      <c r="L658">
        <v>1650</v>
      </c>
      <c r="M658">
        <v>1650</v>
      </c>
      <c r="N658">
        <v>0</v>
      </c>
    </row>
    <row r="659" spans="1:14" x14ac:dyDescent="0.25">
      <c r="A659">
        <v>184.00004000000001</v>
      </c>
      <c r="B659" s="1">
        <f>DATE(2010,11,1) + TIME(0,0,3)</f>
        <v>40483.000034722223</v>
      </c>
      <c r="C659">
        <v>80</v>
      </c>
      <c r="D659">
        <v>79.940979003999999</v>
      </c>
      <c r="E659">
        <v>40</v>
      </c>
      <c r="F659">
        <v>54.654556274000001</v>
      </c>
      <c r="G659">
        <v>1333.09375</v>
      </c>
      <c r="H659">
        <v>1332.7106934000001</v>
      </c>
      <c r="I659">
        <v>1331.9290771000001</v>
      </c>
      <c r="J659">
        <v>1330.0507812000001</v>
      </c>
      <c r="K659">
        <v>0</v>
      </c>
      <c r="L659">
        <v>1650</v>
      </c>
      <c r="M659">
        <v>1650</v>
      </c>
      <c r="N659">
        <v>0</v>
      </c>
    </row>
    <row r="660" spans="1:14" x14ac:dyDescent="0.25">
      <c r="A660">
        <v>184.00012100000001</v>
      </c>
      <c r="B660" s="1">
        <f>DATE(2010,11,1) + TIME(0,0,10)</f>
        <v>40483.000115740739</v>
      </c>
      <c r="C660">
        <v>80</v>
      </c>
      <c r="D660">
        <v>79.940864563000005</v>
      </c>
      <c r="E660">
        <v>40</v>
      </c>
      <c r="F660">
        <v>54.653179168999998</v>
      </c>
      <c r="G660">
        <v>1332.3826904</v>
      </c>
      <c r="H660">
        <v>1331.9547118999999</v>
      </c>
      <c r="I660">
        <v>1333.2504882999999</v>
      </c>
      <c r="J660">
        <v>1331.3372803</v>
      </c>
      <c r="K660">
        <v>0</v>
      </c>
      <c r="L660">
        <v>1650</v>
      </c>
      <c r="M660">
        <v>1650</v>
      </c>
      <c r="N660">
        <v>0</v>
      </c>
    </row>
    <row r="661" spans="1:14" x14ac:dyDescent="0.25">
      <c r="A661">
        <v>184.00036399999999</v>
      </c>
      <c r="B661" s="1">
        <f>DATE(2010,11,1) + TIME(0,0,31)</f>
        <v>40483.000358796293</v>
      </c>
      <c r="C661">
        <v>80</v>
      </c>
      <c r="D661">
        <v>79.940719603999995</v>
      </c>
      <c r="E661">
        <v>40</v>
      </c>
      <c r="F661">
        <v>54.648597717000001</v>
      </c>
      <c r="G661">
        <v>1331.6395264</v>
      </c>
      <c r="H661">
        <v>1331.1652832</v>
      </c>
      <c r="I661">
        <v>1334.5201416</v>
      </c>
      <c r="J661">
        <v>1332.559082</v>
      </c>
      <c r="K661">
        <v>0</v>
      </c>
      <c r="L661">
        <v>1650</v>
      </c>
      <c r="M661">
        <v>1650</v>
      </c>
      <c r="N661">
        <v>0</v>
      </c>
    </row>
    <row r="662" spans="1:14" x14ac:dyDescent="0.25">
      <c r="A662">
        <v>184.001093</v>
      </c>
      <c r="B662" s="1">
        <f>DATE(2010,11,1) + TIME(0,1,34)</f>
        <v>40483.001087962963</v>
      </c>
      <c r="C662">
        <v>80</v>
      </c>
      <c r="D662">
        <v>79.940483092999997</v>
      </c>
      <c r="E662">
        <v>40</v>
      </c>
      <c r="F662">
        <v>54.634098053000002</v>
      </c>
      <c r="G662">
        <v>1330.9619141000001</v>
      </c>
      <c r="H662">
        <v>1330.4489745999999</v>
      </c>
      <c r="I662">
        <v>1335.5919189000001</v>
      </c>
      <c r="J662">
        <v>1333.5710449000001</v>
      </c>
      <c r="K662">
        <v>0</v>
      </c>
      <c r="L662">
        <v>1650</v>
      </c>
      <c r="M662">
        <v>1650</v>
      </c>
      <c r="N662">
        <v>0</v>
      </c>
    </row>
    <row r="663" spans="1:14" x14ac:dyDescent="0.25">
      <c r="A663">
        <v>184.00327999999999</v>
      </c>
      <c r="B663" s="1">
        <f>DATE(2010,11,1) + TIME(0,4,43)</f>
        <v>40483.003275462965</v>
      </c>
      <c r="C663">
        <v>80</v>
      </c>
      <c r="D663">
        <v>79.940002441000004</v>
      </c>
      <c r="E663">
        <v>40</v>
      </c>
      <c r="F663">
        <v>54.589473724000001</v>
      </c>
      <c r="G663">
        <v>1330.4763184000001</v>
      </c>
      <c r="H663">
        <v>1329.942749</v>
      </c>
      <c r="I663">
        <v>1336.2872314000001</v>
      </c>
      <c r="J663">
        <v>1334.2202147999999</v>
      </c>
      <c r="K663">
        <v>0</v>
      </c>
      <c r="L663">
        <v>1650</v>
      </c>
      <c r="M663">
        <v>1650</v>
      </c>
      <c r="N663">
        <v>0</v>
      </c>
    </row>
    <row r="664" spans="1:14" x14ac:dyDescent="0.25">
      <c r="A664">
        <v>184.00984099999999</v>
      </c>
      <c r="B664" s="1">
        <f>DATE(2010,11,1) + TIME(0,14,10)</f>
        <v>40483.009837962964</v>
      </c>
      <c r="C664">
        <v>80</v>
      </c>
      <c r="D664">
        <v>79.938728333</v>
      </c>
      <c r="E664">
        <v>40</v>
      </c>
      <c r="F664">
        <v>54.455566406000003</v>
      </c>
      <c r="G664">
        <v>1330.2182617000001</v>
      </c>
      <c r="H664">
        <v>1329.6782227000001</v>
      </c>
      <c r="I664">
        <v>1336.5886230000001</v>
      </c>
      <c r="J664">
        <v>1334.5008545000001</v>
      </c>
      <c r="K664">
        <v>0</v>
      </c>
      <c r="L664">
        <v>1650</v>
      </c>
      <c r="M664">
        <v>1650</v>
      </c>
      <c r="N664">
        <v>0</v>
      </c>
    </row>
    <row r="665" spans="1:14" x14ac:dyDescent="0.25">
      <c r="A665">
        <v>184.02952400000001</v>
      </c>
      <c r="B665" s="1">
        <f>DATE(2010,11,1) + TIME(0,42,30)</f>
        <v>40483.029513888891</v>
      </c>
      <c r="C665">
        <v>80</v>
      </c>
      <c r="D665">
        <v>79.935012817</v>
      </c>
      <c r="E665">
        <v>40</v>
      </c>
      <c r="F665">
        <v>54.066303253000001</v>
      </c>
      <c r="G665">
        <v>1330.1315918</v>
      </c>
      <c r="H665">
        <v>1329.5894774999999</v>
      </c>
      <c r="I665">
        <v>1336.6419678</v>
      </c>
      <c r="J665">
        <v>1334.5505370999999</v>
      </c>
      <c r="K665">
        <v>0</v>
      </c>
      <c r="L665">
        <v>1650</v>
      </c>
      <c r="M665">
        <v>1650</v>
      </c>
      <c r="N665">
        <v>0</v>
      </c>
    </row>
    <row r="666" spans="1:14" x14ac:dyDescent="0.25">
      <c r="A666">
        <v>184.07050799999999</v>
      </c>
      <c r="B666" s="1">
        <f>DATE(2010,11,1) + TIME(1,41,31)</f>
        <v>40483.070497685185</v>
      </c>
      <c r="C666">
        <v>80</v>
      </c>
      <c r="D666">
        <v>79.927391052000004</v>
      </c>
      <c r="E666">
        <v>40</v>
      </c>
      <c r="F666">
        <v>53.309696197999997</v>
      </c>
      <c r="G666">
        <v>1330.1137695</v>
      </c>
      <c r="H666">
        <v>1329.5693358999999</v>
      </c>
      <c r="I666">
        <v>1336.6181641000001</v>
      </c>
      <c r="J666">
        <v>1334.5296631000001</v>
      </c>
      <c r="K666">
        <v>0</v>
      </c>
      <c r="L666">
        <v>1650</v>
      </c>
      <c r="M666">
        <v>1650</v>
      </c>
      <c r="N666">
        <v>0</v>
      </c>
    </row>
    <row r="667" spans="1:14" x14ac:dyDescent="0.25">
      <c r="A667">
        <v>184.113687</v>
      </c>
      <c r="B667" s="1">
        <f>DATE(2010,11,1) + TIME(2,43,42)</f>
        <v>40483.113680555558</v>
      </c>
      <c r="C667">
        <v>80</v>
      </c>
      <c r="D667">
        <v>79.919395446999999</v>
      </c>
      <c r="E667">
        <v>40</v>
      </c>
      <c r="F667">
        <v>52.567050934000001</v>
      </c>
      <c r="G667">
        <v>1330.1053466999999</v>
      </c>
      <c r="H667">
        <v>1329.5574951000001</v>
      </c>
      <c r="I667">
        <v>1336.5942382999999</v>
      </c>
      <c r="J667">
        <v>1334.5079346</v>
      </c>
      <c r="K667">
        <v>0</v>
      </c>
      <c r="L667">
        <v>1650</v>
      </c>
      <c r="M667">
        <v>1650</v>
      </c>
      <c r="N667">
        <v>0</v>
      </c>
    </row>
    <row r="668" spans="1:14" x14ac:dyDescent="0.25">
      <c r="A668">
        <v>184.15878799999999</v>
      </c>
      <c r="B668" s="1">
        <f>DATE(2010,11,1) + TIME(3,48,39)</f>
        <v>40483.158784722225</v>
      </c>
      <c r="C668">
        <v>80</v>
      </c>
      <c r="D668">
        <v>79.911079407000003</v>
      </c>
      <c r="E668">
        <v>40</v>
      </c>
      <c r="F668">
        <v>51.845413207999997</v>
      </c>
      <c r="G668">
        <v>1330.0980225000001</v>
      </c>
      <c r="H668">
        <v>1329.5465088000001</v>
      </c>
      <c r="I668">
        <v>1336.5716553</v>
      </c>
      <c r="J668">
        <v>1334.4874268000001</v>
      </c>
      <c r="K668">
        <v>0</v>
      </c>
      <c r="L668">
        <v>1650</v>
      </c>
      <c r="M668">
        <v>1650</v>
      </c>
      <c r="N668">
        <v>0</v>
      </c>
    </row>
    <row r="669" spans="1:14" x14ac:dyDescent="0.25">
      <c r="A669">
        <v>184.20591899999999</v>
      </c>
      <c r="B669" s="1">
        <f>DATE(2010,11,1) + TIME(4,56,31)</f>
        <v>40483.205914351849</v>
      </c>
      <c r="C669">
        <v>80</v>
      </c>
      <c r="D669">
        <v>79.902420043999996</v>
      </c>
      <c r="E669">
        <v>40</v>
      </c>
      <c r="F669">
        <v>51.144912720000001</v>
      </c>
      <c r="G669">
        <v>1330.0906981999999</v>
      </c>
      <c r="H669">
        <v>1329.5356445</v>
      </c>
      <c r="I669">
        <v>1336.5499268000001</v>
      </c>
      <c r="J669">
        <v>1334.4678954999999</v>
      </c>
      <c r="K669">
        <v>0</v>
      </c>
      <c r="L669">
        <v>1650</v>
      </c>
      <c r="M669">
        <v>1650</v>
      </c>
      <c r="N669">
        <v>0</v>
      </c>
    </row>
    <row r="670" spans="1:14" x14ac:dyDescent="0.25">
      <c r="A670">
        <v>184.255199</v>
      </c>
      <c r="B670" s="1">
        <f>DATE(2010,11,1) + TIME(6,7,29)</f>
        <v>40483.255196759259</v>
      </c>
      <c r="C670">
        <v>80</v>
      </c>
      <c r="D670">
        <v>79.893402100000003</v>
      </c>
      <c r="E670">
        <v>40</v>
      </c>
      <c r="F670">
        <v>50.465621947999999</v>
      </c>
      <c r="G670">
        <v>1330.0832519999999</v>
      </c>
      <c r="H670">
        <v>1329.5245361</v>
      </c>
      <c r="I670">
        <v>1336.5292969</v>
      </c>
      <c r="J670">
        <v>1334.4492187999999</v>
      </c>
      <c r="K670">
        <v>0</v>
      </c>
      <c r="L670">
        <v>1650</v>
      </c>
      <c r="M670">
        <v>1650</v>
      </c>
      <c r="N670">
        <v>0</v>
      </c>
    </row>
    <row r="671" spans="1:14" x14ac:dyDescent="0.25">
      <c r="A671">
        <v>184.306735</v>
      </c>
      <c r="B671" s="1">
        <f>DATE(2010,11,1) + TIME(7,21,41)</f>
        <v>40483.30672453704</v>
      </c>
      <c r="C671">
        <v>80</v>
      </c>
      <c r="D671">
        <v>79.884017943999993</v>
      </c>
      <c r="E671">
        <v>40</v>
      </c>
      <c r="F671">
        <v>49.807792663999997</v>
      </c>
      <c r="G671">
        <v>1330.0758057</v>
      </c>
      <c r="H671">
        <v>1329.5134277</v>
      </c>
      <c r="I671">
        <v>1336.5098877</v>
      </c>
      <c r="J671">
        <v>1334.4313964999999</v>
      </c>
      <c r="K671">
        <v>0</v>
      </c>
      <c r="L671">
        <v>1650</v>
      </c>
      <c r="M671">
        <v>1650</v>
      </c>
      <c r="N671">
        <v>0</v>
      </c>
    </row>
    <row r="672" spans="1:14" x14ac:dyDescent="0.25">
      <c r="A672">
        <v>184.36069800000001</v>
      </c>
      <c r="B672" s="1">
        <f>DATE(2010,11,1) + TIME(8,39,24)</f>
        <v>40483.360694444447</v>
      </c>
      <c r="C672">
        <v>80</v>
      </c>
      <c r="D672">
        <v>79.874244689999998</v>
      </c>
      <c r="E672">
        <v>40</v>
      </c>
      <c r="F672">
        <v>49.170970916999998</v>
      </c>
      <c r="G672">
        <v>1330.0682373</v>
      </c>
      <c r="H672">
        <v>1329.5020752</v>
      </c>
      <c r="I672">
        <v>1336.4914550999999</v>
      </c>
      <c r="J672">
        <v>1334.4146728999999</v>
      </c>
      <c r="K672">
        <v>0</v>
      </c>
      <c r="L672">
        <v>1650</v>
      </c>
      <c r="M672">
        <v>1650</v>
      </c>
      <c r="N672">
        <v>0</v>
      </c>
    </row>
    <row r="673" spans="1:14" x14ac:dyDescent="0.25">
      <c r="A673">
        <v>184.41724300000001</v>
      </c>
      <c r="B673" s="1">
        <f>DATE(2010,11,1) + TIME(10,0,49)</f>
        <v>40483.417233796295</v>
      </c>
      <c r="C673">
        <v>80</v>
      </c>
      <c r="D673">
        <v>79.864051818999997</v>
      </c>
      <c r="E673">
        <v>40</v>
      </c>
      <c r="F673">
        <v>48.555438995000003</v>
      </c>
      <c r="G673">
        <v>1330.0605469</v>
      </c>
      <c r="H673">
        <v>1329.4907227000001</v>
      </c>
      <c r="I673">
        <v>1336.4743652</v>
      </c>
      <c r="J673">
        <v>1334.3989257999999</v>
      </c>
      <c r="K673">
        <v>0</v>
      </c>
      <c r="L673">
        <v>1650</v>
      </c>
      <c r="M673">
        <v>1650</v>
      </c>
      <c r="N673">
        <v>0</v>
      </c>
    </row>
    <row r="674" spans="1:14" x14ac:dyDescent="0.25">
      <c r="A674">
        <v>184.47653399999999</v>
      </c>
      <c r="B674" s="1">
        <f>DATE(2010,11,1) + TIME(11,26,12)</f>
        <v>40483.476527777777</v>
      </c>
      <c r="C674">
        <v>80</v>
      </c>
      <c r="D674">
        <v>79.853431701999995</v>
      </c>
      <c r="E674">
        <v>40</v>
      </c>
      <c r="F674">
        <v>47.961284636999999</v>
      </c>
      <c r="G674">
        <v>1330.0527344</v>
      </c>
      <c r="H674">
        <v>1329.479126</v>
      </c>
      <c r="I674">
        <v>1336.458374</v>
      </c>
      <c r="J674">
        <v>1334.3842772999999</v>
      </c>
      <c r="K674">
        <v>0</v>
      </c>
      <c r="L674">
        <v>1650</v>
      </c>
      <c r="M674">
        <v>1650</v>
      </c>
      <c r="N674">
        <v>0</v>
      </c>
    </row>
    <row r="675" spans="1:14" x14ac:dyDescent="0.25">
      <c r="A675">
        <v>184.538749</v>
      </c>
      <c r="B675" s="1">
        <f>DATE(2010,11,1) + TIME(12,55,47)</f>
        <v>40483.538738425923</v>
      </c>
      <c r="C675">
        <v>80</v>
      </c>
      <c r="D675">
        <v>79.842346191000004</v>
      </c>
      <c r="E675">
        <v>40</v>
      </c>
      <c r="F675">
        <v>47.388565063000001</v>
      </c>
      <c r="G675">
        <v>1330.0447998</v>
      </c>
      <c r="H675">
        <v>1329.4672852000001</v>
      </c>
      <c r="I675">
        <v>1336.4438477000001</v>
      </c>
      <c r="J675">
        <v>1334.3704834</v>
      </c>
      <c r="K675">
        <v>0</v>
      </c>
      <c r="L675">
        <v>1650</v>
      </c>
      <c r="M675">
        <v>1650</v>
      </c>
      <c r="N675">
        <v>0</v>
      </c>
    </row>
    <row r="676" spans="1:14" x14ac:dyDescent="0.25">
      <c r="A676">
        <v>184.60409200000001</v>
      </c>
      <c r="B676" s="1">
        <f>DATE(2010,11,1) + TIME(14,29,53)</f>
        <v>40483.604085648149</v>
      </c>
      <c r="C676">
        <v>80</v>
      </c>
      <c r="D676">
        <v>79.830780028999996</v>
      </c>
      <c r="E676">
        <v>40</v>
      </c>
      <c r="F676">
        <v>46.837333678999997</v>
      </c>
      <c r="G676">
        <v>1330.0368652</v>
      </c>
      <c r="H676">
        <v>1329.4553223</v>
      </c>
      <c r="I676">
        <v>1336.4305420000001</v>
      </c>
      <c r="J676">
        <v>1334.3579102000001</v>
      </c>
      <c r="K676">
        <v>0</v>
      </c>
      <c r="L676">
        <v>1650</v>
      </c>
      <c r="M676">
        <v>1650</v>
      </c>
      <c r="N676">
        <v>0</v>
      </c>
    </row>
    <row r="677" spans="1:14" x14ac:dyDescent="0.25">
      <c r="A677">
        <v>184.67275699999999</v>
      </c>
      <c r="B677" s="1">
        <f>DATE(2010,11,1) + TIME(16,8,46)</f>
        <v>40483.672754629632</v>
      </c>
      <c r="C677">
        <v>80</v>
      </c>
      <c r="D677">
        <v>79.818702697999996</v>
      </c>
      <c r="E677">
        <v>40</v>
      </c>
      <c r="F677">
        <v>46.307865143000001</v>
      </c>
      <c r="G677">
        <v>1330.0286865</v>
      </c>
      <c r="H677">
        <v>1329.4431152</v>
      </c>
      <c r="I677">
        <v>1336.4185791</v>
      </c>
      <c r="J677">
        <v>1334.3463135</v>
      </c>
      <c r="K677">
        <v>0</v>
      </c>
      <c r="L677">
        <v>1650</v>
      </c>
      <c r="M677">
        <v>1650</v>
      </c>
      <c r="N677">
        <v>0</v>
      </c>
    </row>
    <row r="678" spans="1:14" x14ac:dyDescent="0.25">
      <c r="A678">
        <v>184.74496199999999</v>
      </c>
      <c r="B678" s="1">
        <f>DATE(2010,11,1) + TIME(17,52,44)</f>
        <v>40483.744953703703</v>
      </c>
      <c r="C678">
        <v>80</v>
      </c>
      <c r="D678">
        <v>79.806098938000005</v>
      </c>
      <c r="E678">
        <v>40</v>
      </c>
      <c r="F678">
        <v>45.800361633000001</v>
      </c>
      <c r="G678">
        <v>1330.0203856999999</v>
      </c>
      <c r="H678">
        <v>1329.4307861</v>
      </c>
      <c r="I678">
        <v>1336.4079589999999</v>
      </c>
      <c r="J678">
        <v>1334.3359375</v>
      </c>
      <c r="K678">
        <v>0</v>
      </c>
      <c r="L678">
        <v>1650</v>
      </c>
      <c r="M678">
        <v>1650</v>
      </c>
      <c r="N678">
        <v>0</v>
      </c>
    </row>
    <row r="679" spans="1:14" x14ac:dyDescent="0.25">
      <c r="A679">
        <v>184.820941</v>
      </c>
      <c r="B679" s="1">
        <f>DATE(2010,11,1) + TIME(19,42,9)</f>
        <v>40483.820937500001</v>
      </c>
      <c r="C679">
        <v>80</v>
      </c>
      <c r="D679">
        <v>79.792922974000007</v>
      </c>
      <c r="E679">
        <v>40</v>
      </c>
      <c r="F679">
        <v>45.315017699999999</v>
      </c>
      <c r="G679">
        <v>1330.0118408000001</v>
      </c>
      <c r="H679">
        <v>1329.4182129000001</v>
      </c>
      <c r="I679">
        <v>1336.3986815999999</v>
      </c>
      <c r="J679">
        <v>1334.3265381000001</v>
      </c>
      <c r="K679">
        <v>0</v>
      </c>
      <c r="L679">
        <v>1650</v>
      </c>
      <c r="M679">
        <v>1650</v>
      </c>
      <c r="N679">
        <v>0</v>
      </c>
    </row>
    <row r="680" spans="1:14" x14ac:dyDescent="0.25">
      <c r="A680">
        <v>184.900948</v>
      </c>
      <c r="B680" s="1">
        <f>DATE(2010,11,1) + TIME(21,37,21)</f>
        <v>40483.900937500002</v>
      </c>
      <c r="C680">
        <v>80</v>
      </c>
      <c r="D680">
        <v>79.779159546000002</v>
      </c>
      <c r="E680">
        <v>40</v>
      </c>
      <c r="F680">
        <v>44.852035522000001</v>
      </c>
      <c r="G680">
        <v>1330.0031738</v>
      </c>
      <c r="H680">
        <v>1329.4052733999999</v>
      </c>
      <c r="I680">
        <v>1336.3908690999999</v>
      </c>
      <c r="J680">
        <v>1334.3182373</v>
      </c>
      <c r="K680">
        <v>0</v>
      </c>
      <c r="L680">
        <v>1650</v>
      </c>
      <c r="M680">
        <v>1650</v>
      </c>
      <c r="N680">
        <v>0</v>
      </c>
    </row>
    <row r="681" spans="1:14" x14ac:dyDescent="0.25">
      <c r="A681">
        <v>184.98521199999999</v>
      </c>
      <c r="B681" s="1">
        <f>DATE(2010,11,1) + TIME(23,38,42)</f>
        <v>40483.985208333332</v>
      </c>
      <c r="C681">
        <v>80</v>
      </c>
      <c r="D681">
        <v>79.764785767000006</v>
      </c>
      <c r="E681">
        <v>40</v>
      </c>
      <c r="F681">
        <v>44.41179657</v>
      </c>
      <c r="G681">
        <v>1329.9943848</v>
      </c>
      <c r="H681">
        <v>1329.3922118999999</v>
      </c>
      <c r="I681">
        <v>1336.3842772999999</v>
      </c>
      <c r="J681">
        <v>1334.3110352000001</v>
      </c>
      <c r="K681">
        <v>0</v>
      </c>
      <c r="L681">
        <v>1650</v>
      </c>
      <c r="M681">
        <v>1650</v>
      </c>
      <c r="N681">
        <v>0</v>
      </c>
    </row>
    <row r="682" spans="1:14" x14ac:dyDescent="0.25">
      <c r="A682">
        <v>185.07403099999999</v>
      </c>
      <c r="B682" s="1">
        <f>DATE(2010,11,2) + TIME(1,46,36)</f>
        <v>40484.07402777778</v>
      </c>
      <c r="C682">
        <v>80</v>
      </c>
      <c r="D682">
        <v>79.749755859000004</v>
      </c>
      <c r="E682">
        <v>40</v>
      </c>
      <c r="F682">
        <v>43.994380950999997</v>
      </c>
      <c r="G682">
        <v>1329.9853516000001</v>
      </c>
      <c r="H682">
        <v>1329.3787841999999</v>
      </c>
      <c r="I682">
        <v>1336.3790283000001</v>
      </c>
      <c r="J682">
        <v>1334.3049315999999</v>
      </c>
      <c r="K682">
        <v>0</v>
      </c>
      <c r="L682">
        <v>1650</v>
      </c>
      <c r="M682">
        <v>1650</v>
      </c>
      <c r="N682">
        <v>0</v>
      </c>
    </row>
    <row r="683" spans="1:14" x14ac:dyDescent="0.25">
      <c r="A683">
        <v>185.16773599999999</v>
      </c>
      <c r="B683" s="1">
        <f>DATE(2010,11,2) + TIME(4,1,32)</f>
        <v>40484.167731481481</v>
      </c>
      <c r="C683">
        <v>80</v>
      </c>
      <c r="D683">
        <v>79.734039307000003</v>
      </c>
      <c r="E683">
        <v>40</v>
      </c>
      <c r="F683">
        <v>43.599834442000002</v>
      </c>
      <c r="G683">
        <v>1329.9760742000001</v>
      </c>
      <c r="H683">
        <v>1329.3651123</v>
      </c>
      <c r="I683">
        <v>1336.375</v>
      </c>
      <c r="J683">
        <v>1334.2996826000001</v>
      </c>
      <c r="K683">
        <v>0</v>
      </c>
      <c r="L683">
        <v>1650</v>
      </c>
      <c r="M683">
        <v>1650</v>
      </c>
      <c r="N683">
        <v>0</v>
      </c>
    </row>
    <row r="684" spans="1:14" x14ac:dyDescent="0.25">
      <c r="A684">
        <v>185.266661</v>
      </c>
      <c r="B684" s="1">
        <f>DATE(2010,11,2) + TIME(6,23,59)</f>
        <v>40484.266655092593</v>
      </c>
      <c r="C684">
        <v>80</v>
      </c>
      <c r="D684">
        <v>79.717605590999995</v>
      </c>
      <c r="E684">
        <v>40</v>
      </c>
      <c r="F684">
        <v>43.228260040000002</v>
      </c>
      <c r="G684">
        <v>1329.9665527</v>
      </c>
      <c r="H684">
        <v>1329.3510742000001</v>
      </c>
      <c r="I684">
        <v>1336.3721923999999</v>
      </c>
      <c r="J684">
        <v>1334.2955322</v>
      </c>
      <c r="K684">
        <v>0</v>
      </c>
      <c r="L684">
        <v>1650</v>
      </c>
      <c r="M684">
        <v>1650</v>
      </c>
      <c r="N684">
        <v>0</v>
      </c>
    </row>
    <row r="685" spans="1:14" x14ac:dyDescent="0.25">
      <c r="A685">
        <v>185.37116499999999</v>
      </c>
      <c r="B685" s="1">
        <f>DATE(2010,11,2) + TIME(8,54,28)</f>
        <v>40484.371157407404</v>
      </c>
      <c r="C685">
        <v>80</v>
      </c>
      <c r="D685">
        <v>79.700401306000003</v>
      </c>
      <c r="E685">
        <v>40</v>
      </c>
      <c r="F685">
        <v>42.879711151000002</v>
      </c>
      <c r="G685">
        <v>1329.9567870999999</v>
      </c>
      <c r="H685">
        <v>1329.3366699000001</v>
      </c>
      <c r="I685">
        <v>1336.3703613</v>
      </c>
      <c r="J685">
        <v>1334.2922363</v>
      </c>
      <c r="K685">
        <v>0</v>
      </c>
      <c r="L685">
        <v>1650</v>
      </c>
      <c r="M685">
        <v>1650</v>
      </c>
      <c r="N685">
        <v>0</v>
      </c>
    </row>
    <row r="686" spans="1:14" x14ac:dyDescent="0.25">
      <c r="A686">
        <v>185.48163299999999</v>
      </c>
      <c r="B686" s="1">
        <f>DATE(2010,11,2) + TIME(11,33,33)</f>
        <v>40484.481631944444</v>
      </c>
      <c r="C686">
        <v>80</v>
      </c>
      <c r="D686">
        <v>79.682403563999998</v>
      </c>
      <c r="E686">
        <v>40</v>
      </c>
      <c r="F686">
        <v>42.554191588999998</v>
      </c>
      <c r="G686">
        <v>1329.9467772999999</v>
      </c>
      <c r="H686">
        <v>1329.3218993999999</v>
      </c>
      <c r="I686">
        <v>1336.3695068</v>
      </c>
      <c r="J686">
        <v>1334.2897949000001</v>
      </c>
      <c r="K686">
        <v>0</v>
      </c>
      <c r="L686">
        <v>1650</v>
      </c>
      <c r="M686">
        <v>1650</v>
      </c>
      <c r="N686">
        <v>0</v>
      </c>
    </row>
    <row r="687" spans="1:14" x14ac:dyDescent="0.25">
      <c r="A687">
        <v>185.59848</v>
      </c>
      <c r="B687" s="1">
        <f>DATE(2010,11,2) + TIME(14,21,48)</f>
        <v>40484.59847222222</v>
      </c>
      <c r="C687">
        <v>80</v>
      </c>
      <c r="D687">
        <v>79.663558960000003</v>
      </c>
      <c r="E687">
        <v>40</v>
      </c>
      <c r="F687">
        <v>42.251617432000003</v>
      </c>
      <c r="G687">
        <v>1329.9365233999999</v>
      </c>
      <c r="H687">
        <v>1329.3067627</v>
      </c>
      <c r="I687">
        <v>1336.3696289</v>
      </c>
      <c r="J687">
        <v>1334.2880858999999</v>
      </c>
      <c r="K687">
        <v>0</v>
      </c>
      <c r="L687">
        <v>1650</v>
      </c>
      <c r="M687">
        <v>1650</v>
      </c>
      <c r="N687">
        <v>0</v>
      </c>
    </row>
    <row r="688" spans="1:14" x14ac:dyDescent="0.25">
      <c r="A688">
        <v>185.72215299999999</v>
      </c>
      <c r="B688" s="1">
        <f>DATE(2010,11,2) + TIME(17,19,53)</f>
        <v>40484.722141203703</v>
      </c>
      <c r="C688">
        <v>80</v>
      </c>
      <c r="D688">
        <v>79.643821716000005</v>
      </c>
      <c r="E688">
        <v>40</v>
      </c>
      <c r="F688">
        <v>41.971828461000001</v>
      </c>
      <c r="G688">
        <v>1329.9259033000001</v>
      </c>
      <c r="H688">
        <v>1329.2911377</v>
      </c>
      <c r="I688">
        <v>1336.3704834</v>
      </c>
      <c r="J688">
        <v>1334.2869873</v>
      </c>
      <c r="K688">
        <v>0</v>
      </c>
      <c r="L688">
        <v>1650</v>
      </c>
      <c r="M688">
        <v>1650</v>
      </c>
      <c r="N688">
        <v>0</v>
      </c>
    </row>
    <row r="689" spans="1:14" x14ac:dyDescent="0.25">
      <c r="A689">
        <v>185.85313500000001</v>
      </c>
      <c r="B689" s="1">
        <f>DATE(2010,11,2) + TIME(20,28,30)</f>
        <v>40484.853125000001</v>
      </c>
      <c r="C689">
        <v>80</v>
      </c>
      <c r="D689">
        <v>79.623146057</v>
      </c>
      <c r="E689">
        <v>40</v>
      </c>
      <c r="F689">
        <v>41.714553832999997</v>
      </c>
      <c r="G689">
        <v>1329.9149170000001</v>
      </c>
      <c r="H689">
        <v>1329.2750243999999</v>
      </c>
      <c r="I689">
        <v>1336.3719481999999</v>
      </c>
      <c r="J689">
        <v>1334.2866211</v>
      </c>
      <c r="K689">
        <v>0</v>
      </c>
      <c r="L689">
        <v>1650</v>
      </c>
      <c r="M689">
        <v>1650</v>
      </c>
      <c r="N689">
        <v>0</v>
      </c>
    </row>
    <row r="690" spans="1:14" x14ac:dyDescent="0.25">
      <c r="A690">
        <v>185.991952</v>
      </c>
      <c r="B690" s="1">
        <f>DATE(2010,11,2) + TIME(23,48,24)</f>
        <v>40484.991944444446</v>
      </c>
      <c r="C690">
        <v>80</v>
      </c>
      <c r="D690">
        <v>79.601478576999995</v>
      </c>
      <c r="E690">
        <v>40</v>
      </c>
      <c r="F690">
        <v>41.479423523000001</v>
      </c>
      <c r="G690">
        <v>1329.9035644999999</v>
      </c>
      <c r="H690">
        <v>1329.2584228999999</v>
      </c>
      <c r="I690">
        <v>1336.3739014</v>
      </c>
      <c r="J690">
        <v>1334.2866211</v>
      </c>
      <c r="K690">
        <v>0</v>
      </c>
      <c r="L690">
        <v>1650</v>
      </c>
      <c r="M690">
        <v>1650</v>
      </c>
      <c r="N690">
        <v>0</v>
      </c>
    </row>
    <row r="691" spans="1:14" x14ac:dyDescent="0.25">
      <c r="A691">
        <v>186.13916399999999</v>
      </c>
      <c r="B691" s="1">
        <f>DATE(2010,11,3) + TIME(3,20,23)</f>
        <v>40485.139155092591</v>
      </c>
      <c r="C691">
        <v>80</v>
      </c>
      <c r="D691">
        <v>79.578765868999994</v>
      </c>
      <c r="E691">
        <v>40</v>
      </c>
      <c r="F691">
        <v>41.26594162</v>
      </c>
      <c r="G691">
        <v>1329.8917236</v>
      </c>
      <c r="H691">
        <v>1329.2413329999999</v>
      </c>
      <c r="I691">
        <v>1336.3760986</v>
      </c>
      <c r="J691">
        <v>1334.2871094</v>
      </c>
      <c r="K691">
        <v>0</v>
      </c>
      <c r="L691">
        <v>1650</v>
      </c>
      <c r="M691">
        <v>1650</v>
      </c>
      <c r="N691">
        <v>0</v>
      </c>
    </row>
    <row r="692" spans="1:14" x14ac:dyDescent="0.25">
      <c r="A692">
        <v>186.295321</v>
      </c>
      <c r="B692" s="1">
        <f>DATE(2010,11,3) + TIME(7,5,15)</f>
        <v>40485.295312499999</v>
      </c>
      <c r="C692">
        <v>80</v>
      </c>
      <c r="D692">
        <v>79.554954529</v>
      </c>
      <c r="E692">
        <v>40</v>
      </c>
      <c r="F692">
        <v>41.073562621999997</v>
      </c>
      <c r="G692">
        <v>1329.8796387</v>
      </c>
      <c r="H692">
        <v>1329.2235106999999</v>
      </c>
      <c r="I692">
        <v>1336.3785399999999</v>
      </c>
      <c r="J692">
        <v>1334.2878418</v>
      </c>
      <c r="K692">
        <v>0</v>
      </c>
      <c r="L692">
        <v>1650</v>
      </c>
      <c r="M692">
        <v>1650</v>
      </c>
      <c r="N692">
        <v>0</v>
      </c>
    </row>
    <row r="693" spans="1:14" x14ac:dyDescent="0.25">
      <c r="A693">
        <v>186.46114900000001</v>
      </c>
      <c r="B693" s="1">
        <f>DATE(2010,11,3) + TIME(11,4,3)</f>
        <v>40485.461145833331</v>
      </c>
      <c r="C693">
        <v>80</v>
      </c>
      <c r="D693">
        <v>79.529968261999997</v>
      </c>
      <c r="E693">
        <v>40</v>
      </c>
      <c r="F693">
        <v>40.901454926</v>
      </c>
      <c r="G693">
        <v>1329.8669434000001</v>
      </c>
      <c r="H693">
        <v>1329.2052002</v>
      </c>
      <c r="I693">
        <v>1336.3809814000001</v>
      </c>
      <c r="J693">
        <v>1334.2888184000001</v>
      </c>
      <c r="K693">
        <v>0</v>
      </c>
      <c r="L693">
        <v>1650</v>
      </c>
      <c r="M693">
        <v>1650</v>
      </c>
      <c r="N693">
        <v>0</v>
      </c>
    </row>
    <row r="694" spans="1:14" x14ac:dyDescent="0.25">
      <c r="A694">
        <v>186.637393</v>
      </c>
      <c r="B694" s="1">
        <f>DATE(2010,11,3) + TIME(15,17,50)</f>
        <v>40485.637384259258</v>
      </c>
      <c r="C694">
        <v>80</v>
      </c>
      <c r="D694">
        <v>79.503738403</v>
      </c>
      <c r="E694">
        <v>40</v>
      </c>
      <c r="F694">
        <v>40.748733520999998</v>
      </c>
      <c r="G694">
        <v>1329.8537598</v>
      </c>
      <c r="H694">
        <v>1329.1861572</v>
      </c>
      <c r="I694">
        <v>1336.3833007999999</v>
      </c>
      <c r="J694">
        <v>1334.2897949000001</v>
      </c>
      <c r="K694">
        <v>0</v>
      </c>
      <c r="L694">
        <v>1650</v>
      </c>
      <c r="M694">
        <v>1650</v>
      </c>
      <c r="N694">
        <v>0</v>
      </c>
    </row>
    <row r="695" spans="1:14" x14ac:dyDescent="0.25">
      <c r="A695">
        <v>186.824872</v>
      </c>
      <c r="B695" s="1">
        <f>DATE(2010,11,3) + TIME(19,47,48)</f>
        <v>40485.824861111112</v>
      </c>
      <c r="C695">
        <v>80</v>
      </c>
      <c r="D695">
        <v>79.476181030000006</v>
      </c>
      <c r="E695">
        <v>40</v>
      </c>
      <c r="F695">
        <v>40.614410399999997</v>
      </c>
      <c r="G695">
        <v>1329.8400879000001</v>
      </c>
      <c r="H695">
        <v>1329.1663818</v>
      </c>
      <c r="I695">
        <v>1336.385376</v>
      </c>
      <c r="J695">
        <v>1334.2908935999999</v>
      </c>
      <c r="K695">
        <v>0</v>
      </c>
      <c r="L695">
        <v>1650</v>
      </c>
      <c r="M695">
        <v>1650</v>
      </c>
      <c r="N695">
        <v>0</v>
      </c>
    </row>
    <row r="696" spans="1:14" x14ac:dyDescent="0.25">
      <c r="A696">
        <v>187.02449100000001</v>
      </c>
      <c r="B696" s="1">
        <f>DATE(2010,11,4) + TIME(0,35,15)</f>
        <v>40486.02447916667</v>
      </c>
      <c r="C696">
        <v>80</v>
      </c>
      <c r="D696">
        <v>79.447212218999994</v>
      </c>
      <c r="E696">
        <v>40</v>
      </c>
      <c r="F696">
        <v>40.497375488000003</v>
      </c>
      <c r="G696">
        <v>1329.8259277</v>
      </c>
      <c r="H696">
        <v>1329.1457519999999</v>
      </c>
      <c r="I696">
        <v>1336.3869629000001</v>
      </c>
      <c r="J696">
        <v>1334.2917480000001</v>
      </c>
      <c r="K696">
        <v>0</v>
      </c>
      <c r="L696">
        <v>1650</v>
      </c>
      <c r="M696">
        <v>1650</v>
      </c>
      <c r="N696">
        <v>0</v>
      </c>
    </row>
    <row r="697" spans="1:14" x14ac:dyDescent="0.25">
      <c r="A697">
        <v>187.237255</v>
      </c>
      <c r="B697" s="1">
        <f>DATE(2010,11,4) + TIME(5,41,38)</f>
        <v>40486.237245370372</v>
      </c>
      <c r="C697">
        <v>80</v>
      </c>
      <c r="D697">
        <v>79.416717528999996</v>
      </c>
      <c r="E697">
        <v>40</v>
      </c>
      <c r="F697">
        <v>40.396430969000001</v>
      </c>
      <c r="G697">
        <v>1329.8110352000001</v>
      </c>
      <c r="H697">
        <v>1329.1242675999999</v>
      </c>
      <c r="I697">
        <v>1336.3880615</v>
      </c>
      <c r="J697">
        <v>1334.2924805</v>
      </c>
      <c r="K697">
        <v>0</v>
      </c>
      <c r="L697">
        <v>1650</v>
      </c>
      <c r="M697">
        <v>1650</v>
      </c>
      <c r="N697">
        <v>0</v>
      </c>
    </row>
    <row r="698" spans="1:14" x14ac:dyDescent="0.25">
      <c r="A698">
        <v>187.46428700000001</v>
      </c>
      <c r="B698" s="1">
        <f>DATE(2010,11,4) + TIME(11,8,34)</f>
        <v>40486.464282407411</v>
      </c>
      <c r="C698">
        <v>80</v>
      </c>
      <c r="D698">
        <v>79.384605407999999</v>
      </c>
      <c r="E698">
        <v>40</v>
      </c>
      <c r="F698">
        <v>40.310310364000003</v>
      </c>
      <c r="G698">
        <v>1329.7954102000001</v>
      </c>
      <c r="H698">
        <v>1329.1019286999999</v>
      </c>
      <c r="I698">
        <v>1336.3885498</v>
      </c>
      <c r="J698">
        <v>1334.2928466999999</v>
      </c>
      <c r="K698">
        <v>0</v>
      </c>
      <c r="L698">
        <v>1650</v>
      </c>
      <c r="M698">
        <v>1650</v>
      </c>
      <c r="N698">
        <v>0</v>
      </c>
    </row>
    <row r="699" spans="1:14" x14ac:dyDescent="0.25">
      <c r="A699">
        <v>187.706851</v>
      </c>
      <c r="B699" s="1">
        <f>DATE(2010,11,4) + TIME(16,57,51)</f>
        <v>40486.70684027778</v>
      </c>
      <c r="C699">
        <v>80</v>
      </c>
      <c r="D699">
        <v>79.350730896000002</v>
      </c>
      <c r="E699">
        <v>40</v>
      </c>
      <c r="F699">
        <v>40.237682343000003</v>
      </c>
      <c r="G699">
        <v>1329.7791748</v>
      </c>
      <c r="H699">
        <v>1329.0786132999999</v>
      </c>
      <c r="I699">
        <v>1336.3884277</v>
      </c>
      <c r="J699">
        <v>1334.2929687999999</v>
      </c>
      <c r="K699">
        <v>0</v>
      </c>
      <c r="L699">
        <v>1650</v>
      </c>
      <c r="M699">
        <v>1650</v>
      </c>
      <c r="N699">
        <v>0</v>
      </c>
    </row>
    <row r="700" spans="1:14" x14ac:dyDescent="0.25">
      <c r="A700">
        <v>187.966374</v>
      </c>
      <c r="B700" s="1">
        <f>DATE(2010,11,4) + TIME(23,11,34)</f>
        <v>40486.966365740744</v>
      </c>
      <c r="C700">
        <v>80</v>
      </c>
      <c r="D700">
        <v>79.314971924000005</v>
      </c>
      <c r="E700">
        <v>40</v>
      </c>
      <c r="F700">
        <v>40.177192687999998</v>
      </c>
      <c r="G700">
        <v>1329.7620850000001</v>
      </c>
      <c r="H700">
        <v>1329.0541992000001</v>
      </c>
      <c r="I700">
        <v>1336.3874512</v>
      </c>
      <c r="J700">
        <v>1334.2926024999999</v>
      </c>
      <c r="K700">
        <v>0</v>
      </c>
      <c r="L700">
        <v>1650</v>
      </c>
      <c r="M700">
        <v>1650</v>
      </c>
      <c r="N700">
        <v>0</v>
      </c>
    </row>
    <row r="701" spans="1:14" x14ac:dyDescent="0.25">
      <c r="A701">
        <v>188.24447599999999</v>
      </c>
      <c r="B701" s="1">
        <f>DATE(2010,11,5) + TIME(5,52,2)</f>
        <v>40487.244467592594</v>
      </c>
      <c r="C701">
        <v>80</v>
      </c>
      <c r="D701">
        <v>79.277160644999995</v>
      </c>
      <c r="E701">
        <v>40</v>
      </c>
      <c r="F701">
        <v>40.127479553000001</v>
      </c>
      <c r="G701">
        <v>1329.7442627</v>
      </c>
      <c r="H701">
        <v>1329.0286865</v>
      </c>
      <c r="I701">
        <v>1336.3856201000001</v>
      </c>
      <c r="J701">
        <v>1334.2918701000001</v>
      </c>
      <c r="K701">
        <v>0</v>
      </c>
      <c r="L701">
        <v>1650</v>
      </c>
      <c r="M701">
        <v>1650</v>
      </c>
      <c r="N701">
        <v>0</v>
      </c>
    </row>
    <row r="702" spans="1:14" x14ac:dyDescent="0.25">
      <c r="A702">
        <v>188.533669</v>
      </c>
      <c r="B702" s="1">
        <f>DATE(2010,11,5) + TIME(12,48,29)</f>
        <v>40487.533668981479</v>
      </c>
      <c r="C702">
        <v>80</v>
      </c>
      <c r="D702">
        <v>79.238151549999998</v>
      </c>
      <c r="E702">
        <v>40</v>
      </c>
      <c r="F702">
        <v>40.088165283000002</v>
      </c>
      <c r="G702">
        <v>1329.7254639</v>
      </c>
      <c r="H702">
        <v>1329.0020752</v>
      </c>
      <c r="I702">
        <v>1336.3830565999999</v>
      </c>
      <c r="J702">
        <v>1334.2907714999999</v>
      </c>
      <c r="K702">
        <v>0</v>
      </c>
      <c r="L702">
        <v>1650</v>
      </c>
      <c r="M702">
        <v>1650</v>
      </c>
      <c r="N702">
        <v>0</v>
      </c>
    </row>
    <row r="703" spans="1:14" x14ac:dyDescent="0.25">
      <c r="A703">
        <v>188.829464</v>
      </c>
      <c r="B703" s="1">
        <f>DATE(2010,11,5) + TIME(19,54,25)</f>
        <v>40487.829456018517</v>
      </c>
      <c r="C703">
        <v>80</v>
      </c>
      <c r="D703">
        <v>79.198471068999993</v>
      </c>
      <c r="E703">
        <v>40</v>
      </c>
      <c r="F703">
        <v>40.057720183999997</v>
      </c>
      <c r="G703">
        <v>1329.7062988</v>
      </c>
      <c r="H703">
        <v>1328.9748535000001</v>
      </c>
      <c r="I703">
        <v>1336.3798827999999</v>
      </c>
      <c r="J703">
        <v>1334.2891846</v>
      </c>
      <c r="K703">
        <v>0</v>
      </c>
      <c r="L703">
        <v>1650</v>
      </c>
      <c r="M703">
        <v>1650</v>
      </c>
      <c r="N703">
        <v>0</v>
      </c>
    </row>
    <row r="704" spans="1:14" x14ac:dyDescent="0.25">
      <c r="A704">
        <v>189.132609</v>
      </c>
      <c r="B704" s="1">
        <f>DATE(2010,11,6) + TIME(3,10,57)</f>
        <v>40488.132604166669</v>
      </c>
      <c r="C704">
        <v>80</v>
      </c>
      <c r="D704">
        <v>79.158050536999994</v>
      </c>
      <c r="E704">
        <v>40</v>
      </c>
      <c r="F704">
        <v>40.03421402</v>
      </c>
      <c r="G704">
        <v>1329.6868896000001</v>
      </c>
      <c r="H704">
        <v>1328.9473877</v>
      </c>
      <c r="I704">
        <v>1336.3759766000001</v>
      </c>
      <c r="J704">
        <v>1334.2872314000001</v>
      </c>
      <c r="K704">
        <v>0</v>
      </c>
      <c r="L704">
        <v>1650</v>
      </c>
      <c r="M704">
        <v>1650</v>
      </c>
      <c r="N704">
        <v>0</v>
      </c>
    </row>
    <row r="705" spans="1:14" x14ac:dyDescent="0.25">
      <c r="A705">
        <v>189.44377</v>
      </c>
      <c r="B705" s="1">
        <f>DATE(2010,11,6) + TIME(10,39,1)</f>
        <v>40488.443761574075</v>
      </c>
      <c r="C705">
        <v>80</v>
      </c>
      <c r="D705">
        <v>79.116836547999995</v>
      </c>
      <c r="E705">
        <v>40</v>
      </c>
      <c r="F705">
        <v>40.016132355000003</v>
      </c>
      <c r="G705">
        <v>1329.6673584</v>
      </c>
      <c r="H705">
        <v>1328.9195557</v>
      </c>
      <c r="I705">
        <v>1336.371582</v>
      </c>
      <c r="J705">
        <v>1334.2849120999999</v>
      </c>
      <c r="K705">
        <v>0</v>
      </c>
      <c r="L705">
        <v>1650</v>
      </c>
      <c r="M705">
        <v>1650</v>
      </c>
      <c r="N705">
        <v>0</v>
      </c>
    </row>
    <row r="706" spans="1:14" x14ac:dyDescent="0.25">
      <c r="A706">
        <v>189.76364599999999</v>
      </c>
      <c r="B706" s="1">
        <f>DATE(2010,11,6) + TIME(18,19,38)</f>
        <v>40488.76363425926</v>
      </c>
      <c r="C706">
        <v>80</v>
      </c>
      <c r="D706">
        <v>79.074775696000003</v>
      </c>
      <c r="E706">
        <v>40</v>
      </c>
      <c r="F706">
        <v>40.002281189000001</v>
      </c>
      <c r="G706">
        <v>1329.6474608999999</v>
      </c>
      <c r="H706">
        <v>1328.8916016000001</v>
      </c>
      <c r="I706">
        <v>1336.3665771000001</v>
      </c>
      <c r="J706">
        <v>1334.2823486</v>
      </c>
      <c r="K706">
        <v>0</v>
      </c>
      <c r="L706">
        <v>1650</v>
      </c>
      <c r="M706">
        <v>1650</v>
      </c>
      <c r="N706">
        <v>0</v>
      </c>
    </row>
    <row r="707" spans="1:14" x14ac:dyDescent="0.25">
      <c r="A707">
        <v>190.092983</v>
      </c>
      <c r="B707" s="1">
        <f>DATE(2010,11,7) + TIME(2,13,53)</f>
        <v>40489.092974537038</v>
      </c>
      <c r="C707">
        <v>80</v>
      </c>
      <c r="D707">
        <v>79.031799316000004</v>
      </c>
      <c r="E707">
        <v>40</v>
      </c>
      <c r="F707">
        <v>39.991718292000002</v>
      </c>
      <c r="G707">
        <v>1329.6274414</v>
      </c>
      <c r="H707">
        <v>1328.8632812000001</v>
      </c>
      <c r="I707">
        <v>1336.3612060999999</v>
      </c>
      <c r="J707">
        <v>1334.2794189000001</v>
      </c>
      <c r="K707">
        <v>0</v>
      </c>
      <c r="L707">
        <v>1650</v>
      </c>
      <c r="M707">
        <v>1650</v>
      </c>
      <c r="N707">
        <v>0</v>
      </c>
    </row>
    <row r="708" spans="1:14" x14ac:dyDescent="0.25">
      <c r="A708">
        <v>190.43256600000001</v>
      </c>
      <c r="B708" s="1">
        <f>DATE(2010,11,7) + TIME(10,22,53)</f>
        <v>40489.432557870372</v>
      </c>
      <c r="C708">
        <v>80</v>
      </c>
      <c r="D708">
        <v>78.987846375000004</v>
      </c>
      <c r="E708">
        <v>40</v>
      </c>
      <c r="F708">
        <v>39.983699799</v>
      </c>
      <c r="G708">
        <v>1329.6070557</v>
      </c>
      <c r="H708">
        <v>1328.8345947</v>
      </c>
      <c r="I708">
        <v>1336.3554687999999</v>
      </c>
      <c r="J708">
        <v>1334.2762451000001</v>
      </c>
      <c r="K708">
        <v>0</v>
      </c>
      <c r="L708">
        <v>1650</v>
      </c>
      <c r="M708">
        <v>1650</v>
      </c>
      <c r="N708">
        <v>0</v>
      </c>
    </row>
    <row r="709" spans="1:14" x14ac:dyDescent="0.25">
      <c r="A709">
        <v>190.78323399999999</v>
      </c>
      <c r="B709" s="1">
        <f>DATE(2010,11,7) + TIME(18,47,51)</f>
        <v>40489.783229166664</v>
      </c>
      <c r="C709">
        <v>80</v>
      </c>
      <c r="D709">
        <v>78.942832946999999</v>
      </c>
      <c r="E709">
        <v>40</v>
      </c>
      <c r="F709">
        <v>39.977638245000001</v>
      </c>
      <c r="G709">
        <v>1329.5864257999999</v>
      </c>
      <c r="H709">
        <v>1328.8054199000001</v>
      </c>
      <c r="I709">
        <v>1336.3494873</v>
      </c>
      <c r="J709">
        <v>1334.2729492000001</v>
      </c>
      <c r="K709">
        <v>0</v>
      </c>
      <c r="L709">
        <v>1650</v>
      </c>
      <c r="M709">
        <v>1650</v>
      </c>
      <c r="N709">
        <v>0</v>
      </c>
    </row>
    <row r="710" spans="1:14" x14ac:dyDescent="0.25">
      <c r="A710">
        <v>191.14588699999999</v>
      </c>
      <c r="B710" s="1">
        <f>DATE(2010,11,8) + TIME(3,30,4)</f>
        <v>40490.145879629628</v>
      </c>
      <c r="C710">
        <v>80</v>
      </c>
      <c r="D710">
        <v>78.896697997999993</v>
      </c>
      <c r="E710">
        <v>40</v>
      </c>
      <c r="F710">
        <v>39.973083496000001</v>
      </c>
      <c r="G710">
        <v>1329.5654297000001</v>
      </c>
      <c r="H710">
        <v>1328.776001</v>
      </c>
      <c r="I710">
        <v>1336.3432617000001</v>
      </c>
      <c r="J710">
        <v>1334.2694091999999</v>
      </c>
      <c r="K710">
        <v>0</v>
      </c>
      <c r="L710">
        <v>1650</v>
      </c>
      <c r="M710">
        <v>1650</v>
      </c>
      <c r="N710">
        <v>0</v>
      </c>
    </row>
    <row r="711" spans="1:14" x14ac:dyDescent="0.25">
      <c r="A711">
        <v>191.521503</v>
      </c>
      <c r="B711" s="1">
        <f>DATE(2010,11,8) + TIME(12,30,57)</f>
        <v>40490.521493055552</v>
      </c>
      <c r="C711">
        <v>80</v>
      </c>
      <c r="D711">
        <v>78.849334717000005</v>
      </c>
      <c r="E711">
        <v>40</v>
      </c>
      <c r="F711">
        <v>39.969673157000003</v>
      </c>
      <c r="G711">
        <v>1329.5440673999999</v>
      </c>
      <c r="H711">
        <v>1328.7459716999999</v>
      </c>
      <c r="I711">
        <v>1336.3369141000001</v>
      </c>
      <c r="J711">
        <v>1334.2657471</v>
      </c>
      <c r="K711">
        <v>0</v>
      </c>
      <c r="L711">
        <v>1650</v>
      </c>
      <c r="M711">
        <v>1650</v>
      </c>
      <c r="N711">
        <v>0</v>
      </c>
    </row>
    <row r="712" spans="1:14" x14ac:dyDescent="0.25">
      <c r="A712">
        <v>191.91098099999999</v>
      </c>
      <c r="B712" s="1">
        <f>DATE(2010,11,8) + TIME(21,51,48)</f>
        <v>40490.91097222222</v>
      </c>
      <c r="C712">
        <v>80</v>
      </c>
      <c r="D712">
        <v>78.800682068</v>
      </c>
      <c r="E712">
        <v>40</v>
      </c>
      <c r="F712">
        <v>39.967136383000003</v>
      </c>
      <c r="G712">
        <v>1329.5222168</v>
      </c>
      <c r="H712">
        <v>1328.7154541</v>
      </c>
      <c r="I712">
        <v>1336.3303223</v>
      </c>
      <c r="J712">
        <v>1334.2619629000001</v>
      </c>
      <c r="K712">
        <v>0</v>
      </c>
      <c r="L712">
        <v>1650</v>
      </c>
      <c r="M712">
        <v>1650</v>
      </c>
      <c r="N712">
        <v>0</v>
      </c>
    </row>
    <row r="713" spans="1:14" x14ac:dyDescent="0.25">
      <c r="A713">
        <v>192.31557900000001</v>
      </c>
      <c r="B713" s="1">
        <f>DATE(2010,11,9) + TIME(7,34,26)</f>
        <v>40491.315578703703</v>
      </c>
      <c r="C713">
        <v>80</v>
      </c>
      <c r="D713">
        <v>78.750610351999995</v>
      </c>
      <c r="E713">
        <v>40</v>
      </c>
      <c r="F713">
        <v>39.965251922999997</v>
      </c>
      <c r="G713">
        <v>1329.5</v>
      </c>
      <c r="H713">
        <v>1328.6843262</v>
      </c>
      <c r="I713">
        <v>1336.3236084</v>
      </c>
      <c r="J713">
        <v>1334.2581786999999</v>
      </c>
      <c r="K713">
        <v>0</v>
      </c>
      <c r="L713">
        <v>1650</v>
      </c>
      <c r="M713">
        <v>1650</v>
      </c>
      <c r="N713">
        <v>0</v>
      </c>
    </row>
    <row r="714" spans="1:14" x14ac:dyDescent="0.25">
      <c r="A714">
        <v>192.73657900000001</v>
      </c>
      <c r="B714" s="1">
        <f>DATE(2010,11,9) + TIME(17,40,40)</f>
        <v>40491.736574074072</v>
      </c>
      <c r="C714">
        <v>80</v>
      </c>
      <c r="D714">
        <v>78.699012756000002</v>
      </c>
      <c r="E714">
        <v>40</v>
      </c>
      <c r="F714">
        <v>39.963859558000003</v>
      </c>
      <c r="G714">
        <v>1329.4772949000001</v>
      </c>
      <c r="H714">
        <v>1328.6525879000001</v>
      </c>
      <c r="I714">
        <v>1336.3167725000001</v>
      </c>
      <c r="J714">
        <v>1334.2541504000001</v>
      </c>
      <c r="K714">
        <v>0</v>
      </c>
      <c r="L714">
        <v>1650</v>
      </c>
      <c r="M714">
        <v>1650</v>
      </c>
      <c r="N714">
        <v>0</v>
      </c>
    </row>
    <row r="715" spans="1:14" x14ac:dyDescent="0.25">
      <c r="A715">
        <v>193.17536200000001</v>
      </c>
      <c r="B715" s="1">
        <f>DATE(2010,11,10) + TIME(4,12,31)</f>
        <v>40492.175358796296</v>
      </c>
      <c r="C715">
        <v>80</v>
      </c>
      <c r="D715">
        <v>78.645751953000001</v>
      </c>
      <c r="E715">
        <v>40</v>
      </c>
      <c r="F715">
        <v>39.962837219000001</v>
      </c>
      <c r="G715">
        <v>1329.4541016000001</v>
      </c>
      <c r="H715">
        <v>1328.6202393000001</v>
      </c>
      <c r="I715">
        <v>1336.3098144999999</v>
      </c>
      <c r="J715">
        <v>1334.2501221</v>
      </c>
      <c r="K715">
        <v>0</v>
      </c>
      <c r="L715">
        <v>1650</v>
      </c>
      <c r="M715">
        <v>1650</v>
      </c>
      <c r="N715">
        <v>0</v>
      </c>
    </row>
    <row r="716" spans="1:14" x14ac:dyDescent="0.25">
      <c r="A716">
        <v>193.63346100000001</v>
      </c>
      <c r="B716" s="1">
        <f>DATE(2010,11,10) + TIME(15,12,11)</f>
        <v>40492.633460648147</v>
      </c>
      <c r="C716">
        <v>80</v>
      </c>
      <c r="D716">
        <v>78.590698242000002</v>
      </c>
      <c r="E716">
        <v>40</v>
      </c>
      <c r="F716">
        <v>39.962081908999998</v>
      </c>
      <c r="G716">
        <v>1329.4301757999999</v>
      </c>
      <c r="H716">
        <v>1328.5870361</v>
      </c>
      <c r="I716">
        <v>1336.3028564000001</v>
      </c>
      <c r="J716">
        <v>1334.2460937999999</v>
      </c>
      <c r="K716">
        <v>0</v>
      </c>
      <c r="L716">
        <v>1650</v>
      </c>
      <c r="M716">
        <v>1650</v>
      </c>
      <c r="N716">
        <v>0</v>
      </c>
    </row>
    <row r="717" spans="1:14" x14ac:dyDescent="0.25">
      <c r="A717">
        <v>194.11257699999999</v>
      </c>
      <c r="B717" s="1">
        <f>DATE(2010,11,11) + TIME(2,42,6)</f>
        <v>40493.112569444442</v>
      </c>
      <c r="C717">
        <v>80</v>
      </c>
      <c r="D717">
        <v>78.533676146999994</v>
      </c>
      <c r="E717">
        <v>40</v>
      </c>
      <c r="F717">
        <v>39.961528778000002</v>
      </c>
      <c r="G717">
        <v>1329.4057617000001</v>
      </c>
      <c r="H717">
        <v>1328.5531006000001</v>
      </c>
      <c r="I717">
        <v>1336.2957764</v>
      </c>
      <c r="J717">
        <v>1334.2419434000001</v>
      </c>
      <c r="K717">
        <v>0</v>
      </c>
      <c r="L717">
        <v>1650</v>
      </c>
      <c r="M717">
        <v>1650</v>
      </c>
      <c r="N717">
        <v>0</v>
      </c>
    </row>
    <row r="718" spans="1:14" x14ac:dyDescent="0.25">
      <c r="A718">
        <v>194.614608</v>
      </c>
      <c r="B718" s="1">
        <f>DATE(2010,11,11) + TIME(14,45,2)</f>
        <v>40493.614606481482</v>
      </c>
      <c r="C718">
        <v>80</v>
      </c>
      <c r="D718">
        <v>78.474510193</v>
      </c>
      <c r="E718">
        <v>40</v>
      </c>
      <c r="F718">
        <v>39.961124419999997</v>
      </c>
      <c r="G718">
        <v>1329.3806152</v>
      </c>
      <c r="H718">
        <v>1328.5181885</v>
      </c>
      <c r="I718">
        <v>1336.2885742000001</v>
      </c>
      <c r="J718">
        <v>1334.237793</v>
      </c>
      <c r="K718">
        <v>0</v>
      </c>
      <c r="L718">
        <v>1650</v>
      </c>
      <c r="M718">
        <v>1650</v>
      </c>
      <c r="N718">
        <v>0</v>
      </c>
    </row>
    <row r="719" spans="1:14" x14ac:dyDescent="0.25">
      <c r="A719">
        <v>195.141671</v>
      </c>
      <c r="B719" s="1">
        <f>DATE(2010,11,12) + TIME(3,24,0)</f>
        <v>40494.14166666667</v>
      </c>
      <c r="C719">
        <v>80</v>
      </c>
      <c r="D719">
        <v>78.413002014</v>
      </c>
      <c r="E719">
        <v>40</v>
      </c>
      <c r="F719">
        <v>39.960823058999999</v>
      </c>
      <c r="G719">
        <v>1329.3547363</v>
      </c>
      <c r="H719">
        <v>1328.4822998</v>
      </c>
      <c r="I719">
        <v>1336.2813721</v>
      </c>
      <c r="J719">
        <v>1334.2336425999999</v>
      </c>
      <c r="K719">
        <v>0</v>
      </c>
      <c r="L719">
        <v>1650</v>
      </c>
      <c r="M719">
        <v>1650</v>
      </c>
      <c r="N719">
        <v>0</v>
      </c>
    </row>
    <row r="720" spans="1:14" x14ac:dyDescent="0.25">
      <c r="A720">
        <v>195.69615300000001</v>
      </c>
      <c r="B720" s="1">
        <f>DATE(2010,11,12) + TIME(16,42,27)</f>
        <v>40494.696145833332</v>
      </c>
      <c r="C720">
        <v>80</v>
      </c>
      <c r="D720">
        <v>78.348915099999999</v>
      </c>
      <c r="E720">
        <v>40</v>
      </c>
      <c r="F720">
        <v>39.960601807000003</v>
      </c>
      <c r="G720">
        <v>1329.3280029</v>
      </c>
      <c r="H720">
        <v>1328.4453125</v>
      </c>
      <c r="I720">
        <v>1336.2741699000001</v>
      </c>
      <c r="J720">
        <v>1334.2293701000001</v>
      </c>
      <c r="K720">
        <v>0</v>
      </c>
      <c r="L720">
        <v>1650</v>
      </c>
      <c r="M720">
        <v>1650</v>
      </c>
      <c r="N720">
        <v>0</v>
      </c>
    </row>
    <row r="721" spans="1:14" x14ac:dyDescent="0.25">
      <c r="A721">
        <v>196.28075200000001</v>
      </c>
      <c r="B721" s="1">
        <f>DATE(2010,11,13) + TIME(6,44,16)</f>
        <v>40495.280740740738</v>
      </c>
      <c r="C721">
        <v>80</v>
      </c>
      <c r="D721">
        <v>78.281982421999999</v>
      </c>
      <c r="E721">
        <v>40</v>
      </c>
      <c r="F721">
        <v>39.960433960000003</v>
      </c>
      <c r="G721">
        <v>1329.300293</v>
      </c>
      <c r="H721">
        <v>1328.4071045000001</v>
      </c>
      <c r="I721">
        <v>1336.2668457</v>
      </c>
      <c r="J721">
        <v>1334.2250977000001</v>
      </c>
      <c r="K721">
        <v>0</v>
      </c>
      <c r="L721">
        <v>1650</v>
      </c>
      <c r="M721">
        <v>1650</v>
      </c>
      <c r="N721">
        <v>0</v>
      </c>
    </row>
    <row r="722" spans="1:14" x14ac:dyDescent="0.25">
      <c r="A722">
        <v>196.897311</v>
      </c>
      <c r="B722" s="1">
        <f>DATE(2010,11,13) + TIME(21,32,7)</f>
        <v>40495.897303240738</v>
      </c>
      <c r="C722">
        <v>80</v>
      </c>
      <c r="D722">
        <v>78.211997986</v>
      </c>
      <c r="E722">
        <v>40</v>
      </c>
      <c r="F722">
        <v>39.960308075</v>
      </c>
      <c r="G722">
        <v>1329.2717285000001</v>
      </c>
      <c r="H722">
        <v>1328.3676757999999</v>
      </c>
      <c r="I722">
        <v>1336.2593993999999</v>
      </c>
      <c r="J722">
        <v>1334.2208252</v>
      </c>
      <c r="K722">
        <v>0</v>
      </c>
      <c r="L722">
        <v>1650</v>
      </c>
      <c r="M722">
        <v>1650</v>
      </c>
      <c r="N722">
        <v>0</v>
      </c>
    </row>
    <row r="723" spans="1:14" x14ac:dyDescent="0.25">
      <c r="A723">
        <v>197.54462100000001</v>
      </c>
      <c r="B723" s="1">
        <f>DATE(2010,11,14) + TIME(13,4,15)</f>
        <v>40496.544618055559</v>
      </c>
      <c r="C723">
        <v>80</v>
      </c>
      <c r="D723">
        <v>78.138954162999994</v>
      </c>
      <c r="E723">
        <v>40</v>
      </c>
      <c r="F723">
        <v>39.960216522000003</v>
      </c>
      <c r="G723">
        <v>1329.2420654</v>
      </c>
      <c r="H723">
        <v>1328.3269043</v>
      </c>
      <c r="I723">
        <v>1336.2519531</v>
      </c>
      <c r="J723">
        <v>1334.2164307</v>
      </c>
      <c r="K723">
        <v>0</v>
      </c>
      <c r="L723">
        <v>1650</v>
      </c>
      <c r="M723">
        <v>1650</v>
      </c>
      <c r="N723">
        <v>0</v>
      </c>
    </row>
    <row r="724" spans="1:14" x14ac:dyDescent="0.25">
      <c r="A724">
        <v>198.22402</v>
      </c>
      <c r="B724" s="1">
        <f>DATE(2010,11,15) + TIME(5,22,35)</f>
        <v>40497.224016203705</v>
      </c>
      <c r="C724">
        <v>80</v>
      </c>
      <c r="D724">
        <v>78.062698363999999</v>
      </c>
      <c r="E724">
        <v>40</v>
      </c>
      <c r="F724">
        <v>39.960144043</v>
      </c>
      <c r="G724">
        <v>1329.2115478999999</v>
      </c>
      <c r="H724">
        <v>1328.2849120999999</v>
      </c>
      <c r="I724">
        <v>1336.2445068</v>
      </c>
      <c r="J724">
        <v>1334.2121582</v>
      </c>
      <c r="K724">
        <v>0</v>
      </c>
      <c r="L724">
        <v>1650</v>
      </c>
      <c r="M724">
        <v>1650</v>
      </c>
      <c r="N724">
        <v>0</v>
      </c>
    </row>
    <row r="725" spans="1:14" x14ac:dyDescent="0.25">
      <c r="A725">
        <v>198.93849299999999</v>
      </c>
      <c r="B725" s="1">
        <f>DATE(2010,11,15) + TIME(22,31,25)</f>
        <v>40497.938483796293</v>
      </c>
      <c r="C725">
        <v>80</v>
      </c>
      <c r="D725">
        <v>77.982963561999995</v>
      </c>
      <c r="E725">
        <v>40</v>
      </c>
      <c r="F725">
        <v>39.960086822999997</v>
      </c>
      <c r="G725">
        <v>1329.1799315999999</v>
      </c>
      <c r="H725">
        <v>1328.2415771000001</v>
      </c>
      <c r="I725">
        <v>1336.2370605000001</v>
      </c>
      <c r="J725">
        <v>1334.2077637</v>
      </c>
      <c r="K725">
        <v>0</v>
      </c>
      <c r="L725">
        <v>1650</v>
      </c>
      <c r="M725">
        <v>1650</v>
      </c>
      <c r="N725">
        <v>0</v>
      </c>
    </row>
    <row r="726" spans="1:14" x14ac:dyDescent="0.25">
      <c r="A726">
        <v>199.68402499999999</v>
      </c>
      <c r="B726" s="1">
        <f>DATE(2010,11,16) + TIME(16,24,59)</f>
        <v>40498.684016203704</v>
      </c>
      <c r="C726">
        <v>80</v>
      </c>
      <c r="D726">
        <v>77.899894713999998</v>
      </c>
      <c r="E726">
        <v>40</v>
      </c>
      <c r="F726">
        <v>39.960044861</v>
      </c>
      <c r="G726">
        <v>1329.1474608999999</v>
      </c>
      <c r="H726">
        <v>1328.1970214999999</v>
      </c>
      <c r="I726">
        <v>1336.2294922000001</v>
      </c>
      <c r="J726">
        <v>1334.2034911999999</v>
      </c>
      <c r="K726">
        <v>0</v>
      </c>
      <c r="L726">
        <v>1650</v>
      </c>
      <c r="M726">
        <v>1650</v>
      </c>
      <c r="N726">
        <v>0</v>
      </c>
    </row>
    <row r="727" spans="1:14" x14ac:dyDescent="0.25">
      <c r="A727">
        <v>200.44655499999999</v>
      </c>
      <c r="B727" s="1">
        <f>DATE(2010,11,17) + TIME(10,43,2)</f>
        <v>40499.446550925924</v>
      </c>
      <c r="C727">
        <v>80</v>
      </c>
      <c r="D727">
        <v>77.814384459999999</v>
      </c>
      <c r="E727">
        <v>40</v>
      </c>
      <c r="F727">
        <v>39.960006714000002</v>
      </c>
      <c r="G727">
        <v>1329.1140137</v>
      </c>
      <c r="H727">
        <v>1328.1513672000001</v>
      </c>
      <c r="I727">
        <v>1336.2220459</v>
      </c>
      <c r="J727">
        <v>1334.1992187999999</v>
      </c>
      <c r="K727">
        <v>0</v>
      </c>
      <c r="L727">
        <v>1650</v>
      </c>
      <c r="M727">
        <v>1650</v>
      </c>
      <c r="N727">
        <v>0</v>
      </c>
    </row>
    <row r="728" spans="1:14" x14ac:dyDescent="0.25">
      <c r="A728">
        <v>201.227923</v>
      </c>
      <c r="B728" s="1">
        <f>DATE(2010,11,18) + TIME(5,28,12)</f>
        <v>40500.227916666663</v>
      </c>
      <c r="C728">
        <v>80</v>
      </c>
      <c r="D728">
        <v>77.726516724000007</v>
      </c>
      <c r="E728">
        <v>40</v>
      </c>
      <c r="F728">
        <v>39.959980010999999</v>
      </c>
      <c r="G728">
        <v>1329.0803223</v>
      </c>
      <c r="H728">
        <v>1328.1052245999999</v>
      </c>
      <c r="I728">
        <v>1336.2148437999999</v>
      </c>
      <c r="J728">
        <v>1334.1950684000001</v>
      </c>
      <c r="K728">
        <v>0</v>
      </c>
      <c r="L728">
        <v>1650</v>
      </c>
      <c r="M728">
        <v>1650</v>
      </c>
      <c r="N728">
        <v>0</v>
      </c>
    </row>
    <row r="729" spans="1:14" x14ac:dyDescent="0.25">
      <c r="A729">
        <v>202.029696</v>
      </c>
      <c r="B729" s="1">
        <f>DATE(2010,11,19) + TIME(0,42,45)</f>
        <v>40501.029687499999</v>
      </c>
      <c r="C729">
        <v>80</v>
      </c>
      <c r="D729">
        <v>77.636253357000001</v>
      </c>
      <c r="E729">
        <v>40</v>
      </c>
      <c r="F729">
        <v>39.959957123000002</v>
      </c>
      <c r="G729">
        <v>1329.0462646000001</v>
      </c>
      <c r="H729">
        <v>1328.0587158000001</v>
      </c>
      <c r="I729">
        <v>1336.2077637</v>
      </c>
      <c r="J729">
        <v>1334.1910399999999</v>
      </c>
      <c r="K729">
        <v>0</v>
      </c>
      <c r="L729">
        <v>1650</v>
      </c>
      <c r="M729">
        <v>1650</v>
      </c>
      <c r="N729">
        <v>0</v>
      </c>
    </row>
    <row r="730" spans="1:14" x14ac:dyDescent="0.25">
      <c r="A730">
        <v>202.85362499999999</v>
      </c>
      <c r="B730" s="1">
        <f>DATE(2010,11,19) + TIME(20,29,13)</f>
        <v>40501.853622685187</v>
      </c>
      <c r="C730">
        <v>80</v>
      </c>
      <c r="D730">
        <v>77.543464661000002</v>
      </c>
      <c r="E730">
        <v>40</v>
      </c>
      <c r="F730">
        <v>39.959941864000001</v>
      </c>
      <c r="G730">
        <v>1329.0119629000001</v>
      </c>
      <c r="H730">
        <v>1328.0118408000001</v>
      </c>
      <c r="I730">
        <v>1336.2008057</v>
      </c>
      <c r="J730">
        <v>1334.1870117000001</v>
      </c>
      <c r="K730">
        <v>0</v>
      </c>
      <c r="L730">
        <v>1650</v>
      </c>
      <c r="M730">
        <v>1650</v>
      </c>
      <c r="N730">
        <v>0</v>
      </c>
    </row>
    <row r="731" spans="1:14" x14ac:dyDescent="0.25">
      <c r="A731">
        <v>203.70162400000001</v>
      </c>
      <c r="B731" s="1">
        <f>DATE(2010,11,20) + TIME(16,50,20)</f>
        <v>40502.701620370368</v>
      </c>
      <c r="C731">
        <v>80</v>
      </c>
      <c r="D731">
        <v>77.447937011999997</v>
      </c>
      <c r="E731">
        <v>40</v>
      </c>
      <c r="F731">
        <v>39.959926605</v>
      </c>
      <c r="G731">
        <v>1328.9772949000001</v>
      </c>
      <c r="H731">
        <v>1327.9645995999999</v>
      </c>
      <c r="I731">
        <v>1336.1939697</v>
      </c>
      <c r="J731">
        <v>1334.1832274999999</v>
      </c>
      <c r="K731">
        <v>0</v>
      </c>
      <c r="L731">
        <v>1650</v>
      </c>
      <c r="M731">
        <v>1650</v>
      </c>
      <c r="N731">
        <v>0</v>
      </c>
    </row>
    <row r="732" spans="1:14" x14ac:dyDescent="0.25">
      <c r="A732">
        <v>204.57583199999999</v>
      </c>
      <c r="B732" s="1">
        <f>DATE(2010,11,21) + TIME(13,49,11)</f>
        <v>40503.575821759259</v>
      </c>
      <c r="C732">
        <v>80</v>
      </c>
      <c r="D732">
        <v>77.349388122999997</v>
      </c>
      <c r="E732">
        <v>40</v>
      </c>
      <c r="F732">
        <v>39.959915160999998</v>
      </c>
      <c r="G732">
        <v>1328.9422606999999</v>
      </c>
      <c r="H732">
        <v>1327.9169922000001</v>
      </c>
      <c r="I732">
        <v>1336.1872559000001</v>
      </c>
      <c r="J732">
        <v>1334.1795654</v>
      </c>
      <c r="K732">
        <v>0</v>
      </c>
      <c r="L732">
        <v>1650</v>
      </c>
      <c r="M732">
        <v>1650</v>
      </c>
      <c r="N732">
        <v>0</v>
      </c>
    </row>
    <row r="733" spans="1:14" x14ac:dyDescent="0.25">
      <c r="A733">
        <v>205.478532</v>
      </c>
      <c r="B733" s="1">
        <f>DATE(2010,11,22) + TIME(11,29,5)</f>
        <v>40504.478530092594</v>
      </c>
      <c r="C733">
        <v>80</v>
      </c>
      <c r="D733">
        <v>77.247497558999996</v>
      </c>
      <c r="E733">
        <v>40</v>
      </c>
      <c r="F733">
        <v>39.959903717000003</v>
      </c>
      <c r="G733">
        <v>1328.9068603999999</v>
      </c>
      <c r="H733">
        <v>1327.8688964999999</v>
      </c>
      <c r="I733">
        <v>1336.1807861</v>
      </c>
      <c r="J733">
        <v>1334.1759033000001</v>
      </c>
      <c r="K733">
        <v>0</v>
      </c>
      <c r="L733">
        <v>1650</v>
      </c>
      <c r="M733">
        <v>1650</v>
      </c>
      <c r="N733">
        <v>0</v>
      </c>
    </row>
    <row r="734" spans="1:14" x14ac:dyDescent="0.25">
      <c r="A734">
        <v>206.412035</v>
      </c>
      <c r="B734" s="1">
        <f>DATE(2010,11,23) + TIME(9,53,19)</f>
        <v>40505.41202546296</v>
      </c>
      <c r="C734">
        <v>80</v>
      </c>
      <c r="D734">
        <v>77.141921996999997</v>
      </c>
      <c r="E734">
        <v>40</v>
      </c>
      <c r="F734">
        <v>39.959899901999997</v>
      </c>
      <c r="G734">
        <v>1328.8709716999999</v>
      </c>
      <c r="H734">
        <v>1327.8201904</v>
      </c>
      <c r="I734">
        <v>1336.1741943</v>
      </c>
      <c r="J734">
        <v>1334.1723632999999</v>
      </c>
      <c r="K734">
        <v>0</v>
      </c>
      <c r="L734">
        <v>1650</v>
      </c>
      <c r="M734">
        <v>1650</v>
      </c>
      <c r="N734">
        <v>0</v>
      </c>
    </row>
    <row r="735" spans="1:14" x14ac:dyDescent="0.25">
      <c r="A735">
        <v>207.378906</v>
      </c>
      <c r="B735" s="1">
        <f>DATE(2010,11,24) + TIME(9,5,37)</f>
        <v>40506.378900462965</v>
      </c>
      <c r="C735">
        <v>80</v>
      </c>
      <c r="D735">
        <v>77.032272339000002</v>
      </c>
      <c r="E735">
        <v>40</v>
      </c>
      <c r="F735">
        <v>39.959896088000001</v>
      </c>
      <c r="G735">
        <v>1328.8347168</v>
      </c>
      <c r="H735">
        <v>1327.770874</v>
      </c>
      <c r="I735">
        <v>1336.1678466999999</v>
      </c>
      <c r="J735">
        <v>1334.1688231999999</v>
      </c>
      <c r="K735">
        <v>0</v>
      </c>
      <c r="L735">
        <v>1650</v>
      </c>
      <c r="M735">
        <v>1650</v>
      </c>
      <c r="N735">
        <v>0</v>
      </c>
    </row>
    <row r="736" spans="1:14" x14ac:dyDescent="0.25">
      <c r="A736">
        <v>208.38230200000001</v>
      </c>
      <c r="B736" s="1">
        <f>DATE(2010,11,25) + TIME(9,10,30)</f>
        <v>40507.382291666669</v>
      </c>
      <c r="C736">
        <v>80</v>
      </c>
      <c r="D736">
        <v>76.918098450000002</v>
      </c>
      <c r="E736">
        <v>40</v>
      </c>
      <c r="F736">
        <v>39.959892273000001</v>
      </c>
      <c r="G736">
        <v>1328.7977295000001</v>
      </c>
      <c r="H736">
        <v>1327.7209473</v>
      </c>
      <c r="I736">
        <v>1336.161499</v>
      </c>
      <c r="J736">
        <v>1334.1654053</v>
      </c>
      <c r="K736">
        <v>0</v>
      </c>
      <c r="L736">
        <v>1650</v>
      </c>
      <c r="M736">
        <v>1650</v>
      </c>
      <c r="N736">
        <v>0</v>
      </c>
    </row>
    <row r="737" spans="1:14" x14ac:dyDescent="0.25">
      <c r="A737">
        <v>209.425533</v>
      </c>
      <c r="B737" s="1">
        <f>DATE(2010,11,26) + TIME(10,12,46)</f>
        <v>40508.425532407404</v>
      </c>
      <c r="C737">
        <v>80</v>
      </c>
      <c r="D737">
        <v>76.798919678000004</v>
      </c>
      <c r="E737">
        <v>40</v>
      </c>
      <c r="F737">
        <v>39.959892273000001</v>
      </c>
      <c r="G737">
        <v>1328.7602539</v>
      </c>
      <c r="H737">
        <v>1327.6702881000001</v>
      </c>
      <c r="I737">
        <v>1336.1551514</v>
      </c>
      <c r="J737">
        <v>1334.1621094</v>
      </c>
      <c r="K737">
        <v>0</v>
      </c>
      <c r="L737">
        <v>1650</v>
      </c>
      <c r="M737">
        <v>1650</v>
      </c>
      <c r="N737">
        <v>0</v>
      </c>
    </row>
    <row r="738" spans="1:14" x14ac:dyDescent="0.25">
      <c r="A738">
        <v>210.512282</v>
      </c>
      <c r="B738" s="1">
        <f>DATE(2010,11,27) + TIME(12,17,41)</f>
        <v>40509.512280092589</v>
      </c>
      <c r="C738">
        <v>80</v>
      </c>
      <c r="D738">
        <v>76.674179077000005</v>
      </c>
      <c r="E738">
        <v>40</v>
      </c>
      <c r="F738">
        <v>39.959892273000001</v>
      </c>
      <c r="G738">
        <v>1328.7220459</v>
      </c>
      <c r="H738">
        <v>1327.6187743999999</v>
      </c>
      <c r="I738">
        <v>1336.1489257999999</v>
      </c>
      <c r="J738">
        <v>1334.1588135</v>
      </c>
      <c r="K738">
        <v>0</v>
      </c>
      <c r="L738">
        <v>1650</v>
      </c>
      <c r="M738">
        <v>1650</v>
      </c>
      <c r="N738">
        <v>0</v>
      </c>
    </row>
    <row r="739" spans="1:14" x14ac:dyDescent="0.25">
      <c r="A739">
        <v>211.646649</v>
      </c>
      <c r="B739" s="1">
        <f>DATE(2010,11,28) + TIME(15,31,10)</f>
        <v>40510.646643518521</v>
      </c>
      <c r="C739">
        <v>80</v>
      </c>
      <c r="D739">
        <v>76.543289185000006</v>
      </c>
      <c r="E739">
        <v>40</v>
      </c>
      <c r="F739">
        <v>39.959896088000001</v>
      </c>
      <c r="G739">
        <v>1328.6831055</v>
      </c>
      <c r="H739">
        <v>1327.5662841999999</v>
      </c>
      <c r="I739">
        <v>1336.1427002</v>
      </c>
      <c r="J739">
        <v>1334.1555175999999</v>
      </c>
      <c r="K739">
        <v>0</v>
      </c>
      <c r="L739">
        <v>1650</v>
      </c>
      <c r="M739">
        <v>1650</v>
      </c>
      <c r="N739">
        <v>0</v>
      </c>
    </row>
    <row r="740" spans="1:14" x14ac:dyDescent="0.25">
      <c r="A740">
        <v>212.83322100000001</v>
      </c>
      <c r="B740" s="1">
        <f>DATE(2010,11,29) + TIME(19,59,50)</f>
        <v>40511.83321759259</v>
      </c>
      <c r="C740">
        <v>80</v>
      </c>
      <c r="D740">
        <v>76.405578613000003</v>
      </c>
      <c r="E740">
        <v>40</v>
      </c>
      <c r="F740">
        <v>39.959903717000003</v>
      </c>
      <c r="G740">
        <v>1328.6433105000001</v>
      </c>
      <c r="H740">
        <v>1327.5128173999999</v>
      </c>
      <c r="I740">
        <v>1336.1364745999999</v>
      </c>
      <c r="J740">
        <v>1334.1523437999999</v>
      </c>
      <c r="K740">
        <v>0</v>
      </c>
      <c r="L740">
        <v>1650</v>
      </c>
      <c r="M740">
        <v>1650</v>
      </c>
      <c r="N740">
        <v>0</v>
      </c>
    </row>
    <row r="741" spans="1:14" x14ac:dyDescent="0.25">
      <c r="A741">
        <v>214</v>
      </c>
      <c r="B741" s="1">
        <f>DATE(2010,12,1) + TIME(0,0,0)</f>
        <v>40513</v>
      </c>
      <c r="C741">
        <v>80</v>
      </c>
      <c r="D741">
        <v>76.264373778999996</v>
      </c>
      <c r="E741">
        <v>40</v>
      </c>
      <c r="F741">
        <v>39.959907532000003</v>
      </c>
      <c r="G741">
        <v>1328.6027832</v>
      </c>
      <c r="H741">
        <v>1327.4584961</v>
      </c>
      <c r="I741">
        <v>1336.130249</v>
      </c>
      <c r="J741">
        <v>1334.1492920000001</v>
      </c>
      <c r="K741">
        <v>0</v>
      </c>
      <c r="L741">
        <v>1650</v>
      </c>
      <c r="M741">
        <v>1650</v>
      </c>
      <c r="N741">
        <v>0</v>
      </c>
    </row>
    <row r="742" spans="1:14" x14ac:dyDescent="0.25">
      <c r="A742">
        <v>215.24393800000001</v>
      </c>
      <c r="B742" s="1">
        <f>DATE(2010,12,2) + TIME(5,51,16)</f>
        <v>40514.243935185186</v>
      </c>
      <c r="C742">
        <v>80</v>
      </c>
      <c r="D742">
        <v>76.117057799999998</v>
      </c>
      <c r="E742">
        <v>40</v>
      </c>
      <c r="F742">
        <v>39.959918975999997</v>
      </c>
      <c r="G742">
        <v>1328.5629882999999</v>
      </c>
      <c r="H742">
        <v>1327.4046631000001</v>
      </c>
      <c r="I742">
        <v>1336.1243896000001</v>
      </c>
      <c r="J742">
        <v>1334.1463623</v>
      </c>
      <c r="K742">
        <v>0</v>
      </c>
      <c r="L742">
        <v>1650</v>
      </c>
      <c r="M742">
        <v>1650</v>
      </c>
      <c r="N742">
        <v>0</v>
      </c>
    </row>
    <row r="743" spans="1:14" x14ac:dyDescent="0.25">
      <c r="A743">
        <v>216.61270400000001</v>
      </c>
      <c r="B743" s="1">
        <f>DATE(2010,12,3) + TIME(14,42,17)</f>
        <v>40515.612696759257</v>
      </c>
      <c r="C743">
        <v>80</v>
      </c>
      <c r="D743">
        <v>75.958724975999999</v>
      </c>
      <c r="E743">
        <v>40</v>
      </c>
      <c r="F743">
        <v>39.959930419999999</v>
      </c>
      <c r="G743">
        <v>1328.5219727000001</v>
      </c>
      <c r="H743">
        <v>1327.3497314000001</v>
      </c>
      <c r="I743">
        <v>1336.1184082</v>
      </c>
      <c r="J743">
        <v>1334.1434326000001</v>
      </c>
      <c r="K743">
        <v>0</v>
      </c>
      <c r="L743">
        <v>1650</v>
      </c>
      <c r="M743">
        <v>1650</v>
      </c>
      <c r="N743">
        <v>0</v>
      </c>
    </row>
    <row r="744" spans="1:14" x14ac:dyDescent="0.25">
      <c r="A744">
        <v>218.02188799999999</v>
      </c>
      <c r="B744" s="1">
        <f>DATE(2010,12,5) + TIME(0,31,31)</f>
        <v>40517.021886574075</v>
      </c>
      <c r="C744">
        <v>80</v>
      </c>
      <c r="D744">
        <v>75.789741516000007</v>
      </c>
      <c r="E744">
        <v>40</v>
      </c>
      <c r="F744">
        <v>39.959945679</v>
      </c>
      <c r="G744">
        <v>1328.4786377</v>
      </c>
      <c r="H744">
        <v>1327.2921143000001</v>
      </c>
      <c r="I744">
        <v>1336.1120605000001</v>
      </c>
      <c r="J744">
        <v>1334.1403809000001</v>
      </c>
      <c r="K744">
        <v>0</v>
      </c>
      <c r="L744">
        <v>1650</v>
      </c>
      <c r="M744">
        <v>1650</v>
      </c>
      <c r="N744">
        <v>0</v>
      </c>
    </row>
    <row r="745" spans="1:14" x14ac:dyDescent="0.25">
      <c r="A745">
        <v>219.474728</v>
      </c>
      <c r="B745" s="1">
        <f>DATE(2010,12,6) + TIME(11,23,36)</f>
        <v>40518.474722222221</v>
      </c>
      <c r="C745">
        <v>80</v>
      </c>
      <c r="D745">
        <v>75.612106323000006</v>
      </c>
      <c r="E745">
        <v>40</v>
      </c>
      <c r="F745">
        <v>39.959960938000002</v>
      </c>
      <c r="G745">
        <v>1328.4345702999999</v>
      </c>
      <c r="H745">
        <v>1327.2332764</v>
      </c>
      <c r="I745">
        <v>1336.105957</v>
      </c>
      <c r="J745">
        <v>1334.1375731999999</v>
      </c>
      <c r="K745">
        <v>0</v>
      </c>
      <c r="L745">
        <v>1650</v>
      </c>
      <c r="M745">
        <v>1650</v>
      </c>
      <c r="N745">
        <v>0</v>
      </c>
    </row>
    <row r="746" spans="1:14" x14ac:dyDescent="0.25">
      <c r="A746">
        <v>220.97110000000001</v>
      </c>
      <c r="B746" s="1">
        <f>DATE(2010,12,7) + TIME(23,18,23)</f>
        <v>40519.971099537041</v>
      </c>
      <c r="C746">
        <v>80</v>
      </c>
      <c r="D746">
        <v>75.426528931000007</v>
      </c>
      <c r="E746">
        <v>40</v>
      </c>
      <c r="F746">
        <v>39.959980010999999</v>
      </c>
      <c r="G746">
        <v>1328.3900146000001</v>
      </c>
      <c r="H746">
        <v>1327.1737060999999</v>
      </c>
      <c r="I746">
        <v>1336.0998535000001</v>
      </c>
      <c r="J746">
        <v>1334.1347656</v>
      </c>
      <c r="K746">
        <v>0</v>
      </c>
      <c r="L746">
        <v>1650</v>
      </c>
      <c r="M746">
        <v>1650</v>
      </c>
      <c r="N746">
        <v>0</v>
      </c>
    </row>
    <row r="747" spans="1:14" x14ac:dyDescent="0.25">
      <c r="A747">
        <v>222.527704</v>
      </c>
      <c r="B747" s="1">
        <f>DATE(2010,12,9) + TIME(12,39,53)</f>
        <v>40521.527696759258</v>
      </c>
      <c r="C747">
        <v>80</v>
      </c>
      <c r="D747">
        <v>75.232490540000001</v>
      </c>
      <c r="E747">
        <v>40</v>
      </c>
      <c r="F747">
        <v>39.959999084000003</v>
      </c>
      <c r="G747">
        <v>1328.3450928</v>
      </c>
      <c r="H747">
        <v>1327.1136475000001</v>
      </c>
      <c r="I747">
        <v>1336.0938721</v>
      </c>
      <c r="J747">
        <v>1334.1319579999999</v>
      </c>
      <c r="K747">
        <v>0</v>
      </c>
      <c r="L747">
        <v>1650</v>
      </c>
      <c r="M747">
        <v>1650</v>
      </c>
      <c r="N747">
        <v>0</v>
      </c>
    </row>
    <row r="748" spans="1:14" x14ac:dyDescent="0.25">
      <c r="A748">
        <v>224.158434</v>
      </c>
      <c r="B748" s="1">
        <f>DATE(2010,12,11) + TIME(3,48,8)</f>
        <v>40523.158425925925</v>
      </c>
      <c r="C748">
        <v>80</v>
      </c>
      <c r="D748">
        <v>75.028594971000004</v>
      </c>
      <c r="E748">
        <v>40</v>
      </c>
      <c r="F748">
        <v>39.960021973000003</v>
      </c>
      <c r="G748">
        <v>1328.2996826000001</v>
      </c>
      <c r="H748">
        <v>1327.0529785000001</v>
      </c>
      <c r="I748">
        <v>1336.0878906</v>
      </c>
      <c r="J748">
        <v>1334.1293945</v>
      </c>
      <c r="K748">
        <v>0</v>
      </c>
      <c r="L748">
        <v>1650</v>
      </c>
      <c r="M748">
        <v>1650</v>
      </c>
      <c r="N748">
        <v>0</v>
      </c>
    </row>
    <row r="749" spans="1:14" x14ac:dyDescent="0.25">
      <c r="A749">
        <v>225.837502</v>
      </c>
      <c r="B749" s="1">
        <f>DATE(2010,12,12) + TIME(20,6,0)</f>
        <v>40524.837500000001</v>
      </c>
      <c r="C749">
        <v>80</v>
      </c>
      <c r="D749">
        <v>74.814575195000003</v>
      </c>
      <c r="E749">
        <v>40</v>
      </c>
      <c r="F749">
        <v>39.960048676</v>
      </c>
      <c r="G749">
        <v>1328.2532959</v>
      </c>
      <c r="H749">
        <v>1326.9913329999999</v>
      </c>
      <c r="I749">
        <v>1336.0819091999999</v>
      </c>
      <c r="J749">
        <v>1334.1268310999999</v>
      </c>
      <c r="K749">
        <v>0</v>
      </c>
      <c r="L749">
        <v>1650</v>
      </c>
      <c r="M749">
        <v>1650</v>
      </c>
      <c r="N749">
        <v>0</v>
      </c>
    </row>
    <row r="750" spans="1:14" x14ac:dyDescent="0.25">
      <c r="A750">
        <v>227.54333800000001</v>
      </c>
      <c r="B750" s="1">
        <f>DATE(2010,12,14) + TIME(13,2,24)</f>
        <v>40526.543333333335</v>
      </c>
      <c r="C750">
        <v>80</v>
      </c>
      <c r="D750">
        <v>74.592460631999998</v>
      </c>
      <c r="E750">
        <v>40</v>
      </c>
      <c r="F750">
        <v>39.960071564000003</v>
      </c>
      <c r="G750">
        <v>1328.2066649999999</v>
      </c>
      <c r="H750">
        <v>1326.9293213000001</v>
      </c>
      <c r="I750">
        <v>1336.0760498</v>
      </c>
      <c r="J750">
        <v>1334.1242675999999</v>
      </c>
      <c r="K750">
        <v>0</v>
      </c>
      <c r="L750">
        <v>1650</v>
      </c>
      <c r="M750">
        <v>1650</v>
      </c>
      <c r="N750">
        <v>0</v>
      </c>
    </row>
    <row r="751" spans="1:14" x14ac:dyDescent="0.25">
      <c r="A751">
        <v>229.28798399999999</v>
      </c>
      <c r="B751" s="1">
        <f>DATE(2010,12,16) + TIME(6,54,41)</f>
        <v>40528.287974537037</v>
      </c>
      <c r="C751">
        <v>80</v>
      </c>
      <c r="D751">
        <v>74.363426208000007</v>
      </c>
      <c r="E751">
        <v>40</v>
      </c>
      <c r="F751">
        <v>39.960102081000002</v>
      </c>
      <c r="G751">
        <v>1328.1602783000001</v>
      </c>
      <c r="H751">
        <v>1326.8673096</v>
      </c>
      <c r="I751">
        <v>1336.0703125</v>
      </c>
      <c r="J751">
        <v>1334.1219481999999</v>
      </c>
      <c r="K751">
        <v>0</v>
      </c>
      <c r="L751">
        <v>1650</v>
      </c>
      <c r="M751">
        <v>1650</v>
      </c>
      <c r="N751">
        <v>0</v>
      </c>
    </row>
    <row r="752" spans="1:14" x14ac:dyDescent="0.25">
      <c r="A752">
        <v>231.084869</v>
      </c>
      <c r="B752" s="1">
        <f>DATE(2010,12,18) + TIME(2,2,12)</f>
        <v>40530.084861111114</v>
      </c>
      <c r="C752">
        <v>80</v>
      </c>
      <c r="D752">
        <v>74.126770019999995</v>
      </c>
      <c r="E752">
        <v>40</v>
      </c>
      <c r="F752">
        <v>39.960132598999998</v>
      </c>
      <c r="G752">
        <v>1328.1138916</v>
      </c>
      <c r="H752">
        <v>1326.8056641000001</v>
      </c>
      <c r="I752">
        <v>1336.0646973</v>
      </c>
      <c r="J752">
        <v>1334.119751</v>
      </c>
      <c r="K752">
        <v>0</v>
      </c>
      <c r="L752">
        <v>1650</v>
      </c>
      <c r="M752">
        <v>1650</v>
      </c>
      <c r="N752">
        <v>0</v>
      </c>
    </row>
    <row r="753" spans="1:14" x14ac:dyDescent="0.25">
      <c r="A753">
        <v>232.92681200000001</v>
      </c>
      <c r="B753" s="1">
        <f>DATE(2010,12,19) + TIME(22,14,36)</f>
        <v>40531.926805555559</v>
      </c>
      <c r="C753">
        <v>80</v>
      </c>
      <c r="D753">
        <v>73.881927489999995</v>
      </c>
      <c r="E753">
        <v>40</v>
      </c>
      <c r="F753">
        <v>39.960163115999997</v>
      </c>
      <c r="G753">
        <v>1328.0676269999999</v>
      </c>
      <c r="H753">
        <v>1326.7440185999999</v>
      </c>
      <c r="I753">
        <v>1336.0592041</v>
      </c>
      <c r="J753">
        <v>1334.1175536999999</v>
      </c>
      <c r="K753">
        <v>0</v>
      </c>
      <c r="L753">
        <v>1650</v>
      </c>
      <c r="M753">
        <v>1650</v>
      </c>
      <c r="N753">
        <v>0</v>
      </c>
    </row>
    <row r="754" spans="1:14" x14ac:dyDescent="0.25">
      <c r="A754">
        <v>234.829904</v>
      </c>
      <c r="B754" s="1">
        <f>DATE(2010,12,21) + TIME(19,55,3)</f>
        <v>40533.829895833333</v>
      </c>
      <c r="C754">
        <v>80</v>
      </c>
      <c r="D754">
        <v>73.628448485999996</v>
      </c>
      <c r="E754">
        <v>40</v>
      </c>
      <c r="F754">
        <v>39.960201263000002</v>
      </c>
      <c r="G754">
        <v>1328.0213623</v>
      </c>
      <c r="H754">
        <v>1326.6824951000001</v>
      </c>
      <c r="I754">
        <v>1336.0537108999999</v>
      </c>
      <c r="J754">
        <v>1334.1154785000001</v>
      </c>
      <c r="K754">
        <v>0</v>
      </c>
      <c r="L754">
        <v>1650</v>
      </c>
      <c r="M754">
        <v>1650</v>
      </c>
      <c r="N754">
        <v>0</v>
      </c>
    </row>
    <row r="755" spans="1:14" x14ac:dyDescent="0.25">
      <c r="A755">
        <v>236.78739999999999</v>
      </c>
      <c r="B755" s="1">
        <f>DATE(2010,12,23) + TIME(18,53,51)</f>
        <v>40535.787395833337</v>
      </c>
      <c r="C755">
        <v>80</v>
      </c>
      <c r="D755">
        <v>73.365646362000007</v>
      </c>
      <c r="E755">
        <v>40</v>
      </c>
      <c r="F755">
        <v>39.960235595999997</v>
      </c>
      <c r="G755">
        <v>1327.9748535000001</v>
      </c>
      <c r="H755">
        <v>1326.6208495999999</v>
      </c>
      <c r="I755">
        <v>1336.0483397999999</v>
      </c>
      <c r="J755">
        <v>1334.1134033000001</v>
      </c>
      <c r="K755">
        <v>0</v>
      </c>
      <c r="L755">
        <v>1650</v>
      </c>
      <c r="M755">
        <v>1650</v>
      </c>
      <c r="N755">
        <v>0</v>
      </c>
    </row>
    <row r="756" spans="1:14" x14ac:dyDescent="0.25">
      <c r="A756">
        <v>238.80598499999999</v>
      </c>
      <c r="B756" s="1">
        <f>DATE(2010,12,25) + TIME(19,20,37)</f>
        <v>40537.805983796294</v>
      </c>
      <c r="C756">
        <v>80</v>
      </c>
      <c r="D756">
        <v>73.093444824000002</v>
      </c>
      <c r="E756">
        <v>40</v>
      </c>
      <c r="F756">
        <v>39.960277556999998</v>
      </c>
      <c r="G756">
        <v>1327.9282227000001</v>
      </c>
      <c r="H756">
        <v>1326.559082</v>
      </c>
      <c r="I756">
        <v>1336.0429687999999</v>
      </c>
      <c r="J756">
        <v>1334.1114502</v>
      </c>
      <c r="K756">
        <v>0</v>
      </c>
      <c r="L756">
        <v>1650</v>
      </c>
      <c r="M756">
        <v>1650</v>
      </c>
      <c r="N756">
        <v>0</v>
      </c>
    </row>
    <row r="757" spans="1:14" x14ac:dyDescent="0.25">
      <c r="A757">
        <v>240.868292</v>
      </c>
      <c r="B757" s="1">
        <f>DATE(2010,12,27) + TIME(20,50,20)</f>
        <v>40539.868287037039</v>
      </c>
      <c r="C757">
        <v>80</v>
      </c>
      <c r="D757">
        <v>72.812171935999999</v>
      </c>
      <c r="E757">
        <v>40</v>
      </c>
      <c r="F757">
        <v>39.960319519000002</v>
      </c>
      <c r="G757">
        <v>1327.8815918</v>
      </c>
      <c r="H757">
        <v>1326.4971923999999</v>
      </c>
      <c r="I757">
        <v>1336.0377197</v>
      </c>
      <c r="J757">
        <v>1334.1096190999999</v>
      </c>
      <c r="K757">
        <v>0</v>
      </c>
      <c r="L757">
        <v>1650</v>
      </c>
      <c r="M757">
        <v>1650</v>
      </c>
      <c r="N757">
        <v>0</v>
      </c>
    </row>
    <row r="758" spans="1:14" x14ac:dyDescent="0.25">
      <c r="A758">
        <v>242.965563</v>
      </c>
      <c r="B758" s="1">
        <f>DATE(2010,12,29) + TIME(23,10,24)</f>
        <v>40541.965555555558</v>
      </c>
      <c r="C758">
        <v>80</v>
      </c>
      <c r="D758">
        <v>72.523368834999999</v>
      </c>
      <c r="E758">
        <v>40</v>
      </c>
      <c r="F758">
        <v>39.960361481</v>
      </c>
      <c r="G758">
        <v>1327.8350829999999</v>
      </c>
      <c r="H758">
        <v>1326.4355469</v>
      </c>
      <c r="I758">
        <v>1336.0324707</v>
      </c>
      <c r="J758">
        <v>1334.1077881000001</v>
      </c>
      <c r="K758">
        <v>0</v>
      </c>
      <c r="L758">
        <v>1650</v>
      </c>
      <c r="M758">
        <v>1650</v>
      </c>
      <c r="N758">
        <v>0</v>
      </c>
    </row>
    <row r="759" spans="1:14" x14ac:dyDescent="0.25">
      <c r="A759">
        <v>245</v>
      </c>
      <c r="B759" s="1">
        <f>DATE(2011,1,1) + TIME(0,0,0)</f>
        <v>40544</v>
      </c>
      <c r="C759">
        <v>80</v>
      </c>
      <c r="D759">
        <v>72.231964110999996</v>
      </c>
      <c r="E759">
        <v>40</v>
      </c>
      <c r="F759">
        <v>39.960403442</v>
      </c>
      <c r="G759">
        <v>1327.7889404</v>
      </c>
      <c r="H759">
        <v>1326.3743896000001</v>
      </c>
      <c r="I759">
        <v>1336.0273437999999</v>
      </c>
      <c r="J759">
        <v>1334.1060791</v>
      </c>
      <c r="K759">
        <v>0</v>
      </c>
      <c r="L759">
        <v>1650</v>
      </c>
      <c r="M759">
        <v>1650</v>
      </c>
      <c r="N759">
        <v>0</v>
      </c>
    </row>
    <row r="760" spans="1:14" x14ac:dyDescent="0.25">
      <c r="A760">
        <v>247.12891400000001</v>
      </c>
      <c r="B760" s="1">
        <f>DATE(2011,1,3) + TIME(3,5,38)</f>
        <v>40546.128912037035</v>
      </c>
      <c r="C760">
        <v>80</v>
      </c>
      <c r="D760">
        <v>71.939331054999997</v>
      </c>
      <c r="E760">
        <v>40</v>
      </c>
      <c r="F760">
        <v>39.960449218999997</v>
      </c>
      <c r="G760">
        <v>1327.7446289</v>
      </c>
      <c r="H760">
        <v>1326.3153076000001</v>
      </c>
      <c r="I760">
        <v>1336.0225829999999</v>
      </c>
      <c r="J760">
        <v>1334.1044922000001</v>
      </c>
      <c r="K760">
        <v>0</v>
      </c>
      <c r="L760">
        <v>1650</v>
      </c>
      <c r="M760">
        <v>1650</v>
      </c>
      <c r="N760">
        <v>0</v>
      </c>
    </row>
    <row r="761" spans="1:14" x14ac:dyDescent="0.25">
      <c r="A761">
        <v>249.36585500000001</v>
      </c>
      <c r="B761" s="1">
        <f>DATE(2011,1,5) + TIME(8,46,49)</f>
        <v>40548.365844907406</v>
      </c>
      <c r="C761">
        <v>80</v>
      </c>
      <c r="D761">
        <v>71.635833739999995</v>
      </c>
      <c r="E761">
        <v>40</v>
      </c>
      <c r="F761">
        <v>39.960498809999997</v>
      </c>
      <c r="G761">
        <v>1327.7004394999999</v>
      </c>
      <c r="H761">
        <v>1326.2565918</v>
      </c>
      <c r="I761">
        <v>1336.0178223</v>
      </c>
      <c r="J761">
        <v>1334.1030272999999</v>
      </c>
      <c r="K761">
        <v>0</v>
      </c>
      <c r="L761">
        <v>1650</v>
      </c>
      <c r="M761">
        <v>1650</v>
      </c>
      <c r="N761">
        <v>0</v>
      </c>
    </row>
    <row r="762" spans="1:14" x14ac:dyDescent="0.25">
      <c r="A762">
        <v>251.667529</v>
      </c>
      <c r="B762" s="1">
        <f>DATE(2011,1,7) + TIME(16,1,14)</f>
        <v>40550.667523148149</v>
      </c>
      <c r="C762">
        <v>80</v>
      </c>
      <c r="D762">
        <v>71.319366454999994</v>
      </c>
      <c r="E762">
        <v>40</v>
      </c>
      <c r="F762">
        <v>39.960552216000004</v>
      </c>
      <c r="G762">
        <v>1327.6553954999999</v>
      </c>
      <c r="H762">
        <v>1326.1972656</v>
      </c>
      <c r="I762">
        <v>1336.0129394999999</v>
      </c>
      <c r="J762">
        <v>1334.1014404</v>
      </c>
      <c r="K762">
        <v>0</v>
      </c>
      <c r="L762">
        <v>1650</v>
      </c>
      <c r="M762">
        <v>1650</v>
      </c>
      <c r="N762">
        <v>0</v>
      </c>
    </row>
    <row r="763" spans="1:14" x14ac:dyDescent="0.25">
      <c r="A763">
        <v>254.04564199999999</v>
      </c>
      <c r="B763" s="1">
        <f>DATE(2011,1,10) + TIME(1,5,43)</f>
        <v>40553.045636574076</v>
      </c>
      <c r="C763">
        <v>80</v>
      </c>
      <c r="D763">
        <v>70.991966247999997</v>
      </c>
      <c r="E763">
        <v>40</v>
      </c>
      <c r="F763">
        <v>39.960609435999999</v>
      </c>
      <c r="G763">
        <v>1327.6102295000001</v>
      </c>
      <c r="H763">
        <v>1326.1375731999999</v>
      </c>
      <c r="I763">
        <v>1336.0080565999999</v>
      </c>
      <c r="J763">
        <v>1334.0999756000001</v>
      </c>
      <c r="K763">
        <v>0</v>
      </c>
      <c r="L763">
        <v>1650</v>
      </c>
      <c r="M763">
        <v>1650</v>
      </c>
      <c r="N763">
        <v>0</v>
      </c>
    </row>
    <row r="764" spans="1:14" x14ac:dyDescent="0.25">
      <c r="A764">
        <v>256.44638600000002</v>
      </c>
      <c r="B764" s="1">
        <f>DATE(2011,1,12) + TIME(10,42,47)</f>
        <v>40555.446377314816</v>
      </c>
      <c r="C764">
        <v>80</v>
      </c>
      <c r="D764">
        <v>70.655273437999995</v>
      </c>
      <c r="E764">
        <v>40</v>
      </c>
      <c r="F764">
        <v>39.960666656000001</v>
      </c>
      <c r="G764">
        <v>1327.5648193</v>
      </c>
      <c r="H764">
        <v>1326.0775146000001</v>
      </c>
      <c r="I764">
        <v>1336.0031738</v>
      </c>
      <c r="J764">
        <v>1334.0985106999999</v>
      </c>
      <c r="K764">
        <v>0</v>
      </c>
      <c r="L764">
        <v>1650</v>
      </c>
      <c r="M764">
        <v>1650</v>
      </c>
      <c r="N764">
        <v>0</v>
      </c>
    </row>
    <row r="765" spans="1:14" x14ac:dyDescent="0.25">
      <c r="A765">
        <v>258.87648200000001</v>
      </c>
      <c r="B765" s="1">
        <f>DATE(2011,1,14) + TIME(21,2,8)</f>
        <v>40557.876481481479</v>
      </c>
      <c r="C765">
        <v>80</v>
      </c>
      <c r="D765">
        <v>70.313522339000002</v>
      </c>
      <c r="E765">
        <v>40</v>
      </c>
      <c r="F765">
        <v>39.960723877</v>
      </c>
      <c r="G765">
        <v>1327.5198975000001</v>
      </c>
      <c r="H765">
        <v>1326.0180664</v>
      </c>
      <c r="I765">
        <v>1335.9984131000001</v>
      </c>
      <c r="J765">
        <v>1334.097168</v>
      </c>
      <c r="K765">
        <v>0</v>
      </c>
      <c r="L765">
        <v>1650</v>
      </c>
      <c r="M765">
        <v>1650</v>
      </c>
      <c r="N765">
        <v>0</v>
      </c>
    </row>
    <row r="766" spans="1:14" x14ac:dyDescent="0.25">
      <c r="A766">
        <v>261.35397799999998</v>
      </c>
      <c r="B766" s="1">
        <f>DATE(2011,1,17) + TIME(8,29,43)</f>
        <v>40560.35396990741</v>
      </c>
      <c r="C766">
        <v>80</v>
      </c>
      <c r="D766">
        <v>69.966758728000002</v>
      </c>
      <c r="E766">
        <v>40</v>
      </c>
      <c r="F766">
        <v>39.960781097000002</v>
      </c>
      <c r="G766">
        <v>1327.4755858999999</v>
      </c>
      <c r="H766">
        <v>1325.9593506000001</v>
      </c>
      <c r="I766">
        <v>1335.9937743999999</v>
      </c>
      <c r="J766">
        <v>1334.0958252</v>
      </c>
      <c r="K766">
        <v>0</v>
      </c>
      <c r="L766">
        <v>1650</v>
      </c>
      <c r="M766">
        <v>1650</v>
      </c>
      <c r="N766">
        <v>0</v>
      </c>
    </row>
    <row r="767" spans="1:14" x14ac:dyDescent="0.25">
      <c r="A767">
        <v>263.89824199999998</v>
      </c>
      <c r="B767" s="1">
        <f>DATE(2011,1,19) + TIME(21,33,28)</f>
        <v>40562.898240740738</v>
      </c>
      <c r="C767">
        <v>80</v>
      </c>
      <c r="D767">
        <v>69.612785338999998</v>
      </c>
      <c r="E767">
        <v>40</v>
      </c>
      <c r="F767">
        <v>39.960845947000003</v>
      </c>
      <c r="G767">
        <v>1327.4317627</v>
      </c>
      <c r="H767">
        <v>1325.9012451000001</v>
      </c>
      <c r="I767">
        <v>1335.9891356999999</v>
      </c>
      <c r="J767">
        <v>1334.0944824000001</v>
      </c>
      <c r="K767">
        <v>0</v>
      </c>
      <c r="L767">
        <v>1650</v>
      </c>
      <c r="M767">
        <v>1650</v>
      </c>
      <c r="N767">
        <v>0</v>
      </c>
    </row>
    <row r="768" spans="1:14" x14ac:dyDescent="0.25">
      <c r="A768">
        <v>266.51963499999999</v>
      </c>
      <c r="B768" s="1">
        <f>DATE(2011,1,22) + TIME(12,28,16)</f>
        <v>40565.519629629627</v>
      </c>
      <c r="C768">
        <v>80</v>
      </c>
      <c r="D768">
        <v>69.249778747999997</v>
      </c>
      <c r="E768">
        <v>40</v>
      </c>
      <c r="F768">
        <v>39.960910796999997</v>
      </c>
      <c r="G768">
        <v>1327.3880615</v>
      </c>
      <c r="H768">
        <v>1325.8433838000001</v>
      </c>
      <c r="I768">
        <v>1335.9844971</v>
      </c>
      <c r="J768">
        <v>1334.0932617000001</v>
      </c>
      <c r="K768">
        <v>0</v>
      </c>
      <c r="L768">
        <v>1650</v>
      </c>
      <c r="M768">
        <v>1650</v>
      </c>
      <c r="N768">
        <v>0</v>
      </c>
    </row>
    <row r="769" spans="1:14" x14ac:dyDescent="0.25">
      <c r="A769">
        <v>269.21161899999998</v>
      </c>
      <c r="B769" s="1">
        <f>DATE(2011,1,25) + TIME(5,4,43)</f>
        <v>40568.211608796293</v>
      </c>
      <c r="C769">
        <v>80</v>
      </c>
      <c r="D769">
        <v>68.876884459999999</v>
      </c>
      <c r="E769">
        <v>40</v>
      </c>
      <c r="F769">
        <v>39.960979461999997</v>
      </c>
      <c r="G769">
        <v>1327.3443603999999</v>
      </c>
      <c r="H769">
        <v>1325.7856445</v>
      </c>
      <c r="I769">
        <v>1335.9799805</v>
      </c>
      <c r="J769">
        <v>1334.0920410000001</v>
      </c>
      <c r="K769">
        <v>0</v>
      </c>
      <c r="L769">
        <v>1650</v>
      </c>
      <c r="M769">
        <v>1650</v>
      </c>
      <c r="N769">
        <v>0</v>
      </c>
    </row>
    <row r="770" spans="1:14" x14ac:dyDescent="0.25">
      <c r="A770">
        <v>271.92461400000002</v>
      </c>
      <c r="B770" s="1">
        <f>DATE(2011,1,27) + TIME(22,11,26)</f>
        <v>40570.92460648148</v>
      </c>
      <c r="C770">
        <v>80</v>
      </c>
      <c r="D770">
        <v>68.495964049999998</v>
      </c>
      <c r="E770">
        <v>40</v>
      </c>
      <c r="F770">
        <v>39.961048126000001</v>
      </c>
      <c r="G770">
        <v>1327.3006591999999</v>
      </c>
      <c r="H770">
        <v>1325.7279053</v>
      </c>
      <c r="I770">
        <v>1335.9753418</v>
      </c>
      <c r="J770">
        <v>1334.0908202999999</v>
      </c>
      <c r="K770">
        <v>0</v>
      </c>
      <c r="L770">
        <v>1650</v>
      </c>
      <c r="M770">
        <v>1650</v>
      </c>
      <c r="N770">
        <v>0</v>
      </c>
    </row>
    <row r="771" spans="1:14" x14ac:dyDescent="0.25">
      <c r="A771">
        <v>274.67769600000003</v>
      </c>
      <c r="B771" s="1">
        <f>DATE(2011,1,30) + TIME(16,15,52)</f>
        <v>40573.677685185183</v>
      </c>
      <c r="C771">
        <v>80</v>
      </c>
      <c r="D771">
        <v>68.110908507999994</v>
      </c>
      <c r="E771">
        <v>40</v>
      </c>
      <c r="F771">
        <v>39.961116791000002</v>
      </c>
      <c r="G771">
        <v>1327.2576904</v>
      </c>
      <c r="H771">
        <v>1325.6707764</v>
      </c>
      <c r="I771">
        <v>1335.9708252</v>
      </c>
      <c r="J771">
        <v>1334.0895995999999</v>
      </c>
      <c r="K771">
        <v>0</v>
      </c>
      <c r="L771">
        <v>1650</v>
      </c>
      <c r="M771">
        <v>1650</v>
      </c>
      <c r="N771">
        <v>0</v>
      </c>
    </row>
    <row r="772" spans="1:14" x14ac:dyDescent="0.25">
      <c r="A772">
        <v>276</v>
      </c>
      <c r="B772" s="1">
        <f>DATE(2011,2,1) + TIME(0,0,0)</f>
        <v>40575</v>
      </c>
      <c r="C772">
        <v>80</v>
      </c>
      <c r="D772">
        <v>67.795707703000005</v>
      </c>
      <c r="E772">
        <v>40</v>
      </c>
      <c r="F772">
        <v>39.961132050000003</v>
      </c>
      <c r="G772">
        <v>1327.2154541</v>
      </c>
      <c r="H772">
        <v>1325.6164550999999</v>
      </c>
      <c r="I772">
        <v>1335.9663086</v>
      </c>
      <c r="J772">
        <v>1334.0883789</v>
      </c>
      <c r="K772">
        <v>0</v>
      </c>
      <c r="L772">
        <v>1650</v>
      </c>
      <c r="M772">
        <v>1650</v>
      </c>
      <c r="N772">
        <v>0</v>
      </c>
    </row>
    <row r="773" spans="1:14" x14ac:dyDescent="0.25">
      <c r="A773">
        <v>278.81401799999998</v>
      </c>
      <c r="B773" s="1">
        <f>DATE(2011,2,3) + TIME(19,32,11)</f>
        <v>40577.814016203702</v>
      </c>
      <c r="C773">
        <v>80</v>
      </c>
      <c r="D773">
        <v>67.505973815999994</v>
      </c>
      <c r="E773">
        <v>40</v>
      </c>
      <c r="F773">
        <v>39.961219788000001</v>
      </c>
      <c r="G773">
        <v>1327.1898193</v>
      </c>
      <c r="H773">
        <v>1325.5773925999999</v>
      </c>
      <c r="I773">
        <v>1335.9642334</v>
      </c>
      <c r="J773">
        <v>1334.0877685999999</v>
      </c>
      <c r="K773">
        <v>0</v>
      </c>
      <c r="L773">
        <v>1650</v>
      </c>
      <c r="M773">
        <v>1650</v>
      </c>
      <c r="N773">
        <v>0</v>
      </c>
    </row>
    <row r="774" spans="1:14" x14ac:dyDescent="0.25">
      <c r="A774">
        <v>281.75721399999998</v>
      </c>
      <c r="B774" s="1">
        <f>DATE(2011,2,6) + TIME(18,10,23)</f>
        <v>40580.757210648146</v>
      </c>
      <c r="C774">
        <v>80</v>
      </c>
      <c r="D774">
        <v>67.127441406000003</v>
      </c>
      <c r="E774">
        <v>40</v>
      </c>
      <c r="F774">
        <v>39.961303710999999</v>
      </c>
      <c r="G774">
        <v>1327.1520995999999</v>
      </c>
      <c r="H774">
        <v>1325.5299072</v>
      </c>
      <c r="I774">
        <v>1335.9598389</v>
      </c>
      <c r="J774">
        <v>1334.0866699000001</v>
      </c>
      <c r="K774">
        <v>0</v>
      </c>
      <c r="L774">
        <v>1650</v>
      </c>
      <c r="M774">
        <v>1650</v>
      </c>
      <c r="N774">
        <v>0</v>
      </c>
    </row>
    <row r="775" spans="1:14" x14ac:dyDescent="0.25">
      <c r="A775">
        <v>284.75256100000001</v>
      </c>
      <c r="B775" s="1">
        <f>DATE(2011,2,9) + TIME(18,3,41)</f>
        <v>40583.752557870372</v>
      </c>
      <c r="C775">
        <v>80</v>
      </c>
      <c r="D775">
        <v>66.719970703000001</v>
      </c>
      <c r="E775">
        <v>40</v>
      </c>
      <c r="F775">
        <v>39.961383820000002</v>
      </c>
      <c r="G775">
        <v>1327.1110839999999</v>
      </c>
      <c r="H775">
        <v>1325.4760742000001</v>
      </c>
      <c r="I775">
        <v>1335.9554443</v>
      </c>
      <c r="J775">
        <v>1334.0855713000001</v>
      </c>
      <c r="K775">
        <v>0</v>
      </c>
      <c r="L775">
        <v>1650</v>
      </c>
      <c r="M775">
        <v>1650</v>
      </c>
      <c r="N775">
        <v>0</v>
      </c>
    </row>
    <row r="776" spans="1:14" x14ac:dyDescent="0.25">
      <c r="A776">
        <v>287.78161799999998</v>
      </c>
      <c r="B776" s="1">
        <f>DATE(2011,2,12) + TIME(18,45,31)</f>
        <v>40586.781608796293</v>
      </c>
      <c r="C776">
        <v>80</v>
      </c>
      <c r="D776">
        <v>66.302230835000003</v>
      </c>
      <c r="E776">
        <v>40</v>
      </c>
      <c r="F776">
        <v>39.961463928000001</v>
      </c>
      <c r="G776">
        <v>1327.0695800999999</v>
      </c>
      <c r="H776">
        <v>1325.4211425999999</v>
      </c>
      <c r="I776">
        <v>1335.9509277</v>
      </c>
      <c r="J776">
        <v>1334.0843506000001</v>
      </c>
      <c r="K776">
        <v>0</v>
      </c>
      <c r="L776">
        <v>1650</v>
      </c>
      <c r="M776">
        <v>1650</v>
      </c>
      <c r="N776">
        <v>0</v>
      </c>
    </row>
    <row r="777" spans="1:14" x14ac:dyDescent="0.25">
      <c r="A777">
        <v>290.86654199999998</v>
      </c>
      <c r="B777" s="1">
        <f>DATE(2011,2,15) + TIME(20,47,49)</f>
        <v>40589.866539351853</v>
      </c>
      <c r="C777">
        <v>80</v>
      </c>
      <c r="D777">
        <v>65.879257202000005</v>
      </c>
      <c r="E777">
        <v>40</v>
      </c>
      <c r="F777">
        <v>39.961547852000002</v>
      </c>
      <c r="G777">
        <v>1327.0284423999999</v>
      </c>
      <c r="H777">
        <v>1325.3663329999999</v>
      </c>
      <c r="I777">
        <v>1335.9465332</v>
      </c>
      <c r="J777">
        <v>1334.0832519999999</v>
      </c>
      <c r="K777">
        <v>0</v>
      </c>
      <c r="L777">
        <v>1650</v>
      </c>
      <c r="M777">
        <v>1650</v>
      </c>
      <c r="N777">
        <v>0</v>
      </c>
    </row>
    <row r="778" spans="1:14" x14ac:dyDescent="0.25">
      <c r="A778">
        <v>294.03168099999999</v>
      </c>
      <c r="B778" s="1">
        <f>DATE(2011,2,19) + TIME(0,45,37)</f>
        <v>40593.031678240739</v>
      </c>
      <c r="C778">
        <v>80</v>
      </c>
      <c r="D778">
        <v>65.449554442999997</v>
      </c>
      <c r="E778">
        <v>40</v>
      </c>
      <c r="F778">
        <v>39.961631775000001</v>
      </c>
      <c r="G778">
        <v>1326.9876709</v>
      </c>
      <c r="H778">
        <v>1325.3120117000001</v>
      </c>
      <c r="I778">
        <v>1335.9421387</v>
      </c>
      <c r="J778">
        <v>1334.0820312000001</v>
      </c>
      <c r="K778">
        <v>0</v>
      </c>
      <c r="L778">
        <v>1650</v>
      </c>
      <c r="M778">
        <v>1650</v>
      </c>
      <c r="N778">
        <v>0</v>
      </c>
    </row>
    <row r="779" spans="1:14" x14ac:dyDescent="0.25">
      <c r="A779">
        <v>297.305969</v>
      </c>
      <c r="B779" s="1">
        <f>DATE(2011,2,22) + TIME(7,20,35)</f>
        <v>40596.305960648147</v>
      </c>
      <c r="C779">
        <v>80</v>
      </c>
      <c r="D779">
        <v>65.010307311999995</v>
      </c>
      <c r="E779">
        <v>40</v>
      </c>
      <c r="F779">
        <v>39.961723327999998</v>
      </c>
      <c r="G779">
        <v>1326.9471435999999</v>
      </c>
      <c r="H779">
        <v>1325.2580565999999</v>
      </c>
      <c r="I779">
        <v>1335.9377440999999</v>
      </c>
      <c r="J779">
        <v>1334.0809326000001</v>
      </c>
      <c r="K779">
        <v>0</v>
      </c>
      <c r="L779">
        <v>1650</v>
      </c>
      <c r="M779">
        <v>1650</v>
      </c>
      <c r="N779">
        <v>0</v>
      </c>
    </row>
    <row r="780" spans="1:14" x14ac:dyDescent="0.25">
      <c r="A780">
        <v>300.609891</v>
      </c>
      <c r="B780" s="1">
        <f>DATE(2011,2,25) + TIME(14,38,14)</f>
        <v>40599.609884259262</v>
      </c>
      <c r="C780">
        <v>80</v>
      </c>
      <c r="D780">
        <v>64.560745238999999</v>
      </c>
      <c r="E780">
        <v>40</v>
      </c>
      <c r="F780">
        <v>39.961814879999999</v>
      </c>
      <c r="G780">
        <v>1326.9064940999999</v>
      </c>
      <c r="H780">
        <v>1325.2039795000001</v>
      </c>
      <c r="I780">
        <v>1335.9333495999999</v>
      </c>
      <c r="J780">
        <v>1334.0797118999999</v>
      </c>
      <c r="K780">
        <v>0</v>
      </c>
      <c r="L780">
        <v>1650</v>
      </c>
      <c r="M780">
        <v>1650</v>
      </c>
      <c r="N780">
        <v>0</v>
      </c>
    </row>
    <row r="781" spans="1:14" x14ac:dyDescent="0.25">
      <c r="A781">
        <v>304</v>
      </c>
      <c r="B781" s="1">
        <f>DATE(2011,3,1) + TIME(0,0,0)</f>
        <v>40603</v>
      </c>
      <c r="C781">
        <v>80</v>
      </c>
      <c r="D781">
        <v>64.106185913000004</v>
      </c>
      <c r="E781">
        <v>40</v>
      </c>
      <c r="F781">
        <v>39.961906433000003</v>
      </c>
      <c r="G781">
        <v>1326.8664550999999</v>
      </c>
      <c r="H781">
        <v>1325.1502685999999</v>
      </c>
      <c r="I781">
        <v>1335.9289550999999</v>
      </c>
      <c r="J781">
        <v>1334.0784911999999</v>
      </c>
      <c r="K781">
        <v>0</v>
      </c>
      <c r="L781">
        <v>1650</v>
      </c>
      <c r="M781">
        <v>1650</v>
      </c>
      <c r="N781">
        <v>0</v>
      </c>
    </row>
    <row r="782" spans="1:14" x14ac:dyDescent="0.25">
      <c r="A782">
        <v>307.35610000000003</v>
      </c>
      <c r="B782" s="1">
        <f>DATE(2011,3,4) + TIME(8,32,47)</f>
        <v>40606.356099537035</v>
      </c>
      <c r="C782">
        <v>80</v>
      </c>
      <c r="D782">
        <v>63.645618439000003</v>
      </c>
      <c r="E782">
        <v>40</v>
      </c>
      <c r="F782">
        <v>39.961997986</v>
      </c>
      <c r="G782">
        <v>1326.8266602000001</v>
      </c>
      <c r="H782">
        <v>1325.097168</v>
      </c>
      <c r="I782">
        <v>1335.9244385</v>
      </c>
      <c r="J782">
        <v>1334.0772704999999</v>
      </c>
      <c r="K782">
        <v>0</v>
      </c>
      <c r="L782">
        <v>1650</v>
      </c>
      <c r="M782">
        <v>1650</v>
      </c>
      <c r="N782">
        <v>0</v>
      </c>
    </row>
    <row r="783" spans="1:14" x14ac:dyDescent="0.25">
      <c r="A783">
        <v>310.90190200000001</v>
      </c>
      <c r="B783" s="1">
        <f>DATE(2011,3,7) + TIME(21,38,44)</f>
        <v>40609.901898148149</v>
      </c>
      <c r="C783">
        <v>80</v>
      </c>
      <c r="D783">
        <v>63.184062957999998</v>
      </c>
      <c r="E783">
        <v>40</v>
      </c>
      <c r="F783">
        <v>39.962100982999999</v>
      </c>
      <c r="G783">
        <v>1326.7879639</v>
      </c>
      <c r="H783">
        <v>1325.0450439000001</v>
      </c>
      <c r="I783">
        <v>1335.9201660000001</v>
      </c>
      <c r="J783">
        <v>1334.0761719</v>
      </c>
      <c r="K783">
        <v>0</v>
      </c>
      <c r="L783">
        <v>1650</v>
      </c>
      <c r="M783">
        <v>1650</v>
      </c>
      <c r="N783">
        <v>0</v>
      </c>
    </row>
    <row r="784" spans="1:14" x14ac:dyDescent="0.25">
      <c r="A784">
        <v>314.501035</v>
      </c>
      <c r="B784" s="1">
        <f>DATE(2011,3,11) + TIME(12,1,29)</f>
        <v>40613.501030092593</v>
      </c>
      <c r="C784">
        <v>80</v>
      </c>
      <c r="D784">
        <v>62.706119536999999</v>
      </c>
      <c r="E784">
        <v>40</v>
      </c>
      <c r="F784">
        <v>39.962200164999999</v>
      </c>
      <c r="G784">
        <v>1326.7489014</v>
      </c>
      <c r="H784">
        <v>1324.9929199000001</v>
      </c>
      <c r="I784">
        <v>1335.9156493999999</v>
      </c>
      <c r="J784">
        <v>1334.0748291</v>
      </c>
      <c r="K784">
        <v>0</v>
      </c>
      <c r="L784">
        <v>1650</v>
      </c>
      <c r="M784">
        <v>1650</v>
      </c>
      <c r="N784">
        <v>0</v>
      </c>
    </row>
    <row r="785" spans="1:14" x14ac:dyDescent="0.25">
      <c r="A785">
        <v>318.16071599999998</v>
      </c>
      <c r="B785" s="1">
        <f>DATE(2011,3,15) + TIME(3,51,25)</f>
        <v>40617.16070601852</v>
      </c>
      <c r="C785">
        <v>80</v>
      </c>
      <c r="D785">
        <v>62.221195221000002</v>
      </c>
      <c r="E785">
        <v>40</v>
      </c>
      <c r="F785">
        <v>39.962303161999998</v>
      </c>
      <c r="G785">
        <v>1326.7102050999999</v>
      </c>
      <c r="H785">
        <v>1324.940918</v>
      </c>
      <c r="I785">
        <v>1335.9112548999999</v>
      </c>
      <c r="J785">
        <v>1334.0736084</v>
      </c>
      <c r="K785">
        <v>0</v>
      </c>
      <c r="L785">
        <v>1650</v>
      </c>
      <c r="M785">
        <v>1650</v>
      </c>
      <c r="N785">
        <v>0</v>
      </c>
    </row>
    <row r="786" spans="1:14" x14ac:dyDescent="0.25">
      <c r="A786">
        <v>321.91203899999999</v>
      </c>
      <c r="B786" s="1">
        <f>DATE(2011,3,18) + TIME(21,53,20)</f>
        <v>40620.912037037036</v>
      </c>
      <c r="C786">
        <v>80</v>
      </c>
      <c r="D786">
        <v>61.729419708000002</v>
      </c>
      <c r="E786">
        <v>40</v>
      </c>
      <c r="F786">
        <v>39.962409973</v>
      </c>
      <c r="G786">
        <v>1326.6719971</v>
      </c>
      <c r="H786">
        <v>1324.8894043</v>
      </c>
      <c r="I786">
        <v>1335.9067382999999</v>
      </c>
      <c r="J786">
        <v>1334.0722656</v>
      </c>
      <c r="K786">
        <v>0</v>
      </c>
      <c r="L786">
        <v>1650</v>
      </c>
      <c r="M786">
        <v>1650</v>
      </c>
      <c r="N786">
        <v>0</v>
      </c>
    </row>
    <row r="787" spans="1:14" x14ac:dyDescent="0.25">
      <c r="A787">
        <v>325.78153800000001</v>
      </c>
      <c r="B787" s="1">
        <f>DATE(2011,3,22) + TIME(18,45,24)</f>
        <v>40624.781527777777</v>
      </c>
      <c r="C787">
        <v>80</v>
      </c>
      <c r="D787">
        <v>61.227752686000002</v>
      </c>
      <c r="E787">
        <v>40</v>
      </c>
      <c r="F787">
        <v>39.962516784999998</v>
      </c>
      <c r="G787">
        <v>1326.6340332</v>
      </c>
      <c r="H787">
        <v>1324.8382568</v>
      </c>
      <c r="I787">
        <v>1335.9022216999999</v>
      </c>
      <c r="J787">
        <v>1334.0708007999999</v>
      </c>
      <c r="K787">
        <v>0</v>
      </c>
      <c r="L787">
        <v>1650</v>
      </c>
      <c r="M787">
        <v>1650</v>
      </c>
      <c r="N787">
        <v>0</v>
      </c>
    </row>
    <row r="788" spans="1:14" x14ac:dyDescent="0.25">
      <c r="A788">
        <v>329.70526999999998</v>
      </c>
      <c r="B788" s="1">
        <f>DATE(2011,3,26) + TIME(16,55,35)</f>
        <v>40628.705266203702</v>
      </c>
      <c r="C788">
        <v>80</v>
      </c>
      <c r="D788">
        <v>60.714691162000001</v>
      </c>
      <c r="E788">
        <v>40</v>
      </c>
      <c r="F788">
        <v>39.962627411</v>
      </c>
      <c r="G788">
        <v>1326.5963135</v>
      </c>
      <c r="H788">
        <v>1324.7872314000001</v>
      </c>
      <c r="I788">
        <v>1335.8977050999999</v>
      </c>
      <c r="J788">
        <v>1334.0694579999999</v>
      </c>
      <c r="K788">
        <v>0</v>
      </c>
      <c r="L788">
        <v>1650</v>
      </c>
      <c r="M788">
        <v>1650</v>
      </c>
      <c r="N788">
        <v>0</v>
      </c>
    </row>
    <row r="789" spans="1:14" x14ac:dyDescent="0.25">
      <c r="A789">
        <v>333.715216</v>
      </c>
      <c r="B789" s="1">
        <f>DATE(2011,3,30) + TIME(17,9,54)</f>
        <v>40632.715208333335</v>
      </c>
      <c r="C789">
        <v>80</v>
      </c>
      <c r="D789">
        <v>60.195041656000001</v>
      </c>
      <c r="E789">
        <v>40</v>
      </c>
      <c r="F789">
        <v>39.962741852000001</v>
      </c>
      <c r="G789">
        <v>1326.559082</v>
      </c>
      <c r="H789">
        <v>1324.7366943</v>
      </c>
      <c r="I789">
        <v>1335.8930664</v>
      </c>
      <c r="J789">
        <v>1334.0679932</v>
      </c>
      <c r="K789">
        <v>0</v>
      </c>
      <c r="L789">
        <v>1650</v>
      </c>
      <c r="M789">
        <v>1650</v>
      </c>
      <c r="N789">
        <v>0</v>
      </c>
    </row>
    <row r="790" spans="1:14" x14ac:dyDescent="0.25">
      <c r="A790">
        <v>335</v>
      </c>
      <c r="B790" s="1">
        <f>DATE(2011,4,1) + TIME(0,0,0)</f>
        <v>40634</v>
      </c>
      <c r="C790">
        <v>80</v>
      </c>
      <c r="D790">
        <v>59.798816680999998</v>
      </c>
      <c r="E790">
        <v>40</v>
      </c>
      <c r="F790">
        <v>39.962753296000002</v>
      </c>
      <c r="G790">
        <v>1326.5218506000001</v>
      </c>
      <c r="H790">
        <v>1324.6895752</v>
      </c>
      <c r="I790">
        <v>1335.8884277</v>
      </c>
      <c r="J790">
        <v>1334.0662841999999</v>
      </c>
      <c r="K790">
        <v>0</v>
      </c>
      <c r="L790">
        <v>1650</v>
      </c>
      <c r="M790">
        <v>1650</v>
      </c>
      <c r="N790">
        <v>0</v>
      </c>
    </row>
    <row r="791" spans="1:14" x14ac:dyDescent="0.25">
      <c r="A791">
        <v>339.13380100000001</v>
      </c>
      <c r="B791" s="1">
        <f>DATE(2011,4,5) + TIME(3,12,40)</f>
        <v>40638.133796296293</v>
      </c>
      <c r="C791">
        <v>80</v>
      </c>
      <c r="D791">
        <v>59.460506439</v>
      </c>
      <c r="E791">
        <v>40</v>
      </c>
      <c r="F791">
        <v>39.962890625</v>
      </c>
      <c r="G791">
        <v>1326.5053711</v>
      </c>
      <c r="H791">
        <v>1324.6600341999999</v>
      </c>
      <c r="I791">
        <v>1335.8869629000001</v>
      </c>
      <c r="J791">
        <v>1334.065918</v>
      </c>
      <c r="K791">
        <v>0</v>
      </c>
      <c r="L791">
        <v>1650</v>
      </c>
      <c r="M791">
        <v>1650</v>
      </c>
      <c r="N791">
        <v>0</v>
      </c>
    </row>
    <row r="792" spans="1:14" x14ac:dyDescent="0.25">
      <c r="A792">
        <v>343.37501600000002</v>
      </c>
      <c r="B792" s="1">
        <f>DATE(2011,4,9) + TIME(9,0,1)</f>
        <v>40642.375011574077</v>
      </c>
      <c r="C792">
        <v>80</v>
      </c>
      <c r="D792">
        <v>58.945106506000002</v>
      </c>
      <c r="E792">
        <v>40</v>
      </c>
      <c r="F792">
        <v>39.963016510000003</v>
      </c>
      <c r="G792">
        <v>1326.4737548999999</v>
      </c>
      <c r="H792">
        <v>1324.6198730000001</v>
      </c>
      <c r="I792">
        <v>1335.8823242000001</v>
      </c>
      <c r="J792">
        <v>1334.0643310999999</v>
      </c>
      <c r="K792">
        <v>0</v>
      </c>
      <c r="L792">
        <v>1650</v>
      </c>
      <c r="M792">
        <v>1650</v>
      </c>
      <c r="N792">
        <v>0</v>
      </c>
    </row>
    <row r="793" spans="1:14" x14ac:dyDescent="0.25">
      <c r="A793">
        <v>347.72465499999998</v>
      </c>
      <c r="B793" s="1">
        <f>DATE(2011,4,13) + TIME(17,23,30)</f>
        <v>40646.724652777775</v>
      </c>
      <c r="C793">
        <v>80</v>
      </c>
      <c r="D793">
        <v>58.397109985</v>
      </c>
      <c r="E793">
        <v>40</v>
      </c>
      <c r="F793">
        <v>39.963138579999999</v>
      </c>
      <c r="G793">
        <v>1326.4388428</v>
      </c>
      <c r="H793">
        <v>1324.5727539</v>
      </c>
      <c r="I793">
        <v>1335.8775635</v>
      </c>
      <c r="J793">
        <v>1334.0626221</v>
      </c>
      <c r="K793">
        <v>0</v>
      </c>
      <c r="L793">
        <v>1650</v>
      </c>
      <c r="M793">
        <v>1650</v>
      </c>
      <c r="N793">
        <v>0</v>
      </c>
    </row>
    <row r="794" spans="1:14" x14ac:dyDescent="0.25">
      <c r="A794">
        <v>352.20962300000002</v>
      </c>
      <c r="B794" s="1">
        <f>DATE(2011,4,18) + TIME(5,1,51)</f>
        <v>40651.209618055553</v>
      </c>
      <c r="C794">
        <v>80</v>
      </c>
      <c r="D794">
        <v>57.830955504999999</v>
      </c>
      <c r="E794">
        <v>40</v>
      </c>
      <c r="F794">
        <v>39.963268280000001</v>
      </c>
      <c r="G794">
        <v>1326.4038086</v>
      </c>
      <c r="H794">
        <v>1324.5249022999999</v>
      </c>
      <c r="I794">
        <v>1335.8728027</v>
      </c>
      <c r="J794">
        <v>1334.0609131000001</v>
      </c>
      <c r="K794">
        <v>0</v>
      </c>
      <c r="L794">
        <v>1650</v>
      </c>
      <c r="M794">
        <v>1650</v>
      </c>
      <c r="N794">
        <v>0</v>
      </c>
    </row>
    <row r="795" spans="1:14" x14ac:dyDescent="0.25">
      <c r="A795">
        <v>356.78422899999998</v>
      </c>
      <c r="B795" s="1">
        <f>DATE(2011,4,22) + TIME(18,49,17)</f>
        <v>40655.784224537034</v>
      </c>
      <c r="C795">
        <v>80</v>
      </c>
      <c r="D795">
        <v>57.252738952999998</v>
      </c>
      <c r="E795">
        <v>40</v>
      </c>
      <c r="F795">
        <v>39.963397980000003</v>
      </c>
      <c r="G795">
        <v>1326.3691406</v>
      </c>
      <c r="H795">
        <v>1324.4772949000001</v>
      </c>
      <c r="I795">
        <v>1335.8679199000001</v>
      </c>
      <c r="J795">
        <v>1334.059082</v>
      </c>
      <c r="K795">
        <v>0</v>
      </c>
      <c r="L795">
        <v>1650</v>
      </c>
      <c r="M795">
        <v>1650</v>
      </c>
      <c r="N795">
        <v>0</v>
      </c>
    </row>
    <row r="796" spans="1:14" x14ac:dyDescent="0.25">
      <c r="A796">
        <v>361.49095599999998</v>
      </c>
      <c r="B796" s="1">
        <f>DATE(2011,4,27) + TIME(11,46,58)</f>
        <v>40660.490949074076</v>
      </c>
      <c r="C796">
        <v>80</v>
      </c>
      <c r="D796">
        <v>56.662887572999999</v>
      </c>
      <c r="E796">
        <v>40</v>
      </c>
      <c r="F796">
        <v>39.963531494000001</v>
      </c>
      <c r="G796">
        <v>1326.3350829999999</v>
      </c>
      <c r="H796">
        <v>1324.4302978999999</v>
      </c>
      <c r="I796">
        <v>1335.8629149999999</v>
      </c>
      <c r="J796">
        <v>1334.0571289</v>
      </c>
      <c r="K796">
        <v>0</v>
      </c>
      <c r="L796">
        <v>1650</v>
      </c>
      <c r="M796">
        <v>1650</v>
      </c>
      <c r="N796">
        <v>0</v>
      </c>
    </row>
    <row r="797" spans="1:14" x14ac:dyDescent="0.25">
      <c r="A797">
        <v>365</v>
      </c>
      <c r="B797" s="1">
        <f>DATE(2011,5,1) + TIME(0,0,0)</f>
        <v>40664</v>
      </c>
      <c r="C797">
        <v>80</v>
      </c>
      <c r="D797">
        <v>56.091201781999999</v>
      </c>
      <c r="E797">
        <v>40</v>
      </c>
      <c r="F797">
        <v>39.963615417</v>
      </c>
      <c r="G797">
        <v>1326.3016356999999</v>
      </c>
      <c r="H797">
        <v>1324.3848877</v>
      </c>
      <c r="I797">
        <v>1335.8579102000001</v>
      </c>
      <c r="J797">
        <v>1334.0551757999999</v>
      </c>
      <c r="K797">
        <v>0</v>
      </c>
      <c r="L797">
        <v>1650</v>
      </c>
      <c r="M797">
        <v>1650</v>
      </c>
      <c r="N797">
        <v>0</v>
      </c>
    </row>
    <row r="798" spans="1:14" x14ac:dyDescent="0.25">
      <c r="A798">
        <v>365.000001</v>
      </c>
      <c r="B798" s="1">
        <f>DATE(2011,5,1) + TIME(0,0,0)</f>
        <v>40664</v>
      </c>
      <c r="C798">
        <v>80</v>
      </c>
      <c r="D798">
        <v>56.091323852999999</v>
      </c>
      <c r="E798">
        <v>40</v>
      </c>
      <c r="F798">
        <v>39.963562011999997</v>
      </c>
      <c r="G798">
        <v>1328.8863524999999</v>
      </c>
      <c r="H798">
        <v>1326.9997559000001</v>
      </c>
      <c r="I798">
        <v>1333.5878906</v>
      </c>
      <c r="J798">
        <v>1332.2578125</v>
      </c>
      <c r="K798">
        <v>1650</v>
      </c>
      <c r="L798">
        <v>0</v>
      </c>
      <c r="M798">
        <v>0</v>
      </c>
      <c r="N798">
        <v>1650</v>
      </c>
    </row>
    <row r="799" spans="1:14" x14ac:dyDescent="0.25">
      <c r="A799">
        <v>365.00000399999999</v>
      </c>
      <c r="B799" s="1">
        <f>DATE(2011,5,1) + TIME(0,0,0)</f>
        <v>40664</v>
      </c>
      <c r="C799">
        <v>80</v>
      </c>
      <c r="D799">
        <v>56.091541290000002</v>
      </c>
      <c r="E799">
        <v>40</v>
      </c>
      <c r="F799">
        <v>39.963466644</v>
      </c>
      <c r="G799">
        <v>1329.7867432</v>
      </c>
      <c r="H799">
        <v>1328.0108643000001</v>
      </c>
      <c r="I799">
        <v>1332.8104248</v>
      </c>
      <c r="J799">
        <v>1331.4804687999999</v>
      </c>
      <c r="K799">
        <v>1650</v>
      </c>
      <c r="L799">
        <v>0</v>
      </c>
      <c r="M799">
        <v>0</v>
      </c>
      <c r="N799">
        <v>1650</v>
      </c>
    </row>
    <row r="800" spans="1:14" x14ac:dyDescent="0.25">
      <c r="A800">
        <v>365.00001300000002</v>
      </c>
      <c r="B800" s="1">
        <f>DATE(2011,5,1) + TIME(0,0,1)</f>
        <v>40664.000011574077</v>
      </c>
      <c r="C800">
        <v>80</v>
      </c>
      <c r="D800">
        <v>56.091953277999998</v>
      </c>
      <c r="E800">
        <v>40</v>
      </c>
      <c r="F800">
        <v>39.963356017999999</v>
      </c>
      <c r="G800">
        <v>1330.9290771000001</v>
      </c>
      <c r="H800">
        <v>1329.1337891000001</v>
      </c>
      <c r="I800">
        <v>1331.8818358999999</v>
      </c>
      <c r="J800">
        <v>1330.5522461</v>
      </c>
      <c r="K800">
        <v>1650</v>
      </c>
      <c r="L800">
        <v>0</v>
      </c>
      <c r="M800">
        <v>0</v>
      </c>
      <c r="N800">
        <v>1650</v>
      </c>
    </row>
    <row r="801" spans="1:14" x14ac:dyDescent="0.25">
      <c r="A801">
        <v>365.00004000000001</v>
      </c>
      <c r="B801" s="1">
        <f>DATE(2011,5,1) + TIME(0,0,3)</f>
        <v>40664.000034722223</v>
      </c>
      <c r="C801">
        <v>80</v>
      </c>
      <c r="D801">
        <v>56.092926024999997</v>
      </c>
      <c r="E801">
        <v>40</v>
      </c>
      <c r="F801">
        <v>39.963241576999998</v>
      </c>
      <c r="G801">
        <v>1332.1120605000001</v>
      </c>
      <c r="H801">
        <v>1330.2596435999999</v>
      </c>
      <c r="I801">
        <v>1330.9549560999999</v>
      </c>
      <c r="J801">
        <v>1329.6259766000001</v>
      </c>
      <c r="K801">
        <v>1650</v>
      </c>
      <c r="L801">
        <v>0</v>
      </c>
      <c r="M801">
        <v>0</v>
      </c>
      <c r="N801">
        <v>1650</v>
      </c>
    </row>
    <row r="802" spans="1:14" x14ac:dyDescent="0.25">
      <c r="A802">
        <v>365.00012099999998</v>
      </c>
      <c r="B802" s="1">
        <f>DATE(2011,5,1) + TIME(0,0,10)</f>
        <v>40664.000115740739</v>
      </c>
      <c r="C802">
        <v>80</v>
      </c>
      <c r="D802">
        <v>56.095619202000002</v>
      </c>
      <c r="E802">
        <v>40</v>
      </c>
      <c r="F802">
        <v>39.963123322000001</v>
      </c>
      <c r="G802">
        <v>1333.2753906</v>
      </c>
      <c r="H802">
        <v>1331.3699951000001</v>
      </c>
      <c r="I802">
        <v>1330.0417480000001</v>
      </c>
      <c r="J802">
        <v>1328.7091064000001</v>
      </c>
      <c r="K802">
        <v>1650</v>
      </c>
      <c r="L802">
        <v>0</v>
      </c>
      <c r="M802">
        <v>0</v>
      </c>
      <c r="N802">
        <v>1650</v>
      </c>
    </row>
    <row r="803" spans="1:14" x14ac:dyDescent="0.25">
      <c r="A803">
        <v>365.00036399999999</v>
      </c>
      <c r="B803" s="1">
        <f>DATE(2011,5,1) + TIME(0,0,31)</f>
        <v>40664.000358796293</v>
      </c>
      <c r="C803">
        <v>80</v>
      </c>
      <c r="D803">
        <v>56.103607177999997</v>
      </c>
      <c r="E803">
        <v>40</v>
      </c>
      <c r="F803">
        <v>39.962985992</v>
      </c>
      <c r="G803">
        <v>1334.4063721</v>
      </c>
      <c r="H803">
        <v>1332.4508057</v>
      </c>
      <c r="I803">
        <v>1329.121582</v>
      </c>
      <c r="J803">
        <v>1327.7719727000001</v>
      </c>
      <c r="K803">
        <v>1650</v>
      </c>
      <c r="L803">
        <v>0</v>
      </c>
      <c r="M803">
        <v>0</v>
      </c>
      <c r="N803">
        <v>1650</v>
      </c>
    </row>
    <row r="804" spans="1:14" x14ac:dyDescent="0.25">
      <c r="A804">
        <v>365.00109300000003</v>
      </c>
      <c r="B804" s="1">
        <f>DATE(2011,5,1) + TIME(0,1,34)</f>
        <v>40664.001087962963</v>
      </c>
      <c r="C804">
        <v>80</v>
      </c>
      <c r="D804">
        <v>56.127765656000001</v>
      </c>
      <c r="E804">
        <v>40</v>
      </c>
      <c r="F804">
        <v>39.962802887000002</v>
      </c>
      <c r="G804">
        <v>1335.3851318</v>
      </c>
      <c r="H804">
        <v>1333.387207</v>
      </c>
      <c r="I804">
        <v>1328.2540283000001</v>
      </c>
      <c r="J804">
        <v>1326.8800048999999</v>
      </c>
      <c r="K804">
        <v>1650</v>
      </c>
      <c r="L804">
        <v>0</v>
      </c>
      <c r="M804">
        <v>0</v>
      </c>
      <c r="N804">
        <v>1650</v>
      </c>
    </row>
    <row r="805" spans="1:14" x14ac:dyDescent="0.25">
      <c r="A805">
        <v>365.00328000000002</v>
      </c>
      <c r="B805" s="1">
        <f>DATE(2011,5,1) + TIME(0,4,43)</f>
        <v>40664.003275462965</v>
      </c>
      <c r="C805">
        <v>80</v>
      </c>
      <c r="D805">
        <v>56.200607300000001</v>
      </c>
      <c r="E805">
        <v>40</v>
      </c>
      <c r="F805">
        <v>39.962482452000003</v>
      </c>
      <c r="G805">
        <v>1336.0426024999999</v>
      </c>
      <c r="H805">
        <v>1334.0223389</v>
      </c>
      <c r="I805">
        <v>1327.6074219</v>
      </c>
      <c r="J805">
        <v>1326.2181396000001</v>
      </c>
      <c r="K805">
        <v>1650</v>
      </c>
      <c r="L805">
        <v>0</v>
      </c>
      <c r="M805">
        <v>0</v>
      </c>
      <c r="N805">
        <v>1650</v>
      </c>
    </row>
    <row r="806" spans="1:14" x14ac:dyDescent="0.25">
      <c r="A806">
        <v>365.00984099999999</v>
      </c>
      <c r="B806" s="1">
        <f>DATE(2011,5,1) + TIME(0,14,10)</f>
        <v>40664.009837962964</v>
      </c>
      <c r="C806">
        <v>80</v>
      </c>
      <c r="D806">
        <v>56.417709350999999</v>
      </c>
      <c r="E806">
        <v>40</v>
      </c>
      <c r="F806">
        <v>39.961715697999999</v>
      </c>
      <c r="G806">
        <v>1336.3563231999999</v>
      </c>
      <c r="H806">
        <v>1334.3355713000001</v>
      </c>
      <c r="I806">
        <v>1327.2875977000001</v>
      </c>
      <c r="J806">
        <v>1325.8930664</v>
      </c>
      <c r="K806">
        <v>1650</v>
      </c>
      <c r="L806">
        <v>0</v>
      </c>
      <c r="M806">
        <v>0</v>
      </c>
      <c r="N806">
        <v>1650</v>
      </c>
    </row>
    <row r="807" spans="1:14" x14ac:dyDescent="0.25">
      <c r="A807">
        <v>365.02952399999998</v>
      </c>
      <c r="B807" s="1">
        <f>DATE(2011,5,1) + TIME(0,42,30)</f>
        <v>40664.029513888891</v>
      </c>
      <c r="C807">
        <v>80</v>
      </c>
      <c r="D807">
        <v>57.051162720000001</v>
      </c>
      <c r="E807">
        <v>40</v>
      </c>
      <c r="F807">
        <v>39.959541321000003</v>
      </c>
      <c r="G807">
        <v>1336.4265137</v>
      </c>
      <c r="H807">
        <v>1334.4256591999999</v>
      </c>
      <c r="I807">
        <v>1327.2124022999999</v>
      </c>
      <c r="J807">
        <v>1325.8166504000001</v>
      </c>
      <c r="K807">
        <v>1650</v>
      </c>
      <c r="L807">
        <v>0</v>
      </c>
      <c r="M807">
        <v>0</v>
      </c>
      <c r="N807">
        <v>1650</v>
      </c>
    </row>
    <row r="808" spans="1:14" x14ac:dyDescent="0.25">
      <c r="A808">
        <v>365.05400700000001</v>
      </c>
      <c r="B808" s="1">
        <f>DATE(2011,5,1) + TIME(1,17,46)</f>
        <v>40664.05400462963</v>
      </c>
      <c r="C808">
        <v>80</v>
      </c>
      <c r="D808">
        <v>57.816379546999997</v>
      </c>
      <c r="E808">
        <v>40</v>
      </c>
      <c r="F808">
        <v>39.956871032999999</v>
      </c>
      <c r="G808">
        <v>1336.4298096</v>
      </c>
      <c r="H808">
        <v>1334.4431152</v>
      </c>
      <c r="I808">
        <v>1327.2080077999999</v>
      </c>
      <c r="J808">
        <v>1325.8122559000001</v>
      </c>
      <c r="K808">
        <v>1650</v>
      </c>
      <c r="L808">
        <v>0</v>
      </c>
      <c r="M808">
        <v>0</v>
      </c>
      <c r="N808">
        <v>1650</v>
      </c>
    </row>
    <row r="809" spans="1:14" x14ac:dyDescent="0.25">
      <c r="A809">
        <v>365.079004</v>
      </c>
      <c r="B809" s="1">
        <f>DATE(2011,5,1) + TIME(1,53,45)</f>
        <v>40664.078993055555</v>
      </c>
      <c r="C809">
        <v>80</v>
      </c>
      <c r="D809">
        <v>58.576313018999997</v>
      </c>
      <c r="E809">
        <v>40</v>
      </c>
      <c r="F809">
        <v>39.954158782999997</v>
      </c>
      <c r="G809">
        <v>1336.4323730000001</v>
      </c>
      <c r="H809">
        <v>1334.4544678</v>
      </c>
      <c r="I809">
        <v>1327.2086182</v>
      </c>
      <c r="J809">
        <v>1325.8127440999999</v>
      </c>
      <c r="K809">
        <v>1650</v>
      </c>
      <c r="L809">
        <v>0</v>
      </c>
      <c r="M809">
        <v>0</v>
      </c>
      <c r="N809">
        <v>1650</v>
      </c>
    </row>
    <row r="810" spans="1:14" x14ac:dyDescent="0.25">
      <c r="A810">
        <v>365.10451699999999</v>
      </c>
      <c r="B810" s="1">
        <f>DATE(2011,5,1) + TIME(2,30,30)</f>
        <v>40664.104513888888</v>
      </c>
      <c r="C810">
        <v>80</v>
      </c>
      <c r="D810">
        <v>59.330352783000002</v>
      </c>
      <c r="E810">
        <v>40</v>
      </c>
      <c r="F810">
        <v>39.951412200999997</v>
      </c>
      <c r="G810">
        <v>1336.4359131000001</v>
      </c>
      <c r="H810">
        <v>1334.4656981999999</v>
      </c>
      <c r="I810">
        <v>1327.2091064000001</v>
      </c>
      <c r="J810">
        <v>1325.8129882999999</v>
      </c>
      <c r="K810">
        <v>1650</v>
      </c>
      <c r="L810">
        <v>0</v>
      </c>
      <c r="M810">
        <v>0</v>
      </c>
      <c r="N810">
        <v>1650</v>
      </c>
    </row>
    <row r="811" spans="1:14" x14ac:dyDescent="0.25">
      <c r="A811">
        <v>365.13048500000002</v>
      </c>
      <c r="B811" s="1">
        <f>DATE(2011,5,1) + TIME(3,7,53)</f>
        <v>40664.130474537036</v>
      </c>
      <c r="C811">
        <v>80</v>
      </c>
      <c r="D811">
        <v>60.076057433999999</v>
      </c>
      <c r="E811">
        <v>40</v>
      </c>
      <c r="F811">
        <v>39.948627471999998</v>
      </c>
      <c r="G811">
        <v>1336.4421387</v>
      </c>
      <c r="H811">
        <v>1334.4782714999999</v>
      </c>
      <c r="I811">
        <v>1327.2093506000001</v>
      </c>
      <c r="J811">
        <v>1325.8131103999999</v>
      </c>
      <c r="K811">
        <v>1650</v>
      </c>
      <c r="L811">
        <v>0</v>
      </c>
      <c r="M811">
        <v>0</v>
      </c>
      <c r="N811">
        <v>1650</v>
      </c>
    </row>
    <row r="812" spans="1:14" x14ac:dyDescent="0.25">
      <c r="A812">
        <v>365.15691800000002</v>
      </c>
      <c r="B812" s="1">
        <f>DATE(2011,5,1) + TIME(3,45,57)</f>
        <v>40664.156909722224</v>
      </c>
      <c r="C812">
        <v>80</v>
      </c>
      <c r="D812">
        <v>60.812675476000003</v>
      </c>
      <c r="E812">
        <v>40</v>
      </c>
      <c r="F812">
        <v>39.945816039999997</v>
      </c>
      <c r="G812">
        <v>1336.4510498</v>
      </c>
      <c r="H812">
        <v>1334.4921875</v>
      </c>
      <c r="I812">
        <v>1327.2095947</v>
      </c>
      <c r="J812">
        <v>1325.8132324000001</v>
      </c>
      <c r="K812">
        <v>1650</v>
      </c>
      <c r="L812">
        <v>0</v>
      </c>
      <c r="M812">
        <v>0</v>
      </c>
      <c r="N812">
        <v>1650</v>
      </c>
    </row>
    <row r="813" spans="1:14" x14ac:dyDescent="0.25">
      <c r="A813">
        <v>365.183832</v>
      </c>
      <c r="B813" s="1">
        <f>DATE(2011,5,1) + TIME(4,24,43)</f>
        <v>40664.183831018519</v>
      </c>
      <c r="C813">
        <v>80</v>
      </c>
      <c r="D813">
        <v>61.540527343999997</v>
      </c>
      <c r="E813">
        <v>40</v>
      </c>
      <c r="F813">
        <v>39.942966460999997</v>
      </c>
      <c r="G813">
        <v>1336.4625243999999</v>
      </c>
      <c r="H813">
        <v>1334.5076904</v>
      </c>
      <c r="I813">
        <v>1327.2097168</v>
      </c>
      <c r="J813">
        <v>1325.8132324000001</v>
      </c>
      <c r="K813">
        <v>1650</v>
      </c>
      <c r="L813">
        <v>0</v>
      </c>
      <c r="M813">
        <v>0</v>
      </c>
      <c r="N813">
        <v>1650</v>
      </c>
    </row>
    <row r="814" spans="1:14" x14ac:dyDescent="0.25">
      <c r="A814">
        <v>365.21124600000002</v>
      </c>
      <c r="B814" s="1">
        <f>DATE(2011,5,1) + TIME(5,4,11)</f>
        <v>40664.211238425924</v>
      </c>
      <c r="C814">
        <v>80</v>
      </c>
      <c r="D814">
        <v>62.259433745999999</v>
      </c>
      <c r="E814">
        <v>40</v>
      </c>
      <c r="F814">
        <v>39.940086364999999</v>
      </c>
      <c r="G814">
        <v>1336.4765625</v>
      </c>
      <c r="H814">
        <v>1334.5245361</v>
      </c>
      <c r="I814">
        <v>1327.2099608999999</v>
      </c>
      <c r="J814">
        <v>1325.8133545000001</v>
      </c>
      <c r="K814">
        <v>1650</v>
      </c>
      <c r="L814">
        <v>0</v>
      </c>
      <c r="M814">
        <v>0</v>
      </c>
      <c r="N814">
        <v>1650</v>
      </c>
    </row>
    <row r="815" spans="1:14" x14ac:dyDescent="0.25">
      <c r="A815">
        <v>365.23917799999998</v>
      </c>
      <c r="B815" s="1">
        <f>DATE(2011,5,1) + TIME(5,44,24)</f>
        <v>40664.239166666666</v>
      </c>
      <c r="C815">
        <v>80</v>
      </c>
      <c r="D815">
        <v>62.969188690000003</v>
      </c>
      <c r="E815">
        <v>40</v>
      </c>
      <c r="F815">
        <v>39.937168120999999</v>
      </c>
      <c r="G815">
        <v>1336.4929199000001</v>
      </c>
      <c r="H815">
        <v>1334.5426024999999</v>
      </c>
      <c r="I815">
        <v>1327.2100829999999</v>
      </c>
      <c r="J815">
        <v>1325.8133545000001</v>
      </c>
      <c r="K815">
        <v>1650</v>
      </c>
      <c r="L815">
        <v>0</v>
      </c>
      <c r="M815">
        <v>0</v>
      </c>
      <c r="N815">
        <v>1650</v>
      </c>
    </row>
    <row r="816" spans="1:14" x14ac:dyDescent="0.25">
      <c r="A816">
        <v>365.26765</v>
      </c>
      <c r="B816" s="1">
        <f>DATE(2011,5,1) + TIME(6,25,24)</f>
        <v>40664.267638888887</v>
      </c>
      <c r="C816">
        <v>80</v>
      </c>
      <c r="D816">
        <v>63.669551849000001</v>
      </c>
      <c r="E816">
        <v>40</v>
      </c>
      <c r="F816">
        <v>39.934211730999998</v>
      </c>
      <c r="G816">
        <v>1336.5115966999999</v>
      </c>
      <c r="H816">
        <v>1334.5621338000001</v>
      </c>
      <c r="I816">
        <v>1327.2102050999999</v>
      </c>
      <c r="J816">
        <v>1325.8133545000001</v>
      </c>
      <c r="K816">
        <v>1650</v>
      </c>
      <c r="L816">
        <v>0</v>
      </c>
      <c r="M816">
        <v>0</v>
      </c>
      <c r="N816">
        <v>1650</v>
      </c>
    </row>
    <row r="817" spans="1:14" x14ac:dyDescent="0.25">
      <c r="A817">
        <v>365.29668400000003</v>
      </c>
      <c r="B817" s="1">
        <f>DATE(2011,5,1) + TIME(7,7,13)</f>
        <v>40664.296678240738</v>
      </c>
      <c r="C817">
        <v>80</v>
      </c>
      <c r="D817">
        <v>64.360244750999996</v>
      </c>
      <c r="E817">
        <v>40</v>
      </c>
      <c r="F817">
        <v>39.931213378999999</v>
      </c>
      <c r="G817">
        <v>1336.5324707</v>
      </c>
      <c r="H817">
        <v>1334.5828856999999</v>
      </c>
      <c r="I817">
        <v>1327.2104492000001</v>
      </c>
      <c r="J817">
        <v>1325.8133545000001</v>
      </c>
      <c r="K817">
        <v>1650</v>
      </c>
      <c r="L817">
        <v>0</v>
      </c>
      <c r="M817">
        <v>0</v>
      </c>
      <c r="N817">
        <v>1650</v>
      </c>
    </row>
    <row r="818" spans="1:14" x14ac:dyDescent="0.25">
      <c r="A818">
        <v>365.326303</v>
      </c>
      <c r="B818" s="1">
        <f>DATE(2011,5,1) + TIME(7,49,52)</f>
        <v>40664.326296296298</v>
      </c>
      <c r="C818">
        <v>80</v>
      </c>
      <c r="D818">
        <v>65.040977478000002</v>
      </c>
      <c r="E818">
        <v>40</v>
      </c>
      <c r="F818">
        <v>39.928176880000002</v>
      </c>
      <c r="G818">
        <v>1336.5554199000001</v>
      </c>
      <c r="H818">
        <v>1334.6048584</v>
      </c>
      <c r="I818">
        <v>1327.2105713000001</v>
      </c>
      <c r="J818">
        <v>1325.8133545000001</v>
      </c>
      <c r="K818">
        <v>1650</v>
      </c>
      <c r="L818">
        <v>0</v>
      </c>
      <c r="M818">
        <v>0</v>
      </c>
      <c r="N818">
        <v>1650</v>
      </c>
    </row>
    <row r="819" spans="1:14" x14ac:dyDescent="0.25">
      <c r="A819">
        <v>365.35653200000002</v>
      </c>
      <c r="B819" s="1">
        <f>DATE(2011,5,1) + TIME(8,33,24)</f>
        <v>40664.356527777774</v>
      </c>
      <c r="C819">
        <v>80</v>
      </c>
      <c r="D819">
        <v>65.71156311</v>
      </c>
      <c r="E819">
        <v>40</v>
      </c>
      <c r="F819">
        <v>39.925098419000001</v>
      </c>
      <c r="G819">
        <v>1336.5804443</v>
      </c>
      <c r="H819">
        <v>1334.6279297000001</v>
      </c>
      <c r="I819">
        <v>1327.2106934000001</v>
      </c>
      <c r="J819">
        <v>1325.8132324000001</v>
      </c>
      <c r="K819">
        <v>1650</v>
      </c>
      <c r="L819">
        <v>0</v>
      </c>
      <c r="M819">
        <v>0</v>
      </c>
      <c r="N819">
        <v>1650</v>
      </c>
    </row>
    <row r="820" spans="1:14" x14ac:dyDescent="0.25">
      <c r="A820">
        <v>365.38739700000002</v>
      </c>
      <c r="B820" s="1">
        <f>DATE(2011,5,1) + TIME(9,17,51)</f>
        <v>40664.387395833335</v>
      </c>
      <c r="C820">
        <v>80</v>
      </c>
      <c r="D820">
        <v>66.371467589999995</v>
      </c>
      <c r="E820">
        <v>40</v>
      </c>
      <c r="F820">
        <v>39.921974182</v>
      </c>
      <c r="G820">
        <v>1336.6074219</v>
      </c>
      <c r="H820">
        <v>1334.6520995999999</v>
      </c>
      <c r="I820">
        <v>1327.2108154</v>
      </c>
      <c r="J820">
        <v>1325.8132324000001</v>
      </c>
      <c r="K820">
        <v>1650</v>
      </c>
      <c r="L820">
        <v>0</v>
      </c>
      <c r="M820">
        <v>0</v>
      </c>
      <c r="N820">
        <v>1650</v>
      </c>
    </row>
    <row r="821" spans="1:14" x14ac:dyDescent="0.25">
      <c r="A821">
        <v>365.41892200000001</v>
      </c>
      <c r="B821" s="1">
        <f>DATE(2011,5,1) + TIME(10,3,14)</f>
        <v>40664.418912037036</v>
      </c>
      <c r="C821">
        <v>80</v>
      </c>
      <c r="D821">
        <v>67.020202636999997</v>
      </c>
      <c r="E821">
        <v>40</v>
      </c>
      <c r="F821">
        <v>39.918807983000001</v>
      </c>
      <c r="G821">
        <v>1336.6361084</v>
      </c>
      <c r="H821">
        <v>1334.6773682</v>
      </c>
      <c r="I821">
        <v>1327.2109375</v>
      </c>
      <c r="J821">
        <v>1325.8131103999999</v>
      </c>
      <c r="K821">
        <v>1650</v>
      </c>
      <c r="L821">
        <v>0</v>
      </c>
      <c r="M821">
        <v>0</v>
      </c>
      <c r="N821">
        <v>1650</v>
      </c>
    </row>
    <row r="822" spans="1:14" x14ac:dyDescent="0.25">
      <c r="A822">
        <v>365.451142</v>
      </c>
      <c r="B822" s="1">
        <f>DATE(2011,5,1) + TIME(10,49,38)</f>
        <v>40664.45113425926</v>
      </c>
      <c r="C822">
        <v>80</v>
      </c>
      <c r="D822">
        <v>67.657478333</v>
      </c>
      <c r="E822">
        <v>40</v>
      </c>
      <c r="F822">
        <v>39.915588378999999</v>
      </c>
      <c r="G822">
        <v>1336.666626</v>
      </c>
      <c r="H822">
        <v>1334.7034911999999</v>
      </c>
      <c r="I822">
        <v>1327.2110596</v>
      </c>
      <c r="J822">
        <v>1325.8131103999999</v>
      </c>
      <c r="K822">
        <v>1650</v>
      </c>
      <c r="L822">
        <v>0</v>
      </c>
      <c r="M822">
        <v>0</v>
      </c>
      <c r="N822">
        <v>1650</v>
      </c>
    </row>
    <row r="823" spans="1:14" x14ac:dyDescent="0.25">
      <c r="A823">
        <v>365.48409099999998</v>
      </c>
      <c r="B823" s="1">
        <f>DATE(2011,5,1) + TIME(11,37,5)</f>
        <v>40664.484085648146</v>
      </c>
      <c r="C823">
        <v>80</v>
      </c>
      <c r="D823">
        <v>68.282875060999999</v>
      </c>
      <c r="E823">
        <v>40</v>
      </c>
      <c r="F823">
        <v>39.912319183000001</v>
      </c>
      <c r="G823">
        <v>1336.6987305</v>
      </c>
      <c r="H823">
        <v>1334.7307129000001</v>
      </c>
      <c r="I823">
        <v>1327.2111815999999</v>
      </c>
      <c r="J823">
        <v>1325.8129882999999</v>
      </c>
      <c r="K823">
        <v>1650</v>
      </c>
      <c r="L823">
        <v>0</v>
      </c>
      <c r="M823">
        <v>0</v>
      </c>
      <c r="N823">
        <v>1650</v>
      </c>
    </row>
    <row r="824" spans="1:14" x14ac:dyDescent="0.25">
      <c r="A824">
        <v>365.51780400000001</v>
      </c>
      <c r="B824" s="1">
        <f>DATE(2011,5,1) + TIME(12,25,38)</f>
        <v>40664.517800925925</v>
      </c>
      <c r="C824">
        <v>80</v>
      </c>
      <c r="D824">
        <v>68.895927428999997</v>
      </c>
      <c r="E824">
        <v>40</v>
      </c>
      <c r="F824">
        <v>39.909000397</v>
      </c>
      <c r="G824">
        <v>1336.7325439000001</v>
      </c>
      <c r="H824">
        <v>1334.7586670000001</v>
      </c>
      <c r="I824">
        <v>1327.2113036999999</v>
      </c>
      <c r="J824">
        <v>1325.8128661999999</v>
      </c>
      <c r="K824">
        <v>1650</v>
      </c>
      <c r="L824">
        <v>0</v>
      </c>
      <c r="M824">
        <v>0</v>
      </c>
      <c r="N824">
        <v>1650</v>
      </c>
    </row>
    <row r="825" spans="1:14" x14ac:dyDescent="0.25">
      <c r="A825">
        <v>365.55232000000001</v>
      </c>
      <c r="B825" s="1">
        <f>DATE(2011,5,1) + TIME(13,15,20)</f>
        <v>40664.552314814813</v>
      </c>
      <c r="C825">
        <v>80</v>
      </c>
      <c r="D825">
        <v>69.496177673000005</v>
      </c>
      <c r="E825">
        <v>40</v>
      </c>
      <c r="F825">
        <v>39.905620575</v>
      </c>
      <c r="G825">
        <v>1336.7677002</v>
      </c>
      <c r="H825">
        <v>1334.7875977000001</v>
      </c>
      <c r="I825">
        <v>1327.2114257999999</v>
      </c>
      <c r="J825">
        <v>1325.8127440999999</v>
      </c>
      <c r="K825">
        <v>1650</v>
      </c>
      <c r="L825">
        <v>0</v>
      </c>
      <c r="M825">
        <v>0</v>
      </c>
      <c r="N825">
        <v>1650</v>
      </c>
    </row>
    <row r="826" spans="1:14" x14ac:dyDescent="0.25">
      <c r="A826">
        <v>365.58767999999998</v>
      </c>
      <c r="B826" s="1">
        <f>DATE(2011,5,1) + TIME(14,6,15)</f>
        <v>40664.587673611109</v>
      </c>
      <c r="C826">
        <v>80</v>
      </c>
      <c r="D826">
        <v>70.083091736</v>
      </c>
      <c r="E826">
        <v>40</v>
      </c>
      <c r="F826">
        <v>39.902183532999999</v>
      </c>
      <c r="G826">
        <v>1336.8043213000001</v>
      </c>
      <c r="H826">
        <v>1334.8171387</v>
      </c>
      <c r="I826">
        <v>1327.2115478999999</v>
      </c>
      <c r="J826">
        <v>1325.8126221</v>
      </c>
      <c r="K826">
        <v>1650</v>
      </c>
      <c r="L826">
        <v>0</v>
      </c>
      <c r="M826">
        <v>0</v>
      </c>
      <c r="N826">
        <v>1650</v>
      </c>
    </row>
    <row r="827" spans="1:14" x14ac:dyDescent="0.25">
      <c r="A827">
        <v>365.62392899999998</v>
      </c>
      <c r="B827" s="1">
        <f>DATE(2011,5,1) + TIME(14,58,27)</f>
        <v>40664.623923611114</v>
      </c>
      <c r="C827">
        <v>80</v>
      </c>
      <c r="D827">
        <v>70.655883789000001</v>
      </c>
      <c r="E827">
        <v>40</v>
      </c>
      <c r="F827">
        <v>39.898685454999999</v>
      </c>
      <c r="G827">
        <v>1336.8421631000001</v>
      </c>
      <c r="H827">
        <v>1334.8475341999999</v>
      </c>
      <c r="I827">
        <v>1327.2115478999999</v>
      </c>
      <c r="J827">
        <v>1325.8125</v>
      </c>
      <c r="K827">
        <v>1650</v>
      </c>
      <c r="L827">
        <v>0</v>
      </c>
      <c r="M827">
        <v>0</v>
      </c>
      <c r="N827">
        <v>1650</v>
      </c>
    </row>
    <row r="828" spans="1:14" x14ac:dyDescent="0.25">
      <c r="A828">
        <v>365.66111599999999</v>
      </c>
      <c r="B828" s="1">
        <f>DATE(2011,5,1) + TIME(15,52,0)</f>
        <v>40664.661111111112</v>
      </c>
      <c r="C828">
        <v>80</v>
      </c>
      <c r="D828">
        <v>71.214401245000005</v>
      </c>
      <c r="E828">
        <v>40</v>
      </c>
      <c r="F828">
        <v>39.895122528000002</v>
      </c>
      <c r="G828">
        <v>1336.8812256000001</v>
      </c>
      <c r="H828">
        <v>1334.8785399999999</v>
      </c>
      <c r="I828">
        <v>1327.2116699000001</v>
      </c>
      <c r="J828">
        <v>1325.8123779</v>
      </c>
      <c r="K828">
        <v>1650</v>
      </c>
      <c r="L828">
        <v>0</v>
      </c>
      <c r="M828">
        <v>0</v>
      </c>
      <c r="N828">
        <v>1650</v>
      </c>
    </row>
    <row r="829" spans="1:14" x14ac:dyDescent="0.25">
      <c r="A829">
        <v>365.69929500000001</v>
      </c>
      <c r="B829" s="1">
        <f>DATE(2011,5,1) + TIME(16,46,59)</f>
        <v>40664.699293981481</v>
      </c>
      <c r="C829">
        <v>80</v>
      </c>
      <c r="D829">
        <v>71.758171082000004</v>
      </c>
      <c r="E829">
        <v>40</v>
      </c>
      <c r="F829">
        <v>39.891490935999997</v>
      </c>
      <c r="G829">
        <v>1336.9215088000001</v>
      </c>
      <c r="H829">
        <v>1334.9101562000001</v>
      </c>
      <c r="I829">
        <v>1327.2117920000001</v>
      </c>
      <c r="J829">
        <v>1325.8122559000001</v>
      </c>
      <c r="K829">
        <v>1650</v>
      </c>
      <c r="L829">
        <v>0</v>
      </c>
      <c r="M829">
        <v>0</v>
      </c>
      <c r="N829">
        <v>1650</v>
      </c>
    </row>
    <row r="830" spans="1:14" x14ac:dyDescent="0.25">
      <c r="A830">
        <v>365.73852399999998</v>
      </c>
      <c r="B830" s="1">
        <f>DATE(2011,5,1) + TIME(17,43,28)</f>
        <v>40664.738518518519</v>
      </c>
      <c r="C830">
        <v>80</v>
      </c>
      <c r="D830">
        <v>72.286705017000003</v>
      </c>
      <c r="E830">
        <v>40</v>
      </c>
      <c r="F830">
        <v>39.887786865000002</v>
      </c>
      <c r="G830">
        <v>1336.9628906</v>
      </c>
      <c r="H830">
        <v>1334.9423827999999</v>
      </c>
      <c r="I830">
        <v>1327.2117920000001</v>
      </c>
      <c r="J830">
        <v>1325.8120117000001</v>
      </c>
      <c r="K830">
        <v>1650</v>
      </c>
      <c r="L830">
        <v>0</v>
      </c>
      <c r="M830">
        <v>0</v>
      </c>
      <c r="N830">
        <v>1650</v>
      </c>
    </row>
    <row r="831" spans="1:14" x14ac:dyDescent="0.25">
      <c r="A831">
        <v>365.778885</v>
      </c>
      <c r="B831" s="1">
        <f>DATE(2011,5,1) + TIME(18,41,35)</f>
        <v>40664.778877314813</v>
      </c>
      <c r="C831">
        <v>80</v>
      </c>
      <c r="D831">
        <v>72.799743652000004</v>
      </c>
      <c r="E831">
        <v>40</v>
      </c>
      <c r="F831">
        <v>39.884002686000002</v>
      </c>
      <c r="G831">
        <v>1337.0051269999999</v>
      </c>
      <c r="H831">
        <v>1334.9750977000001</v>
      </c>
      <c r="I831">
        <v>1327.2119141000001</v>
      </c>
      <c r="J831">
        <v>1325.8118896000001</v>
      </c>
      <c r="K831">
        <v>1650</v>
      </c>
      <c r="L831">
        <v>0</v>
      </c>
      <c r="M831">
        <v>0</v>
      </c>
      <c r="N831">
        <v>1650</v>
      </c>
    </row>
    <row r="832" spans="1:14" x14ac:dyDescent="0.25">
      <c r="A832">
        <v>365.82043199999998</v>
      </c>
      <c r="B832" s="1">
        <f>DATE(2011,5,1) + TIME(19,41,25)</f>
        <v>40664.820428240739</v>
      </c>
      <c r="C832">
        <v>80</v>
      </c>
      <c r="D832">
        <v>73.296615600999999</v>
      </c>
      <c r="E832">
        <v>40</v>
      </c>
      <c r="F832">
        <v>39.880134583</v>
      </c>
      <c r="G832">
        <v>1337.0482178</v>
      </c>
      <c r="H832">
        <v>1335.0081786999999</v>
      </c>
      <c r="I832">
        <v>1327.2119141000001</v>
      </c>
      <c r="J832">
        <v>1325.8116454999999</v>
      </c>
      <c r="K832">
        <v>1650</v>
      </c>
      <c r="L832">
        <v>0</v>
      </c>
      <c r="M832">
        <v>0</v>
      </c>
      <c r="N832">
        <v>1650</v>
      </c>
    </row>
    <row r="833" spans="1:14" x14ac:dyDescent="0.25">
      <c r="A833">
        <v>365.86324200000001</v>
      </c>
      <c r="B833" s="1">
        <f>DATE(2011,5,1) + TIME(20,43,4)</f>
        <v>40664.863240740742</v>
      </c>
      <c r="C833">
        <v>80</v>
      </c>
      <c r="D833">
        <v>73.776855468999997</v>
      </c>
      <c r="E833">
        <v>40</v>
      </c>
      <c r="F833">
        <v>39.876182556000003</v>
      </c>
      <c r="G833">
        <v>1337.0922852000001</v>
      </c>
      <c r="H833">
        <v>1335.0417480000001</v>
      </c>
      <c r="I833">
        <v>1327.2120361</v>
      </c>
      <c r="J833">
        <v>1325.8114014</v>
      </c>
      <c r="K833">
        <v>1650</v>
      </c>
      <c r="L833">
        <v>0</v>
      </c>
      <c r="M833">
        <v>0</v>
      </c>
      <c r="N833">
        <v>1650</v>
      </c>
    </row>
    <row r="834" spans="1:14" x14ac:dyDescent="0.25">
      <c r="A834">
        <v>365.90740199999999</v>
      </c>
      <c r="B834" s="1">
        <f>DATE(2011,5,1) + TIME(21,46,39)</f>
        <v>40664.907395833332</v>
      </c>
      <c r="C834">
        <v>80</v>
      </c>
      <c r="D834">
        <v>74.240043639999996</v>
      </c>
      <c r="E834">
        <v>40</v>
      </c>
      <c r="F834">
        <v>39.872135161999999</v>
      </c>
      <c r="G834">
        <v>1337.1369629000001</v>
      </c>
      <c r="H834">
        <v>1335.0756836</v>
      </c>
      <c r="I834">
        <v>1327.2120361</v>
      </c>
      <c r="J834">
        <v>1325.8112793</v>
      </c>
      <c r="K834">
        <v>1650</v>
      </c>
      <c r="L834">
        <v>0</v>
      </c>
      <c r="M834">
        <v>0</v>
      </c>
      <c r="N834">
        <v>1650</v>
      </c>
    </row>
    <row r="835" spans="1:14" x14ac:dyDescent="0.25">
      <c r="A835">
        <v>365.95300600000002</v>
      </c>
      <c r="B835" s="1">
        <f>DATE(2011,5,1) + TIME(22,52,19)</f>
        <v>40664.952997685185</v>
      </c>
      <c r="C835">
        <v>80</v>
      </c>
      <c r="D835">
        <v>74.685775757000002</v>
      </c>
      <c r="E835">
        <v>40</v>
      </c>
      <c r="F835">
        <v>39.867984772</v>
      </c>
      <c r="G835">
        <v>1337.182251</v>
      </c>
      <c r="H835">
        <v>1335.1098632999999</v>
      </c>
      <c r="I835">
        <v>1327.2121582</v>
      </c>
      <c r="J835">
        <v>1325.8110352000001</v>
      </c>
      <c r="K835">
        <v>1650</v>
      </c>
      <c r="L835">
        <v>0</v>
      </c>
      <c r="M835">
        <v>0</v>
      </c>
      <c r="N835">
        <v>1650</v>
      </c>
    </row>
    <row r="836" spans="1:14" x14ac:dyDescent="0.25">
      <c r="A836">
        <v>366.00015999999999</v>
      </c>
      <c r="B836" s="1">
        <f>DATE(2011,5,2) + TIME(0,0,13)</f>
        <v>40665.000150462962</v>
      </c>
      <c r="C836">
        <v>80</v>
      </c>
      <c r="D836">
        <v>75.113609314000001</v>
      </c>
      <c r="E836">
        <v>40</v>
      </c>
      <c r="F836">
        <v>39.863731383999998</v>
      </c>
      <c r="G836">
        <v>1337.2282714999999</v>
      </c>
      <c r="H836">
        <v>1335.1442870999999</v>
      </c>
      <c r="I836">
        <v>1327.2121582</v>
      </c>
      <c r="J836">
        <v>1325.8107910000001</v>
      </c>
      <c r="K836">
        <v>1650</v>
      </c>
      <c r="L836">
        <v>0</v>
      </c>
      <c r="M836">
        <v>0</v>
      </c>
      <c r="N836">
        <v>1650</v>
      </c>
    </row>
    <row r="837" spans="1:14" x14ac:dyDescent="0.25">
      <c r="A837">
        <v>366.04898500000002</v>
      </c>
      <c r="B837" s="1">
        <f>DATE(2011,5,2) + TIME(1,10,32)</f>
        <v>40665.048981481479</v>
      </c>
      <c r="C837">
        <v>80</v>
      </c>
      <c r="D837">
        <v>75.523048400999997</v>
      </c>
      <c r="E837">
        <v>40</v>
      </c>
      <c r="F837">
        <v>39.859363555999998</v>
      </c>
      <c r="G837">
        <v>1337.2746582</v>
      </c>
      <c r="H837">
        <v>1335.1789550999999</v>
      </c>
      <c r="I837">
        <v>1327.2121582</v>
      </c>
      <c r="J837">
        <v>1325.8105469</v>
      </c>
      <c r="K837">
        <v>1650</v>
      </c>
      <c r="L837">
        <v>0</v>
      </c>
      <c r="M837">
        <v>0</v>
      </c>
      <c r="N837">
        <v>1650</v>
      </c>
    </row>
    <row r="838" spans="1:14" x14ac:dyDescent="0.25">
      <c r="A838">
        <v>366.09960599999999</v>
      </c>
      <c r="B838" s="1">
        <f>DATE(2011,5,2) + TIME(2,23,25)</f>
        <v>40665.099594907406</v>
      </c>
      <c r="C838">
        <v>80</v>
      </c>
      <c r="D838">
        <v>75.913970946999996</v>
      </c>
      <c r="E838">
        <v>40</v>
      </c>
      <c r="F838">
        <v>39.854869843000003</v>
      </c>
      <c r="G838">
        <v>1337.3215332</v>
      </c>
      <c r="H838">
        <v>1335.2136230000001</v>
      </c>
      <c r="I838">
        <v>1327.2121582</v>
      </c>
      <c r="J838">
        <v>1325.8103027</v>
      </c>
      <c r="K838">
        <v>1650</v>
      </c>
      <c r="L838">
        <v>0</v>
      </c>
      <c r="M838">
        <v>0</v>
      </c>
      <c r="N838">
        <v>1650</v>
      </c>
    </row>
    <row r="839" spans="1:14" x14ac:dyDescent="0.25">
      <c r="A839">
        <v>366.15195899999998</v>
      </c>
      <c r="B839" s="1">
        <f>DATE(2011,5,2) + TIME(3,38,49)</f>
        <v>40665.151956018519</v>
      </c>
      <c r="C839">
        <v>80</v>
      </c>
      <c r="D839">
        <v>76.284767150999997</v>
      </c>
      <c r="E839">
        <v>40</v>
      </c>
      <c r="F839">
        <v>39.850261688000003</v>
      </c>
      <c r="G839">
        <v>1337.3687743999999</v>
      </c>
      <c r="H839">
        <v>1335.2485352000001</v>
      </c>
      <c r="I839">
        <v>1327.2122803</v>
      </c>
      <c r="J839">
        <v>1325.8100586</v>
      </c>
      <c r="K839">
        <v>1650</v>
      </c>
      <c r="L839">
        <v>0</v>
      </c>
      <c r="M839">
        <v>0</v>
      </c>
      <c r="N839">
        <v>1650</v>
      </c>
    </row>
    <row r="840" spans="1:14" x14ac:dyDescent="0.25">
      <c r="A840">
        <v>366.20614399999999</v>
      </c>
      <c r="B840" s="1">
        <f>DATE(2011,5,2) + TIME(4,56,50)</f>
        <v>40665.206134259257</v>
      </c>
      <c r="C840">
        <v>80</v>
      </c>
      <c r="D840">
        <v>76.635192871000001</v>
      </c>
      <c r="E840">
        <v>40</v>
      </c>
      <c r="F840">
        <v>39.845531463999997</v>
      </c>
      <c r="G840">
        <v>1337.4160156</v>
      </c>
      <c r="H840">
        <v>1335.2833252</v>
      </c>
      <c r="I840">
        <v>1327.2122803</v>
      </c>
      <c r="J840">
        <v>1325.8098144999999</v>
      </c>
      <c r="K840">
        <v>1650</v>
      </c>
      <c r="L840">
        <v>0</v>
      </c>
      <c r="M840">
        <v>0</v>
      </c>
      <c r="N840">
        <v>1650</v>
      </c>
    </row>
    <row r="841" spans="1:14" x14ac:dyDescent="0.25">
      <c r="A841">
        <v>366.26228500000002</v>
      </c>
      <c r="B841" s="1">
        <f>DATE(2011,5,2) + TIME(6,17,41)</f>
        <v>40665.262280092589</v>
      </c>
      <c r="C841">
        <v>80</v>
      </c>
      <c r="D841">
        <v>76.965194702000005</v>
      </c>
      <c r="E841">
        <v>40</v>
      </c>
      <c r="F841">
        <v>39.840671538999999</v>
      </c>
      <c r="G841">
        <v>1337.4633789</v>
      </c>
      <c r="H841">
        <v>1335.3178711</v>
      </c>
      <c r="I841">
        <v>1327.2122803</v>
      </c>
      <c r="J841">
        <v>1325.8094481999999</v>
      </c>
      <c r="K841">
        <v>1650</v>
      </c>
      <c r="L841">
        <v>0</v>
      </c>
      <c r="M841">
        <v>0</v>
      </c>
      <c r="N841">
        <v>1650</v>
      </c>
    </row>
    <row r="842" spans="1:14" x14ac:dyDescent="0.25">
      <c r="A842">
        <v>366.32052099999999</v>
      </c>
      <c r="B842" s="1">
        <f>DATE(2011,5,2) + TIME(7,41,32)</f>
        <v>40665.320509259262</v>
      </c>
      <c r="C842">
        <v>80</v>
      </c>
      <c r="D842">
        <v>77.274787903000004</v>
      </c>
      <c r="E842">
        <v>40</v>
      </c>
      <c r="F842">
        <v>39.835674286</v>
      </c>
      <c r="G842">
        <v>1337.5104980000001</v>
      </c>
      <c r="H842">
        <v>1335.3521728999999</v>
      </c>
      <c r="I842">
        <v>1327.2122803</v>
      </c>
      <c r="J842">
        <v>1325.8092041</v>
      </c>
      <c r="K842">
        <v>1650</v>
      </c>
      <c r="L842">
        <v>0</v>
      </c>
      <c r="M842">
        <v>0</v>
      </c>
      <c r="N842">
        <v>1650</v>
      </c>
    </row>
    <row r="843" spans="1:14" x14ac:dyDescent="0.25">
      <c r="A843">
        <v>366.38100300000002</v>
      </c>
      <c r="B843" s="1">
        <f>DATE(2011,5,2) + TIME(9,8,38)</f>
        <v>40665.380995370368</v>
      </c>
      <c r="C843">
        <v>80</v>
      </c>
      <c r="D843">
        <v>77.564079285000005</v>
      </c>
      <c r="E843">
        <v>40</v>
      </c>
      <c r="F843">
        <v>39.830528258999998</v>
      </c>
      <c r="G843">
        <v>1337.5574951000001</v>
      </c>
      <c r="H843">
        <v>1335.3862305</v>
      </c>
      <c r="I843">
        <v>1327.2122803</v>
      </c>
      <c r="J843">
        <v>1325.8089600000001</v>
      </c>
      <c r="K843">
        <v>1650</v>
      </c>
      <c r="L843">
        <v>0</v>
      </c>
      <c r="M843">
        <v>0</v>
      </c>
      <c r="N843">
        <v>1650</v>
      </c>
    </row>
    <row r="844" spans="1:14" x14ac:dyDescent="0.25">
      <c r="A844">
        <v>366.44390199999998</v>
      </c>
      <c r="B844" s="1">
        <f>DATE(2011,5,2) + TIME(10,39,13)</f>
        <v>40665.44390046296</v>
      </c>
      <c r="C844">
        <v>80</v>
      </c>
      <c r="D844">
        <v>77.833251953000001</v>
      </c>
      <c r="E844">
        <v>40</v>
      </c>
      <c r="F844">
        <v>39.825225830000001</v>
      </c>
      <c r="G844">
        <v>1337.6040039</v>
      </c>
      <c r="H844">
        <v>1335.4199219</v>
      </c>
      <c r="I844">
        <v>1327.2122803</v>
      </c>
      <c r="J844">
        <v>1325.8085937999999</v>
      </c>
      <c r="K844">
        <v>1650</v>
      </c>
      <c r="L844">
        <v>0</v>
      </c>
      <c r="M844">
        <v>0</v>
      </c>
      <c r="N844">
        <v>1650</v>
      </c>
    </row>
    <row r="845" spans="1:14" x14ac:dyDescent="0.25">
      <c r="A845">
        <v>366.50940700000001</v>
      </c>
      <c r="B845" s="1">
        <f>DATE(2011,5,2) + TIME(12,13,32)</f>
        <v>40665.509398148148</v>
      </c>
      <c r="C845">
        <v>80</v>
      </c>
      <c r="D845">
        <v>78.082588196000003</v>
      </c>
      <c r="E845">
        <v>40</v>
      </c>
      <c r="F845">
        <v>39.819751740000001</v>
      </c>
      <c r="G845">
        <v>1337.6502685999999</v>
      </c>
      <c r="H845">
        <v>1335.4532471</v>
      </c>
      <c r="I845">
        <v>1327.2122803</v>
      </c>
      <c r="J845">
        <v>1325.8083495999999</v>
      </c>
      <c r="K845">
        <v>1650</v>
      </c>
      <c r="L845">
        <v>0</v>
      </c>
      <c r="M845">
        <v>0</v>
      </c>
      <c r="N845">
        <v>1650</v>
      </c>
    </row>
    <row r="846" spans="1:14" x14ac:dyDescent="0.25">
      <c r="A846">
        <v>366.57772999999997</v>
      </c>
      <c r="B846" s="1">
        <f>DATE(2011,5,2) + TIME(13,51,55)</f>
        <v>40665.577719907407</v>
      </c>
      <c r="C846">
        <v>80</v>
      </c>
      <c r="D846">
        <v>78.312438964999998</v>
      </c>
      <c r="E846">
        <v>40</v>
      </c>
      <c r="F846">
        <v>39.814098358000003</v>
      </c>
      <c r="G846">
        <v>1337.6959228999999</v>
      </c>
      <c r="H846">
        <v>1335.4859618999999</v>
      </c>
      <c r="I846">
        <v>1327.2122803</v>
      </c>
      <c r="J846">
        <v>1325.8079834</v>
      </c>
      <c r="K846">
        <v>1650</v>
      </c>
      <c r="L846">
        <v>0</v>
      </c>
      <c r="M846">
        <v>0</v>
      </c>
      <c r="N846">
        <v>1650</v>
      </c>
    </row>
    <row r="847" spans="1:14" x14ac:dyDescent="0.25">
      <c r="A847">
        <v>366.649111</v>
      </c>
      <c r="B847" s="1">
        <f>DATE(2011,5,2) + TIME(15,34,43)</f>
        <v>40665.649108796293</v>
      </c>
      <c r="C847">
        <v>80</v>
      </c>
      <c r="D847">
        <v>78.523246764999996</v>
      </c>
      <c r="E847">
        <v>40</v>
      </c>
      <c r="F847">
        <v>39.808246613000001</v>
      </c>
      <c r="G847">
        <v>1337.7409668</v>
      </c>
      <c r="H847">
        <v>1335.5183105000001</v>
      </c>
      <c r="I847">
        <v>1327.2121582</v>
      </c>
      <c r="J847">
        <v>1325.8076172000001</v>
      </c>
      <c r="K847">
        <v>1650</v>
      </c>
      <c r="L847">
        <v>0</v>
      </c>
      <c r="M847">
        <v>0</v>
      </c>
      <c r="N847">
        <v>1650</v>
      </c>
    </row>
    <row r="848" spans="1:14" x14ac:dyDescent="0.25">
      <c r="A848">
        <v>366.72382099999999</v>
      </c>
      <c r="B848" s="1">
        <f>DATE(2011,5,2) + TIME(17,22,18)</f>
        <v>40665.723819444444</v>
      </c>
      <c r="C848">
        <v>80</v>
      </c>
      <c r="D848">
        <v>78.715545653999996</v>
      </c>
      <c r="E848">
        <v>40</v>
      </c>
      <c r="F848">
        <v>39.802177428999997</v>
      </c>
      <c r="G848">
        <v>1337.7852783000001</v>
      </c>
      <c r="H848">
        <v>1335.5499268000001</v>
      </c>
      <c r="I848">
        <v>1327.2121582</v>
      </c>
      <c r="J848">
        <v>1325.807251</v>
      </c>
      <c r="K848">
        <v>1650</v>
      </c>
      <c r="L848">
        <v>0</v>
      </c>
      <c r="M848">
        <v>0</v>
      </c>
      <c r="N848">
        <v>1650</v>
      </c>
    </row>
    <row r="849" spans="1:14" x14ac:dyDescent="0.25">
      <c r="A849">
        <v>366.80222600000002</v>
      </c>
      <c r="B849" s="1">
        <f>DATE(2011,5,2) + TIME(19,15,12)</f>
        <v>40665.802222222221</v>
      </c>
      <c r="C849">
        <v>80</v>
      </c>
      <c r="D849">
        <v>78.890045165999993</v>
      </c>
      <c r="E849">
        <v>40</v>
      </c>
      <c r="F849">
        <v>39.795875549000002</v>
      </c>
      <c r="G849">
        <v>1337.8288574000001</v>
      </c>
      <c r="H849">
        <v>1335.5809326000001</v>
      </c>
      <c r="I849">
        <v>1327.2121582</v>
      </c>
      <c r="J849">
        <v>1325.8068848</v>
      </c>
      <c r="K849">
        <v>1650</v>
      </c>
      <c r="L849">
        <v>0</v>
      </c>
      <c r="M849">
        <v>0</v>
      </c>
      <c r="N849">
        <v>1650</v>
      </c>
    </row>
    <row r="850" spans="1:14" x14ac:dyDescent="0.25">
      <c r="A850">
        <v>366.884638</v>
      </c>
      <c r="B850" s="1">
        <f>DATE(2011,5,2) + TIME(21,13,52)</f>
        <v>40665.884629629632</v>
      </c>
      <c r="C850">
        <v>80</v>
      </c>
      <c r="D850">
        <v>79.047317504999995</v>
      </c>
      <c r="E850">
        <v>40</v>
      </c>
      <c r="F850">
        <v>39.789314269999998</v>
      </c>
      <c r="G850">
        <v>1337.8714600000001</v>
      </c>
      <c r="H850">
        <v>1335.6113281</v>
      </c>
      <c r="I850">
        <v>1327.2120361</v>
      </c>
      <c r="J850">
        <v>1325.8065185999999</v>
      </c>
      <c r="K850">
        <v>1650</v>
      </c>
      <c r="L850">
        <v>0</v>
      </c>
      <c r="M850">
        <v>0</v>
      </c>
      <c r="N850">
        <v>1650</v>
      </c>
    </row>
    <row r="851" spans="1:14" x14ac:dyDescent="0.25">
      <c r="A851">
        <v>366.96911499999999</v>
      </c>
      <c r="B851" s="1">
        <f>DATE(2011,5,2) + TIME(23,15,31)</f>
        <v>40665.969108796293</v>
      </c>
      <c r="C851">
        <v>80</v>
      </c>
      <c r="D851">
        <v>79.184875488000003</v>
      </c>
      <c r="E851">
        <v>40</v>
      </c>
      <c r="F851">
        <v>39.782649994000003</v>
      </c>
      <c r="G851">
        <v>1337.9132079999999</v>
      </c>
      <c r="H851">
        <v>1335.6408690999999</v>
      </c>
      <c r="I851">
        <v>1327.2119141000001</v>
      </c>
      <c r="J851">
        <v>1325.8061522999999</v>
      </c>
      <c r="K851">
        <v>1650</v>
      </c>
      <c r="L851">
        <v>0</v>
      </c>
      <c r="M851">
        <v>0</v>
      </c>
      <c r="N851">
        <v>1650</v>
      </c>
    </row>
    <row r="852" spans="1:14" x14ac:dyDescent="0.25">
      <c r="A852">
        <v>367.05440099999998</v>
      </c>
      <c r="B852" s="1">
        <f>DATE(2011,5,3) + TIME(1,18,20)</f>
        <v>40666.054398148146</v>
      </c>
      <c r="C852">
        <v>80</v>
      </c>
      <c r="D852">
        <v>79.303062439000001</v>
      </c>
      <c r="E852">
        <v>40</v>
      </c>
      <c r="F852">
        <v>39.775974273999999</v>
      </c>
      <c r="G852">
        <v>1337.9530029</v>
      </c>
      <c r="H852">
        <v>1335.6690673999999</v>
      </c>
      <c r="I852">
        <v>1327.2119141000001</v>
      </c>
      <c r="J852">
        <v>1325.8057861</v>
      </c>
      <c r="K852">
        <v>1650</v>
      </c>
      <c r="L852">
        <v>0</v>
      </c>
      <c r="M852">
        <v>0</v>
      </c>
      <c r="N852">
        <v>1650</v>
      </c>
    </row>
    <row r="853" spans="1:14" x14ac:dyDescent="0.25">
      <c r="A853">
        <v>367.14085599999999</v>
      </c>
      <c r="B853" s="1">
        <f>DATE(2011,5,3) + TIME(3,22,49)</f>
        <v>40666.140844907408</v>
      </c>
      <c r="C853">
        <v>80</v>
      </c>
      <c r="D853">
        <v>79.404678344999994</v>
      </c>
      <c r="E853">
        <v>40</v>
      </c>
      <c r="F853">
        <v>39.769260406000001</v>
      </c>
      <c r="G853">
        <v>1337.9901123</v>
      </c>
      <c r="H853">
        <v>1335.6953125</v>
      </c>
      <c r="I853">
        <v>1327.2117920000001</v>
      </c>
      <c r="J853">
        <v>1325.8052978999999</v>
      </c>
      <c r="K853">
        <v>1650</v>
      </c>
      <c r="L853">
        <v>0</v>
      </c>
      <c r="M853">
        <v>0</v>
      </c>
      <c r="N853">
        <v>1650</v>
      </c>
    </row>
    <row r="854" spans="1:14" x14ac:dyDescent="0.25">
      <c r="A854">
        <v>367.22882499999997</v>
      </c>
      <c r="B854" s="1">
        <f>DATE(2011,5,3) + TIME(5,29,30)</f>
        <v>40666.228819444441</v>
      </c>
      <c r="C854">
        <v>80</v>
      </c>
      <c r="D854">
        <v>79.492034911999994</v>
      </c>
      <c r="E854">
        <v>40</v>
      </c>
      <c r="F854">
        <v>39.762481688999998</v>
      </c>
      <c r="G854">
        <v>1338.0245361</v>
      </c>
      <c r="H854">
        <v>1335.7197266000001</v>
      </c>
      <c r="I854">
        <v>1327.2116699000001</v>
      </c>
      <c r="J854">
        <v>1325.8049315999999</v>
      </c>
      <c r="K854">
        <v>1650</v>
      </c>
      <c r="L854">
        <v>0</v>
      </c>
      <c r="M854">
        <v>0</v>
      </c>
      <c r="N854">
        <v>1650</v>
      </c>
    </row>
    <row r="855" spans="1:14" x14ac:dyDescent="0.25">
      <c r="A855">
        <v>367.31860899999998</v>
      </c>
      <c r="B855" s="1">
        <f>DATE(2011,5,3) + TIME(7,38,47)</f>
        <v>40666.318599537037</v>
      </c>
      <c r="C855">
        <v>80</v>
      </c>
      <c r="D855">
        <v>79.567039489999999</v>
      </c>
      <c r="E855">
        <v>40</v>
      </c>
      <c r="F855">
        <v>39.755619049000003</v>
      </c>
      <c r="G855">
        <v>1338.0549315999999</v>
      </c>
      <c r="H855">
        <v>1335.7413329999999</v>
      </c>
      <c r="I855">
        <v>1327.2115478999999</v>
      </c>
      <c r="J855">
        <v>1325.8045654</v>
      </c>
      <c r="K855">
        <v>1650</v>
      </c>
      <c r="L855">
        <v>0</v>
      </c>
      <c r="M855">
        <v>0</v>
      </c>
      <c r="N855">
        <v>1650</v>
      </c>
    </row>
    <row r="856" spans="1:14" x14ac:dyDescent="0.25">
      <c r="A856">
        <v>367.40956499999999</v>
      </c>
      <c r="B856" s="1">
        <f>DATE(2011,5,3) + TIME(9,49,46)</f>
        <v>40666.409560185188</v>
      </c>
      <c r="C856">
        <v>80</v>
      </c>
      <c r="D856">
        <v>79.630752563000001</v>
      </c>
      <c r="E856">
        <v>40</v>
      </c>
      <c r="F856">
        <v>39.748718261999997</v>
      </c>
      <c r="G856">
        <v>1338.0817870999999</v>
      </c>
      <c r="H856">
        <v>1335.7606201000001</v>
      </c>
      <c r="I856">
        <v>1327.2114257999999</v>
      </c>
      <c r="J856">
        <v>1325.8040771000001</v>
      </c>
      <c r="K856">
        <v>1650</v>
      </c>
      <c r="L856">
        <v>0</v>
      </c>
      <c r="M856">
        <v>0</v>
      </c>
      <c r="N856">
        <v>1650</v>
      </c>
    </row>
    <row r="857" spans="1:14" x14ac:dyDescent="0.25">
      <c r="A857">
        <v>367.50097</v>
      </c>
      <c r="B857" s="1">
        <f>DATE(2011,5,3) + TIME(12,1,23)</f>
        <v>40666.500960648147</v>
      </c>
      <c r="C857">
        <v>80</v>
      </c>
      <c r="D857">
        <v>79.684371948000006</v>
      </c>
      <c r="E857">
        <v>40</v>
      </c>
      <c r="F857">
        <v>39.741828918000003</v>
      </c>
      <c r="G857">
        <v>1338.1065673999999</v>
      </c>
      <c r="H857">
        <v>1335.7783202999999</v>
      </c>
      <c r="I857">
        <v>1327.2111815999999</v>
      </c>
      <c r="J857">
        <v>1325.8037108999999</v>
      </c>
      <c r="K857">
        <v>1650</v>
      </c>
      <c r="L857">
        <v>0</v>
      </c>
      <c r="M857">
        <v>0</v>
      </c>
      <c r="N857">
        <v>1650</v>
      </c>
    </row>
    <row r="858" spans="1:14" x14ac:dyDescent="0.25">
      <c r="A858">
        <v>367.59303999999997</v>
      </c>
      <c r="B858" s="1">
        <f>DATE(2011,5,3) + TIME(14,13,58)</f>
        <v>40666.593032407407</v>
      </c>
      <c r="C858">
        <v>80</v>
      </c>
      <c r="D858">
        <v>79.729522704999994</v>
      </c>
      <c r="E858">
        <v>40</v>
      </c>
      <c r="F858">
        <v>39.734935759999999</v>
      </c>
      <c r="G858">
        <v>1338.1292725000001</v>
      </c>
      <c r="H858">
        <v>1335.7945557</v>
      </c>
      <c r="I858">
        <v>1327.2110596</v>
      </c>
      <c r="J858">
        <v>1325.8033447</v>
      </c>
      <c r="K858">
        <v>1650</v>
      </c>
      <c r="L858">
        <v>0</v>
      </c>
      <c r="M858">
        <v>0</v>
      </c>
      <c r="N858">
        <v>1650</v>
      </c>
    </row>
    <row r="859" spans="1:14" x14ac:dyDescent="0.25">
      <c r="A859">
        <v>367.68595299999998</v>
      </c>
      <c r="B859" s="1">
        <f>DATE(2011,5,3) + TIME(16,27,46)</f>
        <v>40666.685949074075</v>
      </c>
      <c r="C859">
        <v>80</v>
      </c>
      <c r="D859">
        <v>79.767532349000007</v>
      </c>
      <c r="E859">
        <v>40</v>
      </c>
      <c r="F859">
        <v>39.728027343999997</v>
      </c>
      <c r="G859">
        <v>1338.1500243999999</v>
      </c>
      <c r="H859">
        <v>1335.8095702999999</v>
      </c>
      <c r="I859">
        <v>1327.2108154</v>
      </c>
      <c r="J859">
        <v>1325.8028564000001</v>
      </c>
      <c r="K859">
        <v>1650</v>
      </c>
      <c r="L859">
        <v>0</v>
      </c>
      <c r="M859">
        <v>0</v>
      </c>
      <c r="N859">
        <v>1650</v>
      </c>
    </row>
    <row r="860" spans="1:14" x14ac:dyDescent="0.25">
      <c r="A860">
        <v>367.77989600000001</v>
      </c>
      <c r="B860" s="1">
        <f>DATE(2011,5,3) + TIME(18,43,3)</f>
        <v>40666.779895833337</v>
      </c>
      <c r="C860">
        <v>80</v>
      </c>
      <c r="D860">
        <v>79.799537658999995</v>
      </c>
      <c r="E860">
        <v>40</v>
      </c>
      <c r="F860">
        <v>39.721088408999996</v>
      </c>
      <c r="G860">
        <v>1338.1690673999999</v>
      </c>
      <c r="H860">
        <v>1335.8233643000001</v>
      </c>
      <c r="I860">
        <v>1327.2106934000001</v>
      </c>
      <c r="J860">
        <v>1325.8024902</v>
      </c>
      <c r="K860">
        <v>1650</v>
      </c>
      <c r="L860">
        <v>0</v>
      </c>
      <c r="M860">
        <v>0</v>
      </c>
      <c r="N860">
        <v>1650</v>
      </c>
    </row>
    <row r="861" spans="1:14" x14ac:dyDescent="0.25">
      <c r="A861">
        <v>367.875067</v>
      </c>
      <c r="B861" s="1">
        <f>DATE(2011,5,3) + TIME(21,0,5)</f>
        <v>40666.875057870369</v>
      </c>
      <c r="C861">
        <v>80</v>
      </c>
      <c r="D861">
        <v>79.826461792000003</v>
      </c>
      <c r="E861">
        <v>40</v>
      </c>
      <c r="F861">
        <v>39.714107513000002</v>
      </c>
      <c r="G861">
        <v>1338.1845702999999</v>
      </c>
      <c r="H861">
        <v>1335.8348389</v>
      </c>
      <c r="I861">
        <v>1327.2104492000001</v>
      </c>
      <c r="J861">
        <v>1325.802124</v>
      </c>
      <c r="K861">
        <v>1650</v>
      </c>
      <c r="L861">
        <v>0</v>
      </c>
      <c r="M861">
        <v>0</v>
      </c>
      <c r="N861">
        <v>1650</v>
      </c>
    </row>
    <row r="862" spans="1:14" x14ac:dyDescent="0.25">
      <c r="A862">
        <v>367.97173299999997</v>
      </c>
      <c r="B862" s="1">
        <f>DATE(2011,5,3) + TIME(23,19,17)</f>
        <v>40666.971724537034</v>
      </c>
      <c r="C862">
        <v>80</v>
      </c>
      <c r="D862">
        <v>79.849098205999994</v>
      </c>
      <c r="E862">
        <v>40</v>
      </c>
      <c r="F862">
        <v>39.707061768000003</v>
      </c>
      <c r="G862">
        <v>1338.1967772999999</v>
      </c>
      <c r="H862">
        <v>1335.8439940999999</v>
      </c>
      <c r="I862">
        <v>1327.2102050999999</v>
      </c>
      <c r="J862">
        <v>1325.8016356999999</v>
      </c>
      <c r="K862">
        <v>1650</v>
      </c>
      <c r="L862">
        <v>0</v>
      </c>
      <c r="M862">
        <v>0</v>
      </c>
      <c r="N862">
        <v>1650</v>
      </c>
    </row>
    <row r="863" spans="1:14" x14ac:dyDescent="0.25">
      <c r="A863">
        <v>368.070111</v>
      </c>
      <c r="B863" s="1">
        <f>DATE(2011,5,4) + TIME(1,40,57)</f>
        <v>40667.070104166669</v>
      </c>
      <c r="C863">
        <v>80</v>
      </c>
      <c r="D863">
        <v>79.868118285999998</v>
      </c>
      <c r="E863">
        <v>40</v>
      </c>
      <c r="F863">
        <v>39.699939727999997</v>
      </c>
      <c r="G863">
        <v>1338.2078856999999</v>
      </c>
      <c r="H863">
        <v>1335.8524170000001</v>
      </c>
      <c r="I863">
        <v>1327.2100829999999</v>
      </c>
      <c r="J863">
        <v>1325.8012695</v>
      </c>
      <c r="K863">
        <v>1650</v>
      </c>
      <c r="L863">
        <v>0</v>
      </c>
      <c r="M863">
        <v>0</v>
      </c>
      <c r="N863">
        <v>1650</v>
      </c>
    </row>
    <row r="864" spans="1:14" x14ac:dyDescent="0.25">
      <c r="A864">
        <v>368.17041399999999</v>
      </c>
      <c r="B864" s="1">
        <f>DATE(2011,5,4) + TIME(4,5,23)</f>
        <v>40667.170405092591</v>
      </c>
      <c r="C864">
        <v>80</v>
      </c>
      <c r="D864">
        <v>79.884078978999995</v>
      </c>
      <c r="E864">
        <v>40</v>
      </c>
      <c r="F864">
        <v>39.692726135000001</v>
      </c>
      <c r="G864">
        <v>1338.2177733999999</v>
      </c>
      <c r="H864">
        <v>1335.8601074000001</v>
      </c>
      <c r="I864">
        <v>1327.2098389</v>
      </c>
      <c r="J864">
        <v>1325.8009033000001</v>
      </c>
      <c r="K864">
        <v>1650</v>
      </c>
      <c r="L864">
        <v>0</v>
      </c>
      <c r="M864">
        <v>0</v>
      </c>
      <c r="N864">
        <v>1650</v>
      </c>
    </row>
    <row r="865" spans="1:14" x14ac:dyDescent="0.25">
      <c r="A865">
        <v>368.27287100000001</v>
      </c>
      <c r="B865" s="1">
        <f>DATE(2011,5,4) + TIME(6,32,56)</f>
        <v>40667.272870370369</v>
      </c>
      <c r="C865">
        <v>80</v>
      </c>
      <c r="D865">
        <v>79.897453307999996</v>
      </c>
      <c r="E865">
        <v>40</v>
      </c>
      <c r="F865">
        <v>39.685409546000002</v>
      </c>
      <c r="G865">
        <v>1338.2268065999999</v>
      </c>
      <c r="H865">
        <v>1335.8670654</v>
      </c>
      <c r="I865">
        <v>1327.2095947</v>
      </c>
      <c r="J865">
        <v>1325.8004149999999</v>
      </c>
      <c r="K865">
        <v>1650</v>
      </c>
      <c r="L865">
        <v>0</v>
      </c>
      <c r="M865">
        <v>0</v>
      </c>
      <c r="N865">
        <v>1650</v>
      </c>
    </row>
    <row r="866" spans="1:14" x14ac:dyDescent="0.25">
      <c r="A866">
        <v>368.37773099999998</v>
      </c>
      <c r="B866" s="1">
        <f>DATE(2011,5,4) + TIME(9,3,55)</f>
        <v>40667.37771990741</v>
      </c>
      <c r="C866">
        <v>80</v>
      </c>
      <c r="D866">
        <v>79.908645629999995</v>
      </c>
      <c r="E866">
        <v>40</v>
      </c>
      <c r="F866">
        <v>39.677970885999997</v>
      </c>
      <c r="G866">
        <v>1338.2346190999999</v>
      </c>
      <c r="H866">
        <v>1335.8734131000001</v>
      </c>
      <c r="I866">
        <v>1327.2093506000001</v>
      </c>
      <c r="J866">
        <v>1325.8000488</v>
      </c>
      <c r="K866">
        <v>1650</v>
      </c>
      <c r="L866">
        <v>0</v>
      </c>
      <c r="M866">
        <v>0</v>
      </c>
      <c r="N866">
        <v>1650</v>
      </c>
    </row>
    <row r="867" spans="1:14" x14ac:dyDescent="0.25">
      <c r="A867">
        <v>368.48526600000002</v>
      </c>
      <c r="B867" s="1">
        <f>DATE(2011,5,4) + TIME(11,38,46)</f>
        <v>40667.485254629632</v>
      </c>
      <c r="C867">
        <v>80</v>
      </c>
      <c r="D867">
        <v>79.917984008999994</v>
      </c>
      <c r="E867">
        <v>40</v>
      </c>
      <c r="F867">
        <v>39.670394897000001</v>
      </c>
      <c r="G867">
        <v>1338.2414550999999</v>
      </c>
      <c r="H867">
        <v>1335.8791504000001</v>
      </c>
      <c r="I867">
        <v>1327.2091064000001</v>
      </c>
      <c r="J867">
        <v>1325.7995605000001</v>
      </c>
      <c r="K867">
        <v>1650</v>
      </c>
      <c r="L867">
        <v>0</v>
      </c>
      <c r="M867">
        <v>0</v>
      </c>
      <c r="N867">
        <v>1650</v>
      </c>
    </row>
    <row r="868" spans="1:14" x14ac:dyDescent="0.25">
      <c r="A868">
        <v>368.59576900000002</v>
      </c>
      <c r="B868" s="1">
        <f>DATE(2011,5,4) + TIME(14,17,54)</f>
        <v>40667.595763888887</v>
      </c>
      <c r="C868">
        <v>80</v>
      </c>
      <c r="D868">
        <v>79.925758361999996</v>
      </c>
      <c r="E868">
        <v>40</v>
      </c>
      <c r="F868">
        <v>39.662662505999997</v>
      </c>
      <c r="G868">
        <v>1338.2475586</v>
      </c>
      <c r="H868">
        <v>1335.8843993999999</v>
      </c>
      <c r="I868">
        <v>1327.2087402</v>
      </c>
      <c r="J868">
        <v>1325.7990723</v>
      </c>
      <c r="K868">
        <v>1650</v>
      </c>
      <c r="L868">
        <v>0</v>
      </c>
      <c r="M868">
        <v>0</v>
      </c>
      <c r="N868">
        <v>1650</v>
      </c>
    </row>
    <row r="869" spans="1:14" x14ac:dyDescent="0.25">
      <c r="A869">
        <v>368.70966600000003</v>
      </c>
      <c r="B869" s="1">
        <f>DATE(2011,5,4) + TIME(17,1,55)</f>
        <v>40667.709664351853</v>
      </c>
      <c r="C869">
        <v>80</v>
      </c>
      <c r="D869">
        <v>79.932228088000002</v>
      </c>
      <c r="E869">
        <v>40</v>
      </c>
      <c r="F869">
        <v>39.654747008999998</v>
      </c>
      <c r="G869">
        <v>1338.2528076000001</v>
      </c>
      <c r="H869">
        <v>1335.8890381000001</v>
      </c>
      <c r="I869">
        <v>1327.2084961</v>
      </c>
      <c r="J869">
        <v>1325.7987060999999</v>
      </c>
      <c r="K869">
        <v>1650</v>
      </c>
      <c r="L869">
        <v>0</v>
      </c>
      <c r="M869">
        <v>0</v>
      </c>
      <c r="N869">
        <v>1650</v>
      </c>
    </row>
    <row r="870" spans="1:14" x14ac:dyDescent="0.25">
      <c r="A870">
        <v>368.82748800000002</v>
      </c>
      <c r="B870" s="1">
        <f>DATE(2011,5,4) + TIME(19,51,34)</f>
        <v>40667.827476851853</v>
      </c>
      <c r="C870">
        <v>80</v>
      </c>
      <c r="D870">
        <v>79.937599182</v>
      </c>
      <c r="E870">
        <v>40</v>
      </c>
      <c r="F870">
        <v>39.646621703999998</v>
      </c>
      <c r="G870">
        <v>1338.2572021000001</v>
      </c>
      <c r="H870">
        <v>1335.8933105000001</v>
      </c>
      <c r="I870">
        <v>1327.2082519999999</v>
      </c>
      <c r="J870">
        <v>1325.7982178</v>
      </c>
      <c r="K870">
        <v>1650</v>
      </c>
      <c r="L870">
        <v>0</v>
      </c>
      <c r="M870">
        <v>0</v>
      </c>
      <c r="N870">
        <v>1650</v>
      </c>
    </row>
    <row r="871" spans="1:14" x14ac:dyDescent="0.25">
      <c r="A871">
        <v>368.94969500000002</v>
      </c>
      <c r="B871" s="1">
        <f>DATE(2011,5,4) + TIME(22,47,33)</f>
        <v>40667.949687499997</v>
      </c>
      <c r="C871">
        <v>80</v>
      </c>
      <c r="D871">
        <v>79.942047118999994</v>
      </c>
      <c r="E871">
        <v>40</v>
      </c>
      <c r="F871">
        <v>39.638259888</v>
      </c>
      <c r="G871">
        <v>1338.2609863</v>
      </c>
      <c r="H871">
        <v>1335.8970947</v>
      </c>
      <c r="I871">
        <v>1327.2078856999999</v>
      </c>
      <c r="J871">
        <v>1325.7977295000001</v>
      </c>
      <c r="K871">
        <v>1650</v>
      </c>
      <c r="L871">
        <v>0</v>
      </c>
      <c r="M871">
        <v>0</v>
      </c>
      <c r="N871">
        <v>1650</v>
      </c>
    </row>
    <row r="872" spans="1:14" x14ac:dyDescent="0.25">
      <c r="A872">
        <v>369.07689699999997</v>
      </c>
      <c r="B872" s="1">
        <f>DATE(2011,5,5) + TIME(1,50,43)</f>
        <v>40668.076886574076</v>
      </c>
      <c r="C872">
        <v>80</v>
      </c>
      <c r="D872">
        <v>79.945709229000002</v>
      </c>
      <c r="E872">
        <v>40</v>
      </c>
      <c r="F872">
        <v>39.629619597999998</v>
      </c>
      <c r="G872">
        <v>1338.2609863</v>
      </c>
      <c r="H872">
        <v>1335.8984375</v>
      </c>
      <c r="I872">
        <v>1327.2075195</v>
      </c>
      <c r="J872">
        <v>1325.7972411999999</v>
      </c>
      <c r="K872">
        <v>1650</v>
      </c>
      <c r="L872">
        <v>0</v>
      </c>
      <c r="M872">
        <v>0</v>
      </c>
      <c r="N872">
        <v>1650</v>
      </c>
    </row>
    <row r="873" spans="1:14" x14ac:dyDescent="0.25">
      <c r="A873">
        <v>369.20815299999998</v>
      </c>
      <c r="B873" s="1">
        <f>DATE(2011,5,5) + TIME(4,59,44)</f>
        <v>40668.208148148151</v>
      </c>
      <c r="C873">
        <v>80</v>
      </c>
      <c r="D873">
        <v>79.948684692</v>
      </c>
      <c r="E873">
        <v>40</v>
      </c>
      <c r="F873">
        <v>39.620765685999999</v>
      </c>
      <c r="G873">
        <v>1338.2604980000001</v>
      </c>
      <c r="H873">
        <v>1335.8995361</v>
      </c>
      <c r="I873">
        <v>1327.2071533000001</v>
      </c>
      <c r="J873">
        <v>1325.7966309000001</v>
      </c>
      <c r="K873">
        <v>1650</v>
      </c>
      <c r="L873">
        <v>0</v>
      </c>
      <c r="M873">
        <v>0</v>
      </c>
      <c r="N873">
        <v>1650</v>
      </c>
    </row>
    <row r="874" spans="1:14" x14ac:dyDescent="0.25">
      <c r="A874">
        <v>369.34367099999997</v>
      </c>
      <c r="B874" s="1">
        <f>DATE(2011,5,5) + TIME(8,14,53)</f>
        <v>40668.343668981484</v>
      </c>
      <c r="C874">
        <v>80</v>
      </c>
      <c r="D874">
        <v>79.951103209999999</v>
      </c>
      <c r="E874">
        <v>40</v>
      </c>
      <c r="F874">
        <v>39.611686706999997</v>
      </c>
      <c r="G874">
        <v>1338.2595214999999</v>
      </c>
      <c r="H874">
        <v>1335.9002685999999</v>
      </c>
      <c r="I874">
        <v>1327.2069091999999</v>
      </c>
      <c r="J874">
        <v>1325.7961425999999</v>
      </c>
      <c r="K874">
        <v>1650</v>
      </c>
      <c r="L874">
        <v>0</v>
      </c>
      <c r="M874">
        <v>0</v>
      </c>
      <c r="N874">
        <v>1650</v>
      </c>
    </row>
    <row r="875" spans="1:14" x14ac:dyDescent="0.25">
      <c r="A875">
        <v>369.482079</v>
      </c>
      <c r="B875" s="1">
        <f>DATE(2011,5,5) + TIME(11,34,11)</f>
        <v>40668.482071759259</v>
      </c>
      <c r="C875">
        <v>80</v>
      </c>
      <c r="D875">
        <v>79.953025818</v>
      </c>
      <c r="E875">
        <v>40</v>
      </c>
      <c r="F875">
        <v>39.602470398000001</v>
      </c>
      <c r="G875">
        <v>1338.2580565999999</v>
      </c>
      <c r="H875">
        <v>1335.9008789</v>
      </c>
      <c r="I875">
        <v>1327.2064209</v>
      </c>
      <c r="J875">
        <v>1325.7955322</v>
      </c>
      <c r="K875">
        <v>1650</v>
      </c>
      <c r="L875">
        <v>0</v>
      </c>
      <c r="M875">
        <v>0</v>
      </c>
      <c r="N875">
        <v>1650</v>
      </c>
    </row>
    <row r="876" spans="1:14" x14ac:dyDescent="0.25">
      <c r="A876">
        <v>369.62359700000002</v>
      </c>
      <c r="B876" s="1">
        <f>DATE(2011,5,5) + TIME(14,57,58)</f>
        <v>40668.62358796296</v>
      </c>
      <c r="C876">
        <v>80</v>
      </c>
      <c r="D876">
        <v>79.954566955999994</v>
      </c>
      <c r="E876">
        <v>40</v>
      </c>
      <c r="F876">
        <v>39.593105315999999</v>
      </c>
      <c r="G876">
        <v>1338.2559814000001</v>
      </c>
      <c r="H876">
        <v>1335.9011230000001</v>
      </c>
      <c r="I876">
        <v>1327.2060547000001</v>
      </c>
      <c r="J876">
        <v>1325.7950439000001</v>
      </c>
      <c r="K876">
        <v>1650</v>
      </c>
      <c r="L876">
        <v>0</v>
      </c>
      <c r="M876">
        <v>0</v>
      </c>
      <c r="N876">
        <v>1650</v>
      </c>
    </row>
    <row r="877" spans="1:14" x14ac:dyDescent="0.25">
      <c r="A877">
        <v>369.76846699999999</v>
      </c>
      <c r="B877" s="1">
        <f>DATE(2011,5,5) + TIME(18,26,35)</f>
        <v>40668.768460648149</v>
      </c>
      <c r="C877">
        <v>80</v>
      </c>
      <c r="D877">
        <v>79.955802917</v>
      </c>
      <c r="E877">
        <v>40</v>
      </c>
      <c r="F877">
        <v>39.583572388</v>
      </c>
      <c r="G877">
        <v>1338.2536620999999</v>
      </c>
      <c r="H877">
        <v>1335.901001</v>
      </c>
      <c r="I877">
        <v>1327.2056885</v>
      </c>
      <c r="J877">
        <v>1325.7944336</v>
      </c>
      <c r="K877">
        <v>1650</v>
      </c>
      <c r="L877">
        <v>0</v>
      </c>
      <c r="M877">
        <v>0</v>
      </c>
      <c r="N877">
        <v>1650</v>
      </c>
    </row>
    <row r="878" spans="1:14" x14ac:dyDescent="0.25">
      <c r="A878">
        <v>369.91699</v>
      </c>
      <c r="B878" s="1">
        <f>DATE(2011,5,5) + TIME(22,0,27)</f>
        <v>40668.916979166665</v>
      </c>
      <c r="C878">
        <v>80</v>
      </c>
      <c r="D878">
        <v>79.956779479999994</v>
      </c>
      <c r="E878">
        <v>40</v>
      </c>
      <c r="F878">
        <v>39.573860168000003</v>
      </c>
      <c r="G878">
        <v>1338.2507324000001</v>
      </c>
      <c r="H878">
        <v>1335.9007568</v>
      </c>
      <c r="I878">
        <v>1327.2053223</v>
      </c>
      <c r="J878">
        <v>1325.7938231999999</v>
      </c>
      <c r="K878">
        <v>1650</v>
      </c>
      <c r="L878">
        <v>0</v>
      </c>
      <c r="M878">
        <v>0</v>
      </c>
      <c r="N878">
        <v>1650</v>
      </c>
    </row>
    <row r="879" spans="1:14" x14ac:dyDescent="0.25">
      <c r="A879">
        <v>370.06948899999998</v>
      </c>
      <c r="B879" s="1">
        <f>DATE(2011,5,6) + TIME(1,40,3)</f>
        <v>40669.069479166668</v>
      </c>
      <c r="C879">
        <v>80</v>
      </c>
      <c r="D879">
        <v>79.957557678000001</v>
      </c>
      <c r="E879">
        <v>40</v>
      </c>
      <c r="F879">
        <v>39.563949585000003</v>
      </c>
      <c r="G879">
        <v>1338.2475586</v>
      </c>
      <c r="H879">
        <v>1335.9003906</v>
      </c>
      <c r="I879">
        <v>1327.2048339999999</v>
      </c>
      <c r="J879">
        <v>1325.7932129000001</v>
      </c>
      <c r="K879">
        <v>1650</v>
      </c>
      <c r="L879">
        <v>0</v>
      </c>
      <c r="M879">
        <v>0</v>
      </c>
      <c r="N879">
        <v>1650</v>
      </c>
    </row>
    <row r="880" spans="1:14" x14ac:dyDescent="0.25">
      <c r="A880">
        <v>370.22632499999997</v>
      </c>
      <c r="B880" s="1">
        <f>DATE(2011,5,6) + TIME(5,25,54)</f>
        <v>40669.226319444446</v>
      </c>
      <c r="C880">
        <v>80</v>
      </c>
      <c r="D880">
        <v>79.958175659000005</v>
      </c>
      <c r="E880">
        <v>40</v>
      </c>
      <c r="F880">
        <v>39.553821564000003</v>
      </c>
      <c r="G880">
        <v>1338.2438964999999</v>
      </c>
      <c r="H880">
        <v>1335.8996582</v>
      </c>
      <c r="I880">
        <v>1327.2043457</v>
      </c>
      <c r="J880">
        <v>1325.7926024999999</v>
      </c>
      <c r="K880">
        <v>1650</v>
      </c>
      <c r="L880">
        <v>0</v>
      </c>
      <c r="M880">
        <v>0</v>
      </c>
      <c r="N880">
        <v>1650</v>
      </c>
    </row>
    <row r="881" spans="1:14" x14ac:dyDescent="0.25">
      <c r="A881">
        <v>370.38789700000001</v>
      </c>
      <c r="B881" s="1">
        <f>DATE(2011,5,6) + TIME(9,18,34)</f>
        <v>40669.38789351852</v>
      </c>
      <c r="C881">
        <v>80</v>
      </c>
      <c r="D881">
        <v>79.958671570000007</v>
      </c>
      <c r="E881">
        <v>40</v>
      </c>
      <c r="F881">
        <v>39.543457031000003</v>
      </c>
      <c r="G881">
        <v>1338.2398682</v>
      </c>
      <c r="H881">
        <v>1335.8988036999999</v>
      </c>
      <c r="I881">
        <v>1327.2039795000001</v>
      </c>
      <c r="J881">
        <v>1325.7919922000001</v>
      </c>
      <c r="K881">
        <v>1650</v>
      </c>
      <c r="L881">
        <v>0</v>
      </c>
      <c r="M881">
        <v>0</v>
      </c>
      <c r="N881">
        <v>1650</v>
      </c>
    </row>
    <row r="882" spans="1:14" x14ac:dyDescent="0.25">
      <c r="A882">
        <v>370.55464799999999</v>
      </c>
      <c r="B882" s="1">
        <f>DATE(2011,5,6) + TIME(13,18,41)</f>
        <v>40669.5546412037</v>
      </c>
      <c r="C882">
        <v>80</v>
      </c>
      <c r="D882">
        <v>79.959053040000001</v>
      </c>
      <c r="E882">
        <v>40</v>
      </c>
      <c r="F882">
        <v>39.532829284999998</v>
      </c>
      <c r="G882">
        <v>1338.2355957</v>
      </c>
      <c r="H882">
        <v>1335.8978271000001</v>
      </c>
      <c r="I882">
        <v>1327.2034911999999</v>
      </c>
      <c r="J882">
        <v>1325.7912598</v>
      </c>
      <c r="K882">
        <v>1650</v>
      </c>
      <c r="L882">
        <v>0</v>
      </c>
      <c r="M882">
        <v>0</v>
      </c>
      <c r="N882">
        <v>1650</v>
      </c>
    </row>
    <row r="883" spans="1:14" x14ac:dyDescent="0.25">
      <c r="A883">
        <v>370.72631200000001</v>
      </c>
      <c r="B883" s="1">
        <f>DATE(2011,5,6) + TIME(17,25,53)</f>
        <v>40669.726307870369</v>
      </c>
      <c r="C883">
        <v>80</v>
      </c>
      <c r="D883">
        <v>79.959358214999995</v>
      </c>
      <c r="E883">
        <v>40</v>
      </c>
      <c r="F883">
        <v>39.521957397000001</v>
      </c>
      <c r="G883">
        <v>1338.230957</v>
      </c>
      <c r="H883">
        <v>1335.8966064000001</v>
      </c>
      <c r="I883">
        <v>1327.2030029</v>
      </c>
      <c r="J883">
        <v>1325.7905272999999</v>
      </c>
      <c r="K883">
        <v>1650</v>
      </c>
      <c r="L883">
        <v>0</v>
      </c>
      <c r="M883">
        <v>0</v>
      </c>
      <c r="N883">
        <v>1650</v>
      </c>
    </row>
    <row r="884" spans="1:14" x14ac:dyDescent="0.25">
      <c r="A884">
        <v>370.89868799999999</v>
      </c>
      <c r="B884" s="1">
        <f>DATE(2011,5,6) + TIME(21,34,6)</f>
        <v>40669.898680555554</v>
      </c>
      <c r="C884">
        <v>80</v>
      </c>
      <c r="D884">
        <v>79.959587096999996</v>
      </c>
      <c r="E884">
        <v>40</v>
      </c>
      <c r="F884">
        <v>39.511077880999999</v>
      </c>
      <c r="G884">
        <v>1338.2260742000001</v>
      </c>
      <c r="H884">
        <v>1335.8952637</v>
      </c>
      <c r="I884">
        <v>1327.2025146000001</v>
      </c>
      <c r="J884">
        <v>1325.7897949000001</v>
      </c>
      <c r="K884">
        <v>1650</v>
      </c>
      <c r="L884">
        <v>0</v>
      </c>
      <c r="M884">
        <v>0</v>
      </c>
      <c r="N884">
        <v>1650</v>
      </c>
    </row>
    <row r="885" spans="1:14" x14ac:dyDescent="0.25">
      <c r="A885">
        <v>371.07219300000003</v>
      </c>
      <c r="B885" s="1">
        <f>DATE(2011,5,7) + TIME(1,43,57)</f>
        <v>40670.072187500002</v>
      </c>
      <c r="C885">
        <v>80</v>
      </c>
      <c r="D885">
        <v>79.959762573000006</v>
      </c>
      <c r="E885">
        <v>40</v>
      </c>
      <c r="F885">
        <v>39.500171661000003</v>
      </c>
      <c r="G885">
        <v>1338.2209473</v>
      </c>
      <c r="H885">
        <v>1335.8937988</v>
      </c>
      <c r="I885">
        <v>1327.2019043</v>
      </c>
      <c r="J885">
        <v>1325.7890625</v>
      </c>
      <c r="K885">
        <v>1650</v>
      </c>
      <c r="L885">
        <v>0</v>
      </c>
      <c r="M885">
        <v>0</v>
      </c>
      <c r="N885">
        <v>1650</v>
      </c>
    </row>
    <row r="886" spans="1:14" x14ac:dyDescent="0.25">
      <c r="A886">
        <v>371.24722100000002</v>
      </c>
      <c r="B886" s="1">
        <f>DATE(2011,5,7) + TIME(5,55,59)</f>
        <v>40670.247210648151</v>
      </c>
      <c r="C886">
        <v>80</v>
      </c>
      <c r="D886">
        <v>79.959892272999994</v>
      </c>
      <c r="E886">
        <v>40</v>
      </c>
      <c r="F886">
        <v>39.489219665999997</v>
      </c>
      <c r="G886">
        <v>1338.2155762</v>
      </c>
      <c r="H886">
        <v>1335.8920897999999</v>
      </c>
      <c r="I886">
        <v>1327.2014160000001</v>
      </c>
      <c r="J886">
        <v>1325.7883300999999</v>
      </c>
      <c r="K886">
        <v>1650</v>
      </c>
      <c r="L886">
        <v>0</v>
      </c>
      <c r="M886">
        <v>0</v>
      </c>
      <c r="N886">
        <v>1650</v>
      </c>
    </row>
    <row r="887" spans="1:14" x14ac:dyDescent="0.25">
      <c r="A887">
        <v>371.42423700000001</v>
      </c>
      <c r="B887" s="1">
        <f>DATE(2011,5,7) + TIME(10,10,54)</f>
        <v>40670.42423611111</v>
      </c>
      <c r="C887">
        <v>80</v>
      </c>
      <c r="D887">
        <v>79.959983825999998</v>
      </c>
      <c r="E887">
        <v>40</v>
      </c>
      <c r="F887">
        <v>39.478191375999998</v>
      </c>
      <c r="G887">
        <v>1338.2100829999999</v>
      </c>
      <c r="H887">
        <v>1335.8905029</v>
      </c>
      <c r="I887">
        <v>1327.2008057</v>
      </c>
      <c r="J887">
        <v>1325.7875977000001</v>
      </c>
      <c r="K887">
        <v>1650</v>
      </c>
      <c r="L887">
        <v>0</v>
      </c>
      <c r="M887">
        <v>0</v>
      </c>
      <c r="N887">
        <v>1650</v>
      </c>
    </row>
    <row r="888" spans="1:14" x14ac:dyDescent="0.25">
      <c r="A888">
        <v>371.60358300000001</v>
      </c>
      <c r="B888" s="1">
        <f>DATE(2011,5,7) + TIME(14,29,9)</f>
        <v>40670.603576388887</v>
      </c>
      <c r="C888">
        <v>80</v>
      </c>
      <c r="D888">
        <v>79.960052489999995</v>
      </c>
      <c r="E888">
        <v>40</v>
      </c>
      <c r="F888">
        <v>39.467071533000002</v>
      </c>
      <c r="G888">
        <v>1338.2045897999999</v>
      </c>
      <c r="H888">
        <v>1335.8886719</v>
      </c>
      <c r="I888">
        <v>1327.2003173999999</v>
      </c>
      <c r="J888">
        <v>1325.7868652</v>
      </c>
      <c r="K888">
        <v>1650</v>
      </c>
      <c r="L888">
        <v>0</v>
      </c>
      <c r="M888">
        <v>0</v>
      </c>
      <c r="N888">
        <v>1650</v>
      </c>
    </row>
    <row r="889" spans="1:14" x14ac:dyDescent="0.25">
      <c r="A889">
        <v>371.78565700000001</v>
      </c>
      <c r="B889" s="1">
        <f>DATE(2011,5,7) + TIME(18,51,20)</f>
        <v>40670.78564814815</v>
      </c>
      <c r="C889">
        <v>80</v>
      </c>
      <c r="D889">
        <v>79.960098267000006</v>
      </c>
      <c r="E889">
        <v>40</v>
      </c>
      <c r="F889">
        <v>39.455841063999998</v>
      </c>
      <c r="G889">
        <v>1338.1988524999999</v>
      </c>
      <c r="H889">
        <v>1335.8868408000001</v>
      </c>
      <c r="I889">
        <v>1327.199707</v>
      </c>
      <c r="J889">
        <v>1325.7860106999999</v>
      </c>
      <c r="K889">
        <v>1650</v>
      </c>
      <c r="L889">
        <v>0</v>
      </c>
      <c r="M889">
        <v>0</v>
      </c>
      <c r="N889">
        <v>1650</v>
      </c>
    </row>
    <row r="890" spans="1:14" x14ac:dyDescent="0.25">
      <c r="A890">
        <v>371.97088200000002</v>
      </c>
      <c r="B890" s="1">
        <f>DATE(2011,5,7) + TIME(23,18,4)</f>
        <v>40670.970879629633</v>
      </c>
      <c r="C890">
        <v>80</v>
      </c>
      <c r="D890">
        <v>79.960121154999996</v>
      </c>
      <c r="E890">
        <v>40</v>
      </c>
      <c r="F890">
        <v>39.444480896000002</v>
      </c>
      <c r="G890">
        <v>1338.1929932</v>
      </c>
      <c r="H890">
        <v>1335.8850098</v>
      </c>
      <c r="I890">
        <v>1327.1992187999999</v>
      </c>
      <c r="J890">
        <v>1325.7852783000001</v>
      </c>
      <c r="K890">
        <v>1650</v>
      </c>
      <c r="L890">
        <v>0</v>
      </c>
      <c r="M890">
        <v>0</v>
      </c>
      <c r="N890">
        <v>1650</v>
      </c>
    </row>
    <row r="891" spans="1:14" x14ac:dyDescent="0.25">
      <c r="A891">
        <v>372.15970600000003</v>
      </c>
      <c r="B891" s="1">
        <f>DATE(2011,5,8) + TIME(3,49,58)</f>
        <v>40671.159699074073</v>
      </c>
      <c r="C891">
        <v>80</v>
      </c>
      <c r="D891">
        <v>79.960136414000004</v>
      </c>
      <c r="E891">
        <v>40</v>
      </c>
      <c r="F891">
        <v>39.432960510000001</v>
      </c>
      <c r="G891">
        <v>1338.1871338000001</v>
      </c>
      <c r="H891">
        <v>1335.8830565999999</v>
      </c>
      <c r="I891">
        <v>1327.1986084</v>
      </c>
      <c r="J891">
        <v>1325.7844238</v>
      </c>
      <c r="K891">
        <v>1650</v>
      </c>
      <c r="L891">
        <v>0</v>
      </c>
      <c r="M891">
        <v>0</v>
      </c>
      <c r="N891">
        <v>1650</v>
      </c>
    </row>
    <row r="892" spans="1:14" x14ac:dyDescent="0.25">
      <c r="A892">
        <v>372.35260799999998</v>
      </c>
      <c r="B892" s="1">
        <f>DATE(2011,5,8) + TIME(8,27,45)</f>
        <v>40671.35260416667</v>
      </c>
      <c r="C892">
        <v>80</v>
      </c>
      <c r="D892">
        <v>79.960136414000004</v>
      </c>
      <c r="E892">
        <v>40</v>
      </c>
      <c r="F892">
        <v>39.421264647999998</v>
      </c>
      <c r="G892">
        <v>1338.1810303</v>
      </c>
      <c r="H892">
        <v>1335.8811035000001</v>
      </c>
      <c r="I892">
        <v>1327.1979980000001</v>
      </c>
      <c r="J892">
        <v>1325.7835693</v>
      </c>
      <c r="K892">
        <v>1650</v>
      </c>
      <c r="L892">
        <v>0</v>
      </c>
      <c r="M892">
        <v>0</v>
      </c>
      <c r="N892">
        <v>1650</v>
      </c>
    </row>
    <row r="893" spans="1:14" x14ac:dyDescent="0.25">
      <c r="A893">
        <v>372.55010299999998</v>
      </c>
      <c r="B893" s="1">
        <f>DATE(2011,5,8) + TIME(13,12,8)</f>
        <v>40671.550092592595</v>
      </c>
      <c r="C893">
        <v>80</v>
      </c>
      <c r="D893">
        <v>79.960121154999996</v>
      </c>
      <c r="E893">
        <v>40</v>
      </c>
      <c r="F893">
        <v>39.409362793</v>
      </c>
      <c r="G893">
        <v>1338.1748047000001</v>
      </c>
      <c r="H893">
        <v>1335.8790283000001</v>
      </c>
      <c r="I893">
        <v>1327.1973877</v>
      </c>
      <c r="J893">
        <v>1325.7827147999999</v>
      </c>
      <c r="K893">
        <v>1650</v>
      </c>
      <c r="L893">
        <v>0</v>
      </c>
      <c r="M893">
        <v>0</v>
      </c>
      <c r="N893">
        <v>1650</v>
      </c>
    </row>
    <row r="894" spans="1:14" x14ac:dyDescent="0.25">
      <c r="A894">
        <v>372.75275499999998</v>
      </c>
      <c r="B894" s="1">
        <f>DATE(2011,5,8) + TIME(18,3,58)</f>
        <v>40671.752754629626</v>
      </c>
      <c r="C894">
        <v>80</v>
      </c>
      <c r="D894">
        <v>79.960105896000002</v>
      </c>
      <c r="E894">
        <v>40</v>
      </c>
      <c r="F894">
        <v>39.397228241000001</v>
      </c>
      <c r="G894">
        <v>1338.168457</v>
      </c>
      <c r="H894">
        <v>1335.8769531</v>
      </c>
      <c r="I894">
        <v>1327.1967772999999</v>
      </c>
      <c r="J894">
        <v>1325.7818603999999</v>
      </c>
      <c r="K894">
        <v>1650</v>
      </c>
      <c r="L894">
        <v>0</v>
      </c>
      <c r="M894">
        <v>0</v>
      </c>
      <c r="N894">
        <v>1650</v>
      </c>
    </row>
    <row r="895" spans="1:14" x14ac:dyDescent="0.25">
      <c r="A895">
        <v>372.96138300000001</v>
      </c>
      <c r="B895" s="1">
        <f>DATE(2011,5,8) + TIME(23,4,23)</f>
        <v>40671.961377314816</v>
      </c>
      <c r="C895">
        <v>80</v>
      </c>
      <c r="D895">
        <v>79.960075377999999</v>
      </c>
      <c r="E895">
        <v>40</v>
      </c>
      <c r="F895">
        <v>39.384822845000002</v>
      </c>
      <c r="G895">
        <v>1338.1621094</v>
      </c>
      <c r="H895">
        <v>1335.8748779</v>
      </c>
      <c r="I895">
        <v>1327.1960449000001</v>
      </c>
      <c r="J895">
        <v>1325.7810059000001</v>
      </c>
      <c r="K895">
        <v>1650</v>
      </c>
      <c r="L895">
        <v>0</v>
      </c>
      <c r="M895">
        <v>0</v>
      </c>
      <c r="N895">
        <v>1650</v>
      </c>
    </row>
    <row r="896" spans="1:14" x14ac:dyDescent="0.25">
      <c r="A896">
        <v>373.17747100000003</v>
      </c>
      <c r="B896" s="1">
        <f>DATE(2011,5,9) + TIME(4,15,33)</f>
        <v>40672.177465277775</v>
      </c>
      <c r="C896">
        <v>80</v>
      </c>
      <c r="D896">
        <v>79.960037231000001</v>
      </c>
      <c r="E896">
        <v>40</v>
      </c>
      <c r="F896">
        <v>39.372066498000002</v>
      </c>
      <c r="G896">
        <v>1338.1555175999999</v>
      </c>
      <c r="H896">
        <v>1335.8726807</v>
      </c>
      <c r="I896">
        <v>1327.1954346</v>
      </c>
      <c r="J896">
        <v>1325.7800293</v>
      </c>
      <c r="K896">
        <v>1650</v>
      </c>
      <c r="L896">
        <v>0</v>
      </c>
      <c r="M896">
        <v>0</v>
      </c>
      <c r="N896">
        <v>1650</v>
      </c>
    </row>
    <row r="897" spans="1:14" x14ac:dyDescent="0.25">
      <c r="A897">
        <v>373.39911799999999</v>
      </c>
      <c r="B897" s="1">
        <f>DATE(2011,5,9) + TIME(9,34,43)</f>
        <v>40672.399108796293</v>
      </c>
      <c r="C897">
        <v>80</v>
      </c>
      <c r="D897">
        <v>79.959999084000003</v>
      </c>
      <c r="E897">
        <v>40</v>
      </c>
      <c r="F897">
        <v>39.359066009999999</v>
      </c>
      <c r="G897">
        <v>1338.1486815999999</v>
      </c>
      <c r="H897">
        <v>1335.8704834</v>
      </c>
      <c r="I897">
        <v>1327.1947021000001</v>
      </c>
      <c r="J897">
        <v>1325.7790527</v>
      </c>
      <c r="K897">
        <v>1650</v>
      </c>
      <c r="L897">
        <v>0</v>
      </c>
      <c r="M897">
        <v>0</v>
      </c>
      <c r="N897">
        <v>1650</v>
      </c>
    </row>
    <row r="898" spans="1:14" x14ac:dyDescent="0.25">
      <c r="A898">
        <v>373.62705199999999</v>
      </c>
      <c r="B898" s="1">
        <f>DATE(2011,5,9) + TIME(15,2,57)</f>
        <v>40672.62704861111</v>
      </c>
      <c r="C898">
        <v>80</v>
      </c>
      <c r="D898">
        <v>79.959953307999996</v>
      </c>
      <c r="E898">
        <v>40</v>
      </c>
      <c r="F898">
        <v>39.345783234000002</v>
      </c>
      <c r="G898">
        <v>1338.1418457</v>
      </c>
      <c r="H898">
        <v>1335.8681641000001</v>
      </c>
      <c r="I898">
        <v>1327.1939697</v>
      </c>
      <c r="J898">
        <v>1325.7779541</v>
      </c>
      <c r="K898">
        <v>1650</v>
      </c>
      <c r="L898">
        <v>0</v>
      </c>
      <c r="M898">
        <v>0</v>
      </c>
      <c r="N898">
        <v>1650</v>
      </c>
    </row>
    <row r="899" spans="1:14" x14ac:dyDescent="0.25">
      <c r="A899">
        <v>373.862235</v>
      </c>
      <c r="B899" s="1">
        <f>DATE(2011,5,9) + TIME(20,41,37)</f>
        <v>40672.862233796295</v>
      </c>
      <c r="C899">
        <v>80</v>
      </c>
      <c r="D899">
        <v>79.959899902000004</v>
      </c>
      <c r="E899">
        <v>40</v>
      </c>
      <c r="F899">
        <v>39.332172393999997</v>
      </c>
      <c r="G899">
        <v>1338.1348877</v>
      </c>
      <c r="H899">
        <v>1335.8658447</v>
      </c>
      <c r="I899">
        <v>1327.1931152</v>
      </c>
      <c r="J899">
        <v>1325.7768555</v>
      </c>
      <c r="K899">
        <v>1650</v>
      </c>
      <c r="L899">
        <v>0</v>
      </c>
      <c r="M899">
        <v>0</v>
      </c>
      <c r="N899">
        <v>1650</v>
      </c>
    </row>
    <row r="900" spans="1:14" x14ac:dyDescent="0.25">
      <c r="A900">
        <v>374.10281600000002</v>
      </c>
      <c r="B900" s="1">
        <f>DATE(2011,5,10) + TIME(2,28,3)</f>
        <v>40673.102812500001</v>
      </c>
      <c r="C900">
        <v>80</v>
      </c>
      <c r="D900">
        <v>79.959838867000002</v>
      </c>
      <c r="E900">
        <v>40</v>
      </c>
      <c r="F900">
        <v>39.318325043000002</v>
      </c>
      <c r="G900">
        <v>1338.1278076000001</v>
      </c>
      <c r="H900">
        <v>1335.8635254000001</v>
      </c>
      <c r="I900">
        <v>1327.1923827999999</v>
      </c>
      <c r="J900">
        <v>1325.7757568</v>
      </c>
      <c r="K900">
        <v>1650</v>
      </c>
      <c r="L900">
        <v>0</v>
      </c>
      <c r="M900">
        <v>0</v>
      </c>
      <c r="N900">
        <v>1650</v>
      </c>
    </row>
    <row r="901" spans="1:14" x14ac:dyDescent="0.25">
      <c r="A901">
        <v>374.34558099999998</v>
      </c>
      <c r="B901" s="1">
        <f>DATE(2011,5,10) + TIME(8,17,38)</f>
        <v>40673.345578703702</v>
      </c>
      <c r="C901">
        <v>80</v>
      </c>
      <c r="D901">
        <v>79.959777832</v>
      </c>
      <c r="E901">
        <v>40</v>
      </c>
      <c r="F901">
        <v>39.304405211999999</v>
      </c>
      <c r="G901">
        <v>1338.1207274999999</v>
      </c>
      <c r="H901">
        <v>1335.8612060999999</v>
      </c>
      <c r="I901">
        <v>1327.1915283000001</v>
      </c>
      <c r="J901">
        <v>1325.7746582</v>
      </c>
      <c r="K901">
        <v>1650</v>
      </c>
      <c r="L901">
        <v>0</v>
      </c>
      <c r="M901">
        <v>0</v>
      </c>
      <c r="N901">
        <v>1650</v>
      </c>
    </row>
    <row r="902" spans="1:14" x14ac:dyDescent="0.25">
      <c r="A902">
        <v>374.59100599999999</v>
      </c>
      <c r="B902" s="1">
        <f>DATE(2011,5,10) + TIME(14,11,2)</f>
        <v>40673.590995370374</v>
      </c>
      <c r="C902">
        <v>80</v>
      </c>
      <c r="D902">
        <v>79.959716796999999</v>
      </c>
      <c r="E902">
        <v>40</v>
      </c>
      <c r="F902">
        <v>39.290393829000003</v>
      </c>
      <c r="G902">
        <v>1338.1135254000001</v>
      </c>
      <c r="H902">
        <v>1335.8587646000001</v>
      </c>
      <c r="I902">
        <v>1327.1906738</v>
      </c>
      <c r="J902">
        <v>1325.7735596</v>
      </c>
      <c r="K902">
        <v>1650</v>
      </c>
      <c r="L902">
        <v>0</v>
      </c>
      <c r="M902">
        <v>0</v>
      </c>
      <c r="N902">
        <v>1650</v>
      </c>
    </row>
    <row r="903" spans="1:14" x14ac:dyDescent="0.25">
      <c r="A903">
        <v>374.83955600000002</v>
      </c>
      <c r="B903" s="1">
        <f>DATE(2011,5,10) + TIME(20,8,57)</f>
        <v>40673.839548611111</v>
      </c>
      <c r="C903">
        <v>80</v>
      </c>
      <c r="D903">
        <v>79.959648131999998</v>
      </c>
      <c r="E903">
        <v>40</v>
      </c>
      <c r="F903">
        <v>39.276271819999998</v>
      </c>
      <c r="G903">
        <v>1338.1065673999999</v>
      </c>
      <c r="H903">
        <v>1335.8564452999999</v>
      </c>
      <c r="I903">
        <v>1327.1898193</v>
      </c>
      <c r="J903">
        <v>1325.7723389</v>
      </c>
      <c r="K903">
        <v>1650</v>
      </c>
      <c r="L903">
        <v>0</v>
      </c>
      <c r="M903">
        <v>0</v>
      </c>
      <c r="N903">
        <v>1650</v>
      </c>
    </row>
    <row r="904" spans="1:14" x14ac:dyDescent="0.25">
      <c r="A904">
        <v>375.09179799999998</v>
      </c>
      <c r="B904" s="1">
        <f>DATE(2011,5,11) + TIME(2,12,11)</f>
        <v>40674.091793981483</v>
      </c>
      <c r="C904">
        <v>80</v>
      </c>
      <c r="D904">
        <v>79.959587096999996</v>
      </c>
      <c r="E904">
        <v>40</v>
      </c>
      <c r="F904">
        <v>39.262012482000003</v>
      </c>
      <c r="G904">
        <v>1338.0994873</v>
      </c>
      <c r="H904">
        <v>1335.854126</v>
      </c>
      <c r="I904">
        <v>1327.1889647999999</v>
      </c>
      <c r="J904">
        <v>1325.7711182</v>
      </c>
      <c r="K904">
        <v>1650</v>
      </c>
      <c r="L904">
        <v>0</v>
      </c>
      <c r="M904">
        <v>0</v>
      </c>
      <c r="N904">
        <v>1650</v>
      </c>
    </row>
    <row r="905" spans="1:14" x14ac:dyDescent="0.25">
      <c r="A905">
        <v>375.34821599999998</v>
      </c>
      <c r="B905" s="1">
        <f>DATE(2011,5,11) + TIME(8,21,25)</f>
        <v>40674.34820601852</v>
      </c>
      <c r="C905">
        <v>80</v>
      </c>
      <c r="D905">
        <v>79.959518433</v>
      </c>
      <c r="E905">
        <v>40</v>
      </c>
      <c r="F905">
        <v>39.247600554999998</v>
      </c>
      <c r="G905">
        <v>1338.0925293</v>
      </c>
      <c r="H905">
        <v>1335.8518065999999</v>
      </c>
      <c r="I905">
        <v>1327.1881103999999</v>
      </c>
      <c r="J905">
        <v>1325.7698975000001</v>
      </c>
      <c r="K905">
        <v>1650</v>
      </c>
      <c r="L905">
        <v>0</v>
      </c>
      <c r="M905">
        <v>0</v>
      </c>
      <c r="N905">
        <v>1650</v>
      </c>
    </row>
    <row r="906" spans="1:14" x14ac:dyDescent="0.25">
      <c r="A906">
        <v>375.60932000000003</v>
      </c>
      <c r="B906" s="1">
        <f>DATE(2011,5,11) + TIME(14,37,25)</f>
        <v>40674.609317129631</v>
      </c>
      <c r="C906">
        <v>80</v>
      </c>
      <c r="D906">
        <v>79.959442139000004</v>
      </c>
      <c r="E906">
        <v>40</v>
      </c>
      <c r="F906">
        <v>39.233013153000002</v>
      </c>
      <c r="G906">
        <v>1338.0854492000001</v>
      </c>
      <c r="H906">
        <v>1335.8494873</v>
      </c>
      <c r="I906">
        <v>1327.1871338000001</v>
      </c>
      <c r="J906">
        <v>1325.7685547000001</v>
      </c>
      <c r="K906">
        <v>1650</v>
      </c>
      <c r="L906">
        <v>0</v>
      </c>
      <c r="M906">
        <v>0</v>
      </c>
      <c r="N906">
        <v>1650</v>
      </c>
    </row>
    <row r="907" spans="1:14" x14ac:dyDescent="0.25">
      <c r="A907">
        <v>375.875698</v>
      </c>
      <c r="B907" s="1">
        <f>DATE(2011,5,11) + TIME(21,1,0)</f>
        <v>40674.875694444447</v>
      </c>
      <c r="C907">
        <v>80</v>
      </c>
      <c r="D907">
        <v>79.959373474000003</v>
      </c>
      <c r="E907">
        <v>40</v>
      </c>
      <c r="F907">
        <v>39.218227386000002</v>
      </c>
      <c r="G907">
        <v>1338.0784911999999</v>
      </c>
      <c r="H907">
        <v>1335.8472899999999</v>
      </c>
      <c r="I907">
        <v>1327.1862793</v>
      </c>
      <c r="J907">
        <v>1325.7673339999999</v>
      </c>
      <c r="K907">
        <v>1650</v>
      </c>
      <c r="L907">
        <v>0</v>
      </c>
      <c r="M907">
        <v>0</v>
      </c>
      <c r="N907">
        <v>1650</v>
      </c>
    </row>
    <row r="908" spans="1:14" x14ac:dyDescent="0.25">
      <c r="A908">
        <v>376.14798300000001</v>
      </c>
      <c r="B908" s="1">
        <f>DATE(2011,5,12) + TIME(3,33,5)</f>
        <v>40675.147974537038</v>
      </c>
      <c r="C908">
        <v>80</v>
      </c>
      <c r="D908">
        <v>79.959297179999993</v>
      </c>
      <c r="E908">
        <v>40</v>
      </c>
      <c r="F908">
        <v>39.203212737999998</v>
      </c>
      <c r="G908">
        <v>1338.0715332</v>
      </c>
      <c r="H908">
        <v>1335.8449707</v>
      </c>
      <c r="I908">
        <v>1327.1853027</v>
      </c>
      <c r="J908">
        <v>1325.7659911999999</v>
      </c>
      <c r="K908">
        <v>1650</v>
      </c>
      <c r="L908">
        <v>0</v>
      </c>
      <c r="M908">
        <v>0</v>
      </c>
      <c r="N908">
        <v>1650</v>
      </c>
    </row>
    <row r="909" spans="1:14" x14ac:dyDescent="0.25">
      <c r="A909">
        <v>376.42686700000002</v>
      </c>
      <c r="B909" s="1">
        <f>DATE(2011,5,12) + TIME(10,14,41)</f>
        <v>40675.426863425928</v>
      </c>
      <c r="C909">
        <v>80</v>
      </c>
      <c r="D909">
        <v>79.959228515999996</v>
      </c>
      <c r="E909">
        <v>40</v>
      </c>
      <c r="F909">
        <v>39.187942505000002</v>
      </c>
      <c r="G909">
        <v>1338.0644531</v>
      </c>
      <c r="H909">
        <v>1335.8427733999999</v>
      </c>
      <c r="I909">
        <v>1327.1843262</v>
      </c>
      <c r="J909">
        <v>1325.7645264</v>
      </c>
      <c r="K909">
        <v>1650</v>
      </c>
      <c r="L909">
        <v>0</v>
      </c>
      <c r="M909">
        <v>0</v>
      </c>
      <c r="N909">
        <v>1650</v>
      </c>
    </row>
    <row r="910" spans="1:14" x14ac:dyDescent="0.25">
      <c r="A910">
        <v>376.71084999999999</v>
      </c>
      <c r="B910" s="1">
        <f>DATE(2011,5,12) + TIME(17,3,37)</f>
        <v>40675.710844907408</v>
      </c>
      <c r="C910">
        <v>80</v>
      </c>
      <c r="D910">
        <v>79.959152222</v>
      </c>
      <c r="E910">
        <v>40</v>
      </c>
      <c r="F910">
        <v>39.172481537000003</v>
      </c>
      <c r="G910">
        <v>1338.0573730000001</v>
      </c>
      <c r="H910">
        <v>1335.8405762</v>
      </c>
      <c r="I910">
        <v>1327.1832274999999</v>
      </c>
      <c r="J910">
        <v>1325.7630615</v>
      </c>
      <c r="K910">
        <v>1650</v>
      </c>
      <c r="L910">
        <v>0</v>
      </c>
      <c r="M910">
        <v>0</v>
      </c>
      <c r="N910">
        <v>1650</v>
      </c>
    </row>
    <row r="911" spans="1:14" x14ac:dyDescent="0.25">
      <c r="A911">
        <v>376.99903599999999</v>
      </c>
      <c r="B911" s="1">
        <f>DATE(2011,5,12) + TIME(23,58,36)</f>
        <v>40675.999027777776</v>
      </c>
      <c r="C911">
        <v>80</v>
      </c>
      <c r="D911">
        <v>79.959075928000004</v>
      </c>
      <c r="E911">
        <v>40</v>
      </c>
      <c r="F911">
        <v>39.156879425</v>
      </c>
      <c r="G911">
        <v>1338.0504149999999</v>
      </c>
      <c r="H911">
        <v>1335.8382568</v>
      </c>
      <c r="I911">
        <v>1327.1821289</v>
      </c>
      <c r="J911">
        <v>1325.7615966999999</v>
      </c>
      <c r="K911">
        <v>1650</v>
      </c>
      <c r="L911">
        <v>0</v>
      </c>
      <c r="M911">
        <v>0</v>
      </c>
      <c r="N911">
        <v>1650</v>
      </c>
    </row>
    <row r="912" spans="1:14" x14ac:dyDescent="0.25">
      <c r="A912">
        <v>377.29220700000002</v>
      </c>
      <c r="B912" s="1">
        <f>DATE(2011,5,13) + TIME(7,0,46)</f>
        <v>40676.292199074072</v>
      </c>
      <c r="C912">
        <v>80</v>
      </c>
      <c r="D912">
        <v>79.958999633999994</v>
      </c>
      <c r="E912">
        <v>40</v>
      </c>
      <c r="F912">
        <v>39.141105652</v>
      </c>
      <c r="G912">
        <v>1338.043457</v>
      </c>
      <c r="H912">
        <v>1335.8361815999999</v>
      </c>
      <c r="I912">
        <v>1327.1811522999999</v>
      </c>
      <c r="J912">
        <v>1325.7601318</v>
      </c>
      <c r="K912">
        <v>1650</v>
      </c>
      <c r="L912">
        <v>0</v>
      </c>
      <c r="M912">
        <v>0</v>
      </c>
      <c r="N912">
        <v>1650</v>
      </c>
    </row>
    <row r="913" spans="1:14" x14ac:dyDescent="0.25">
      <c r="A913">
        <v>377.59116299999999</v>
      </c>
      <c r="B913" s="1">
        <f>DATE(2011,5,13) + TIME(14,11,16)</f>
        <v>40676.591157407405</v>
      </c>
      <c r="C913">
        <v>80</v>
      </c>
      <c r="D913">
        <v>79.958915709999999</v>
      </c>
      <c r="E913">
        <v>40</v>
      </c>
      <c r="F913">
        <v>39.125122070000003</v>
      </c>
      <c r="G913">
        <v>1338.036499</v>
      </c>
      <c r="H913">
        <v>1335.8339844</v>
      </c>
      <c r="I913">
        <v>1327.1799315999999</v>
      </c>
      <c r="J913">
        <v>1325.7585449000001</v>
      </c>
      <c r="K913">
        <v>1650</v>
      </c>
      <c r="L913">
        <v>0</v>
      </c>
      <c r="M913">
        <v>0</v>
      </c>
      <c r="N913">
        <v>1650</v>
      </c>
    </row>
    <row r="914" spans="1:14" x14ac:dyDescent="0.25">
      <c r="A914">
        <v>377.89676800000001</v>
      </c>
      <c r="B914" s="1">
        <f>DATE(2011,5,13) + TIME(21,31,20)</f>
        <v>40676.89675925926</v>
      </c>
      <c r="C914">
        <v>80</v>
      </c>
      <c r="D914">
        <v>79.958839416999993</v>
      </c>
      <c r="E914">
        <v>40</v>
      </c>
      <c r="F914">
        <v>39.108898162999999</v>
      </c>
      <c r="G914">
        <v>1338.0295410000001</v>
      </c>
      <c r="H914">
        <v>1335.8319091999999</v>
      </c>
      <c r="I914">
        <v>1327.1788329999999</v>
      </c>
      <c r="J914">
        <v>1325.7569579999999</v>
      </c>
      <c r="K914">
        <v>1650</v>
      </c>
      <c r="L914">
        <v>0</v>
      </c>
      <c r="M914">
        <v>0</v>
      </c>
      <c r="N914">
        <v>1650</v>
      </c>
    </row>
    <row r="915" spans="1:14" x14ac:dyDescent="0.25">
      <c r="A915">
        <v>378.21005200000002</v>
      </c>
      <c r="B915" s="1">
        <f>DATE(2011,5,14) + TIME(5,2,28)</f>
        <v>40677.210046296299</v>
      </c>
      <c r="C915">
        <v>80</v>
      </c>
      <c r="D915">
        <v>79.958763122999997</v>
      </c>
      <c r="E915">
        <v>40</v>
      </c>
      <c r="F915">
        <v>39.092388153000002</v>
      </c>
      <c r="G915">
        <v>1338.0225829999999</v>
      </c>
      <c r="H915">
        <v>1335.8297118999999</v>
      </c>
      <c r="I915">
        <v>1327.1776123</v>
      </c>
      <c r="J915">
        <v>1325.755249</v>
      </c>
      <c r="K915">
        <v>1650</v>
      </c>
      <c r="L915">
        <v>0</v>
      </c>
      <c r="M915">
        <v>0</v>
      </c>
      <c r="N915">
        <v>1650</v>
      </c>
    </row>
    <row r="916" spans="1:14" x14ac:dyDescent="0.25">
      <c r="A916">
        <v>378.53439300000002</v>
      </c>
      <c r="B916" s="1">
        <f>DATE(2011,5,14) + TIME(12,49,31)</f>
        <v>40677.534386574072</v>
      </c>
      <c r="C916">
        <v>80</v>
      </c>
      <c r="D916">
        <v>79.958679199000002</v>
      </c>
      <c r="E916">
        <v>40</v>
      </c>
      <c r="F916">
        <v>39.075458527000002</v>
      </c>
      <c r="G916">
        <v>1338.015625</v>
      </c>
      <c r="H916">
        <v>1335.8276367000001</v>
      </c>
      <c r="I916">
        <v>1327.1763916</v>
      </c>
      <c r="J916">
        <v>1325.7535399999999</v>
      </c>
      <c r="K916">
        <v>1650</v>
      </c>
      <c r="L916">
        <v>0</v>
      </c>
      <c r="M916">
        <v>0</v>
      </c>
      <c r="N916">
        <v>1650</v>
      </c>
    </row>
    <row r="917" spans="1:14" x14ac:dyDescent="0.25">
      <c r="A917">
        <v>378.87076300000001</v>
      </c>
      <c r="B917" s="1">
        <f>DATE(2011,5,14) + TIME(20,53,53)</f>
        <v>40677.870752314811</v>
      </c>
      <c r="C917">
        <v>80</v>
      </c>
      <c r="D917">
        <v>79.958602905000006</v>
      </c>
      <c r="E917">
        <v>40</v>
      </c>
      <c r="F917">
        <v>39.058063507</v>
      </c>
      <c r="G917">
        <v>1338.0086670000001</v>
      </c>
      <c r="H917">
        <v>1335.8255615</v>
      </c>
      <c r="I917">
        <v>1327.1751709</v>
      </c>
      <c r="J917">
        <v>1325.7517089999999</v>
      </c>
      <c r="K917">
        <v>1650</v>
      </c>
      <c r="L917">
        <v>0</v>
      </c>
      <c r="M917">
        <v>0</v>
      </c>
      <c r="N917">
        <v>1650</v>
      </c>
    </row>
    <row r="918" spans="1:14" x14ac:dyDescent="0.25">
      <c r="A918">
        <v>379.213213</v>
      </c>
      <c r="B918" s="1">
        <f>DATE(2011,5,15) + TIME(5,7,1)</f>
        <v>40678.213206018518</v>
      </c>
      <c r="C918">
        <v>80</v>
      </c>
      <c r="D918">
        <v>79.958518982000001</v>
      </c>
      <c r="E918">
        <v>40</v>
      </c>
      <c r="F918">
        <v>39.040447235000002</v>
      </c>
      <c r="G918">
        <v>1338.0014647999999</v>
      </c>
      <c r="H918">
        <v>1335.8233643000001</v>
      </c>
      <c r="I918">
        <v>1327.1738281</v>
      </c>
      <c r="J918">
        <v>1325.7497559000001</v>
      </c>
      <c r="K918">
        <v>1650</v>
      </c>
      <c r="L918">
        <v>0</v>
      </c>
      <c r="M918">
        <v>0</v>
      </c>
      <c r="N918">
        <v>1650</v>
      </c>
    </row>
    <row r="919" spans="1:14" x14ac:dyDescent="0.25">
      <c r="A919">
        <v>379.56279699999999</v>
      </c>
      <c r="B919" s="1">
        <f>DATE(2011,5,15) + TIME(13,30,25)</f>
        <v>40678.562789351854</v>
      </c>
      <c r="C919">
        <v>80</v>
      </c>
      <c r="D919">
        <v>79.958435058999996</v>
      </c>
      <c r="E919">
        <v>40</v>
      </c>
      <c r="F919">
        <v>39.022575377999999</v>
      </c>
      <c r="G919">
        <v>1337.9943848</v>
      </c>
      <c r="H919">
        <v>1335.8212891000001</v>
      </c>
      <c r="I919">
        <v>1327.1723632999999</v>
      </c>
      <c r="J919">
        <v>1325.7478027</v>
      </c>
      <c r="K919">
        <v>1650</v>
      </c>
      <c r="L919">
        <v>0</v>
      </c>
      <c r="M919">
        <v>0</v>
      </c>
      <c r="N919">
        <v>1650</v>
      </c>
    </row>
    <row r="920" spans="1:14" x14ac:dyDescent="0.25">
      <c r="A920">
        <v>379.92054100000001</v>
      </c>
      <c r="B920" s="1">
        <f>DATE(2011,5,15) + TIME(22,5,34)</f>
        <v>40678.920532407406</v>
      </c>
      <c r="C920">
        <v>80</v>
      </c>
      <c r="D920">
        <v>79.958351135000001</v>
      </c>
      <c r="E920">
        <v>40</v>
      </c>
      <c r="F920">
        <v>39.004413605000003</v>
      </c>
      <c r="G920">
        <v>1337.9874268000001</v>
      </c>
      <c r="H920">
        <v>1335.8192139</v>
      </c>
      <c r="I920">
        <v>1327.1710204999999</v>
      </c>
      <c r="J920">
        <v>1325.7458495999999</v>
      </c>
      <c r="K920">
        <v>1650</v>
      </c>
      <c r="L920">
        <v>0</v>
      </c>
      <c r="M920">
        <v>0</v>
      </c>
      <c r="N920">
        <v>1650</v>
      </c>
    </row>
    <row r="921" spans="1:14" x14ac:dyDescent="0.25">
      <c r="A921">
        <v>380.28766200000001</v>
      </c>
      <c r="B921" s="1">
        <f>DATE(2011,5,16) + TIME(6,54,13)</f>
        <v>40679.28765046296</v>
      </c>
      <c r="C921">
        <v>80</v>
      </c>
      <c r="D921">
        <v>79.958267211999996</v>
      </c>
      <c r="E921">
        <v>40</v>
      </c>
      <c r="F921">
        <v>38.985916138</v>
      </c>
      <c r="G921">
        <v>1337.9803466999999</v>
      </c>
      <c r="H921">
        <v>1335.8171387</v>
      </c>
      <c r="I921">
        <v>1327.1695557</v>
      </c>
      <c r="J921">
        <v>1325.7437743999999</v>
      </c>
      <c r="K921">
        <v>1650</v>
      </c>
      <c r="L921">
        <v>0</v>
      </c>
      <c r="M921">
        <v>0</v>
      </c>
      <c r="N921">
        <v>1650</v>
      </c>
    </row>
    <row r="922" spans="1:14" x14ac:dyDescent="0.25">
      <c r="A922">
        <v>380.665458</v>
      </c>
      <c r="B922" s="1">
        <f>DATE(2011,5,16) + TIME(15,58,15)</f>
        <v>40679.665451388886</v>
      </c>
      <c r="C922">
        <v>80</v>
      </c>
      <c r="D922">
        <v>79.958183289000004</v>
      </c>
      <c r="E922">
        <v>40</v>
      </c>
      <c r="F922">
        <v>38.967041016000003</v>
      </c>
      <c r="G922">
        <v>1337.9732666</v>
      </c>
      <c r="H922">
        <v>1335.8150635</v>
      </c>
      <c r="I922">
        <v>1327.1679687999999</v>
      </c>
      <c r="J922">
        <v>1325.7415771000001</v>
      </c>
      <c r="K922">
        <v>1650</v>
      </c>
      <c r="L922">
        <v>0</v>
      </c>
      <c r="M922">
        <v>0</v>
      </c>
      <c r="N922">
        <v>1650</v>
      </c>
    </row>
    <row r="923" spans="1:14" x14ac:dyDescent="0.25">
      <c r="A923">
        <v>381.04606000000001</v>
      </c>
      <c r="B923" s="1">
        <f>DATE(2011,5,17) + TIME(1,6,19)</f>
        <v>40680.046053240738</v>
      </c>
      <c r="C923">
        <v>80</v>
      </c>
      <c r="D923">
        <v>79.958106994999994</v>
      </c>
      <c r="E923">
        <v>40</v>
      </c>
      <c r="F923">
        <v>38.948089600000003</v>
      </c>
      <c r="G923">
        <v>1337.9661865</v>
      </c>
      <c r="H923">
        <v>1335.8129882999999</v>
      </c>
      <c r="I923">
        <v>1327.1663818</v>
      </c>
      <c r="J923">
        <v>1325.7392577999999</v>
      </c>
      <c r="K923">
        <v>1650</v>
      </c>
      <c r="L923">
        <v>0</v>
      </c>
      <c r="M923">
        <v>0</v>
      </c>
      <c r="N923">
        <v>1650</v>
      </c>
    </row>
    <row r="924" spans="1:14" x14ac:dyDescent="0.25">
      <c r="A924">
        <v>381.42869000000002</v>
      </c>
      <c r="B924" s="1">
        <f>DATE(2011,5,17) + TIME(10,17,18)</f>
        <v>40680.428680555553</v>
      </c>
      <c r="C924">
        <v>80</v>
      </c>
      <c r="D924">
        <v>79.958023071</v>
      </c>
      <c r="E924">
        <v>40</v>
      </c>
      <c r="F924">
        <v>38.929107666</v>
      </c>
      <c r="G924">
        <v>1337.9592285000001</v>
      </c>
      <c r="H924">
        <v>1335.8109131000001</v>
      </c>
      <c r="I924">
        <v>1327.1647949000001</v>
      </c>
      <c r="J924">
        <v>1325.7369385</v>
      </c>
      <c r="K924">
        <v>1650</v>
      </c>
      <c r="L924">
        <v>0</v>
      </c>
      <c r="M924">
        <v>0</v>
      </c>
      <c r="N924">
        <v>1650</v>
      </c>
    </row>
    <row r="925" spans="1:14" x14ac:dyDescent="0.25">
      <c r="A925">
        <v>381.81426599999998</v>
      </c>
      <c r="B925" s="1">
        <f>DATE(2011,5,17) + TIME(19,32,32)</f>
        <v>40680.814259259256</v>
      </c>
      <c r="C925">
        <v>80</v>
      </c>
      <c r="D925">
        <v>79.957939147999994</v>
      </c>
      <c r="E925">
        <v>40</v>
      </c>
      <c r="F925">
        <v>38.910083770999996</v>
      </c>
      <c r="G925">
        <v>1337.9525146000001</v>
      </c>
      <c r="H925">
        <v>1335.8089600000001</v>
      </c>
      <c r="I925">
        <v>1327.1630858999999</v>
      </c>
      <c r="J925">
        <v>1325.7346190999999</v>
      </c>
      <c r="K925">
        <v>1650</v>
      </c>
      <c r="L925">
        <v>0</v>
      </c>
      <c r="M925">
        <v>0</v>
      </c>
      <c r="N925">
        <v>1650</v>
      </c>
    </row>
    <row r="926" spans="1:14" x14ac:dyDescent="0.25">
      <c r="A926">
        <v>382.20371599999999</v>
      </c>
      <c r="B926" s="1">
        <f>DATE(2011,5,18) + TIME(4,53,21)</f>
        <v>40681.203715277778</v>
      </c>
      <c r="C926">
        <v>80</v>
      </c>
      <c r="D926">
        <v>79.957862853999998</v>
      </c>
      <c r="E926">
        <v>40</v>
      </c>
      <c r="F926">
        <v>38.890979766999997</v>
      </c>
      <c r="G926">
        <v>1337.9458007999999</v>
      </c>
      <c r="H926">
        <v>1335.8071289</v>
      </c>
      <c r="I926">
        <v>1327.1613769999999</v>
      </c>
      <c r="J926">
        <v>1325.7321777</v>
      </c>
      <c r="K926">
        <v>1650</v>
      </c>
      <c r="L926">
        <v>0</v>
      </c>
      <c r="M926">
        <v>0</v>
      </c>
      <c r="N926">
        <v>1650</v>
      </c>
    </row>
    <row r="927" spans="1:14" x14ac:dyDescent="0.25">
      <c r="A927">
        <v>382.59796799999998</v>
      </c>
      <c r="B927" s="1">
        <f>DATE(2011,5,18) + TIME(14,21,4)</f>
        <v>40681.597962962966</v>
      </c>
      <c r="C927">
        <v>80</v>
      </c>
      <c r="D927">
        <v>79.957778931000007</v>
      </c>
      <c r="E927">
        <v>40</v>
      </c>
      <c r="F927">
        <v>38.871772765999999</v>
      </c>
      <c r="G927">
        <v>1337.9392089999999</v>
      </c>
      <c r="H927">
        <v>1335.8052978999999</v>
      </c>
      <c r="I927">
        <v>1327.159668</v>
      </c>
      <c r="J927">
        <v>1325.7297363</v>
      </c>
      <c r="K927">
        <v>1650</v>
      </c>
      <c r="L927">
        <v>0</v>
      </c>
      <c r="M927">
        <v>0</v>
      </c>
      <c r="N927">
        <v>1650</v>
      </c>
    </row>
    <row r="928" spans="1:14" x14ac:dyDescent="0.25">
      <c r="A928">
        <v>382.99726399999997</v>
      </c>
      <c r="B928" s="1">
        <f>DATE(2011,5,18) + TIME(23,56,3)</f>
        <v>40681.997256944444</v>
      </c>
      <c r="C928">
        <v>80</v>
      </c>
      <c r="D928">
        <v>79.957702636999997</v>
      </c>
      <c r="E928">
        <v>40</v>
      </c>
      <c r="F928">
        <v>38.852458953999999</v>
      </c>
      <c r="G928">
        <v>1337.9327393000001</v>
      </c>
      <c r="H928">
        <v>1335.8034668</v>
      </c>
      <c r="I928">
        <v>1327.1579589999999</v>
      </c>
      <c r="J928">
        <v>1325.7271728999999</v>
      </c>
      <c r="K928">
        <v>1650</v>
      </c>
      <c r="L928">
        <v>0</v>
      </c>
      <c r="M928">
        <v>0</v>
      </c>
      <c r="N928">
        <v>1650</v>
      </c>
    </row>
    <row r="929" spans="1:14" x14ac:dyDescent="0.25">
      <c r="A929">
        <v>383.40195599999998</v>
      </c>
      <c r="B929" s="1">
        <f>DATE(2011,5,19) + TIME(9,38,49)</f>
        <v>40682.401956018519</v>
      </c>
      <c r="C929">
        <v>80</v>
      </c>
      <c r="D929">
        <v>79.957626343000001</v>
      </c>
      <c r="E929">
        <v>40</v>
      </c>
      <c r="F929">
        <v>38.833023071</v>
      </c>
      <c r="G929">
        <v>1337.9262695</v>
      </c>
      <c r="H929">
        <v>1335.8016356999999</v>
      </c>
      <c r="I929">
        <v>1327.1561279</v>
      </c>
      <c r="J929">
        <v>1325.7246094</v>
      </c>
      <c r="K929">
        <v>1650</v>
      </c>
      <c r="L929">
        <v>0</v>
      </c>
      <c r="M929">
        <v>0</v>
      </c>
      <c r="N929">
        <v>1650</v>
      </c>
    </row>
    <row r="930" spans="1:14" x14ac:dyDescent="0.25">
      <c r="A930">
        <v>383.81327399999998</v>
      </c>
      <c r="B930" s="1">
        <f>DATE(2011,5,19) + TIME(19,31,6)</f>
        <v>40682.813263888886</v>
      </c>
      <c r="C930">
        <v>80</v>
      </c>
      <c r="D930">
        <v>79.957550049000005</v>
      </c>
      <c r="E930">
        <v>40</v>
      </c>
      <c r="F930">
        <v>38.813426970999998</v>
      </c>
      <c r="G930">
        <v>1337.9199219</v>
      </c>
      <c r="H930">
        <v>1335.7999268000001</v>
      </c>
      <c r="I930">
        <v>1327.1542969</v>
      </c>
      <c r="J930">
        <v>1325.7219238</v>
      </c>
      <c r="K930">
        <v>1650</v>
      </c>
      <c r="L930">
        <v>0</v>
      </c>
      <c r="M930">
        <v>0</v>
      </c>
      <c r="N930">
        <v>1650</v>
      </c>
    </row>
    <row r="931" spans="1:14" x14ac:dyDescent="0.25">
      <c r="A931">
        <v>384.23250300000001</v>
      </c>
      <c r="B931" s="1">
        <f>DATE(2011,5,20) + TIME(5,34,48)</f>
        <v>40683.232499999998</v>
      </c>
      <c r="C931">
        <v>80</v>
      </c>
      <c r="D931">
        <v>79.957473754999995</v>
      </c>
      <c r="E931">
        <v>40</v>
      </c>
      <c r="F931">
        <v>38.793624878000003</v>
      </c>
      <c r="G931">
        <v>1337.9135742000001</v>
      </c>
      <c r="H931">
        <v>1335.7982178</v>
      </c>
      <c r="I931">
        <v>1327.1523437999999</v>
      </c>
      <c r="J931">
        <v>1325.7192382999999</v>
      </c>
      <c r="K931">
        <v>1650</v>
      </c>
      <c r="L931">
        <v>0</v>
      </c>
      <c r="M931">
        <v>0</v>
      </c>
      <c r="N931">
        <v>1650</v>
      </c>
    </row>
    <row r="932" spans="1:14" x14ac:dyDescent="0.25">
      <c r="A932">
        <v>384.661023</v>
      </c>
      <c r="B932" s="1">
        <f>DATE(2011,5,20) + TIME(15,51,52)</f>
        <v>40683.66101851852</v>
      </c>
      <c r="C932">
        <v>80</v>
      </c>
      <c r="D932">
        <v>79.957397460999999</v>
      </c>
      <c r="E932">
        <v>40</v>
      </c>
      <c r="F932">
        <v>38.773567200000002</v>
      </c>
      <c r="G932">
        <v>1337.9073486</v>
      </c>
      <c r="H932">
        <v>1335.7965088000001</v>
      </c>
      <c r="I932">
        <v>1327.1503906</v>
      </c>
      <c r="J932">
        <v>1325.7164307</v>
      </c>
      <c r="K932">
        <v>1650</v>
      </c>
      <c r="L932">
        <v>0</v>
      </c>
      <c r="M932">
        <v>0</v>
      </c>
      <c r="N932">
        <v>1650</v>
      </c>
    </row>
    <row r="933" spans="1:14" x14ac:dyDescent="0.25">
      <c r="A933">
        <v>385.10052899999999</v>
      </c>
      <c r="B933" s="1">
        <f>DATE(2011,5,21) + TIME(2,24,45)</f>
        <v>40684.10052083333</v>
      </c>
      <c r="C933">
        <v>80</v>
      </c>
      <c r="D933">
        <v>79.957321167000003</v>
      </c>
      <c r="E933">
        <v>40</v>
      </c>
      <c r="F933">
        <v>38.753192902000002</v>
      </c>
      <c r="G933">
        <v>1337.901001</v>
      </c>
      <c r="H933">
        <v>1335.7947998</v>
      </c>
      <c r="I933">
        <v>1327.1484375</v>
      </c>
      <c r="J933">
        <v>1325.713501</v>
      </c>
      <c r="K933">
        <v>1650</v>
      </c>
      <c r="L933">
        <v>0</v>
      </c>
      <c r="M933">
        <v>0</v>
      </c>
      <c r="N933">
        <v>1650</v>
      </c>
    </row>
    <row r="934" spans="1:14" x14ac:dyDescent="0.25">
      <c r="A934">
        <v>385.55679600000002</v>
      </c>
      <c r="B934" s="1">
        <f>DATE(2011,5,21) + TIME(13,21,47)</f>
        <v>40684.556793981479</v>
      </c>
      <c r="C934">
        <v>80</v>
      </c>
      <c r="D934">
        <v>79.957244872999993</v>
      </c>
      <c r="E934">
        <v>40</v>
      </c>
      <c r="F934">
        <v>38.732295989999997</v>
      </c>
      <c r="G934">
        <v>1337.8947754000001</v>
      </c>
      <c r="H934">
        <v>1335.7930908000001</v>
      </c>
      <c r="I934">
        <v>1327.1463623</v>
      </c>
      <c r="J934">
        <v>1325.7104492000001</v>
      </c>
      <c r="K934">
        <v>1650</v>
      </c>
      <c r="L934">
        <v>0</v>
      </c>
      <c r="M934">
        <v>0</v>
      </c>
      <c r="N934">
        <v>1650</v>
      </c>
    </row>
    <row r="935" spans="1:14" x14ac:dyDescent="0.25">
      <c r="A935">
        <v>386.03296999999998</v>
      </c>
      <c r="B935" s="1">
        <f>DATE(2011,5,22) + TIME(0,47,28)</f>
        <v>40685.032962962963</v>
      </c>
      <c r="C935">
        <v>80</v>
      </c>
      <c r="D935">
        <v>79.957168578999998</v>
      </c>
      <c r="E935">
        <v>40</v>
      </c>
      <c r="F935">
        <v>38.710765838999997</v>
      </c>
      <c r="G935">
        <v>1337.8884277</v>
      </c>
      <c r="H935">
        <v>1335.7913818</v>
      </c>
      <c r="I935">
        <v>1327.1441649999999</v>
      </c>
      <c r="J935">
        <v>1325.7072754000001</v>
      </c>
      <c r="K935">
        <v>1650</v>
      </c>
      <c r="L935">
        <v>0</v>
      </c>
      <c r="M935">
        <v>0</v>
      </c>
      <c r="N935">
        <v>1650</v>
      </c>
    </row>
    <row r="936" spans="1:14" x14ac:dyDescent="0.25">
      <c r="A936">
        <v>386.51768800000002</v>
      </c>
      <c r="B936" s="1">
        <f>DATE(2011,5,22) + TIME(12,25,28)</f>
        <v>40685.517685185187</v>
      </c>
      <c r="C936">
        <v>80</v>
      </c>
      <c r="D936">
        <v>79.957092285000002</v>
      </c>
      <c r="E936">
        <v>40</v>
      </c>
      <c r="F936">
        <v>38.688968658</v>
      </c>
      <c r="G936">
        <v>1337.8819579999999</v>
      </c>
      <c r="H936">
        <v>1335.7896728999999</v>
      </c>
      <c r="I936">
        <v>1327.1418457</v>
      </c>
      <c r="J936">
        <v>1325.7038574000001</v>
      </c>
      <c r="K936">
        <v>1650</v>
      </c>
      <c r="L936">
        <v>0</v>
      </c>
      <c r="M936">
        <v>0</v>
      </c>
      <c r="N936">
        <v>1650</v>
      </c>
    </row>
    <row r="937" spans="1:14" x14ac:dyDescent="0.25">
      <c r="A937">
        <v>387.01026400000001</v>
      </c>
      <c r="B937" s="1">
        <f>DATE(2011,5,23) + TIME(0,14,46)</f>
        <v>40686.010254629633</v>
      </c>
      <c r="C937">
        <v>80</v>
      </c>
      <c r="D937">
        <v>79.957015991000006</v>
      </c>
      <c r="E937">
        <v>40</v>
      </c>
      <c r="F937">
        <v>38.666942595999998</v>
      </c>
      <c r="G937">
        <v>1337.8754882999999</v>
      </c>
      <c r="H937">
        <v>1335.7878418</v>
      </c>
      <c r="I937">
        <v>1327.1394043</v>
      </c>
      <c r="J937">
        <v>1325.7004394999999</v>
      </c>
      <c r="K937">
        <v>1650</v>
      </c>
      <c r="L937">
        <v>0</v>
      </c>
      <c r="M937">
        <v>0</v>
      </c>
      <c r="N937">
        <v>1650</v>
      </c>
    </row>
    <row r="938" spans="1:14" x14ac:dyDescent="0.25">
      <c r="A938">
        <v>387.51233200000001</v>
      </c>
      <c r="B938" s="1">
        <f>DATE(2011,5,23) + TIME(12,17,45)</f>
        <v>40686.512326388889</v>
      </c>
      <c r="C938">
        <v>80</v>
      </c>
      <c r="D938">
        <v>79.956939696999996</v>
      </c>
      <c r="E938">
        <v>40</v>
      </c>
      <c r="F938">
        <v>38.644649506</v>
      </c>
      <c r="G938">
        <v>1337.8691406</v>
      </c>
      <c r="H938">
        <v>1335.7861327999999</v>
      </c>
      <c r="I938">
        <v>1327.1369629000001</v>
      </c>
      <c r="J938">
        <v>1325.6968993999999</v>
      </c>
      <c r="K938">
        <v>1650</v>
      </c>
      <c r="L938">
        <v>0</v>
      </c>
      <c r="M938">
        <v>0</v>
      </c>
      <c r="N938">
        <v>1650</v>
      </c>
    </row>
    <row r="939" spans="1:14" x14ac:dyDescent="0.25">
      <c r="A939">
        <v>388.02584200000001</v>
      </c>
      <c r="B939" s="1">
        <f>DATE(2011,5,24) + TIME(0,37,12)</f>
        <v>40687.025833333333</v>
      </c>
      <c r="C939">
        <v>80</v>
      </c>
      <c r="D939">
        <v>79.956863403</v>
      </c>
      <c r="E939">
        <v>40</v>
      </c>
      <c r="F939">
        <v>38.622043609999999</v>
      </c>
      <c r="G939">
        <v>1337.862793</v>
      </c>
      <c r="H939">
        <v>1335.7844238</v>
      </c>
      <c r="I939">
        <v>1327.1343993999999</v>
      </c>
      <c r="J939">
        <v>1325.6931152</v>
      </c>
      <c r="K939">
        <v>1650</v>
      </c>
      <c r="L939">
        <v>0</v>
      </c>
      <c r="M939">
        <v>0</v>
      </c>
      <c r="N939">
        <v>1650</v>
      </c>
    </row>
    <row r="940" spans="1:14" x14ac:dyDescent="0.25">
      <c r="A940">
        <v>388.552798</v>
      </c>
      <c r="B940" s="1">
        <f>DATE(2011,5,24) + TIME(13,16,1)</f>
        <v>40687.552789351852</v>
      </c>
      <c r="C940">
        <v>80</v>
      </c>
      <c r="D940">
        <v>79.956787109000004</v>
      </c>
      <c r="E940">
        <v>40</v>
      </c>
      <c r="F940">
        <v>38.599063872999999</v>
      </c>
      <c r="G940">
        <v>1337.8564452999999</v>
      </c>
      <c r="H940">
        <v>1335.7828368999999</v>
      </c>
      <c r="I940">
        <v>1327.1318358999999</v>
      </c>
      <c r="J940">
        <v>1325.6893310999999</v>
      </c>
      <c r="K940">
        <v>1650</v>
      </c>
      <c r="L940">
        <v>0</v>
      </c>
      <c r="M940">
        <v>0</v>
      </c>
      <c r="N940">
        <v>1650</v>
      </c>
    </row>
    <row r="941" spans="1:14" x14ac:dyDescent="0.25">
      <c r="A941">
        <v>389.08232299999997</v>
      </c>
      <c r="B941" s="1">
        <f>DATE(2011,5,25) + TIME(1,58,32)</f>
        <v>40688.082314814812</v>
      </c>
      <c r="C941">
        <v>80</v>
      </c>
      <c r="D941">
        <v>79.956718445000007</v>
      </c>
      <c r="E941">
        <v>40</v>
      </c>
      <c r="F941">
        <v>38.576045989999997</v>
      </c>
      <c r="G941">
        <v>1337.8500977000001</v>
      </c>
      <c r="H941">
        <v>1335.7811279</v>
      </c>
      <c r="I941">
        <v>1327.1290283000001</v>
      </c>
      <c r="J941">
        <v>1325.6853027</v>
      </c>
      <c r="K941">
        <v>1650</v>
      </c>
      <c r="L941">
        <v>0</v>
      </c>
      <c r="M941">
        <v>0</v>
      </c>
      <c r="N941">
        <v>1650</v>
      </c>
    </row>
    <row r="942" spans="1:14" x14ac:dyDescent="0.25">
      <c r="A942">
        <v>389.61309199999999</v>
      </c>
      <c r="B942" s="1">
        <f>DATE(2011,5,25) + TIME(14,42,51)</f>
        <v>40688.61309027778</v>
      </c>
      <c r="C942">
        <v>80</v>
      </c>
      <c r="D942">
        <v>79.956642150999997</v>
      </c>
      <c r="E942">
        <v>40</v>
      </c>
      <c r="F942">
        <v>38.553073883000003</v>
      </c>
      <c r="G942">
        <v>1337.8438721</v>
      </c>
      <c r="H942">
        <v>1335.7794189000001</v>
      </c>
      <c r="I942">
        <v>1327.1263428</v>
      </c>
      <c r="J942">
        <v>1325.6812743999999</v>
      </c>
      <c r="K942">
        <v>1650</v>
      </c>
      <c r="L942">
        <v>0</v>
      </c>
      <c r="M942">
        <v>0</v>
      </c>
      <c r="N942">
        <v>1650</v>
      </c>
    </row>
    <row r="943" spans="1:14" x14ac:dyDescent="0.25">
      <c r="A943">
        <v>390.14722999999998</v>
      </c>
      <c r="B943" s="1">
        <f>DATE(2011,5,26) + TIME(3,32,0)</f>
        <v>40689.147222222222</v>
      </c>
      <c r="C943">
        <v>80</v>
      </c>
      <c r="D943">
        <v>79.956573485999996</v>
      </c>
      <c r="E943">
        <v>40</v>
      </c>
      <c r="F943">
        <v>38.530097961000003</v>
      </c>
      <c r="G943">
        <v>1337.8377685999999</v>
      </c>
      <c r="H943">
        <v>1335.777832</v>
      </c>
      <c r="I943">
        <v>1327.1235352000001</v>
      </c>
      <c r="J943">
        <v>1325.677124</v>
      </c>
      <c r="K943">
        <v>1650</v>
      </c>
      <c r="L943">
        <v>0</v>
      </c>
      <c r="M943">
        <v>0</v>
      </c>
      <c r="N943">
        <v>1650</v>
      </c>
    </row>
    <row r="944" spans="1:14" x14ac:dyDescent="0.25">
      <c r="A944">
        <v>390.68658699999997</v>
      </c>
      <c r="B944" s="1">
        <f>DATE(2011,5,26) + TIME(16,28,41)</f>
        <v>40689.686585648145</v>
      </c>
      <c r="C944">
        <v>80</v>
      </c>
      <c r="D944">
        <v>79.956504821999999</v>
      </c>
      <c r="E944">
        <v>40</v>
      </c>
      <c r="F944">
        <v>38.507083893000001</v>
      </c>
      <c r="G944">
        <v>1337.8317870999999</v>
      </c>
      <c r="H944">
        <v>1335.7762451000001</v>
      </c>
      <c r="I944">
        <v>1327.1206055</v>
      </c>
      <c r="J944">
        <v>1325.6729736</v>
      </c>
      <c r="K944">
        <v>1650</v>
      </c>
      <c r="L944">
        <v>0</v>
      </c>
      <c r="M944">
        <v>0</v>
      </c>
      <c r="N944">
        <v>1650</v>
      </c>
    </row>
    <row r="945" spans="1:14" x14ac:dyDescent="0.25">
      <c r="A945">
        <v>391.23304400000001</v>
      </c>
      <c r="B945" s="1">
        <f>DATE(2011,5,27) + TIME(5,35,34)</f>
        <v>40690.233032407406</v>
      </c>
      <c r="C945">
        <v>80</v>
      </c>
      <c r="D945">
        <v>79.956436156999999</v>
      </c>
      <c r="E945">
        <v>40</v>
      </c>
      <c r="F945">
        <v>38.483970642000003</v>
      </c>
      <c r="G945">
        <v>1337.8259277</v>
      </c>
      <c r="H945">
        <v>1335.7747803</v>
      </c>
      <c r="I945">
        <v>1327.1177978999999</v>
      </c>
      <c r="J945">
        <v>1325.6687012</v>
      </c>
      <c r="K945">
        <v>1650</v>
      </c>
      <c r="L945">
        <v>0</v>
      </c>
      <c r="M945">
        <v>0</v>
      </c>
      <c r="N945">
        <v>1650</v>
      </c>
    </row>
    <row r="946" spans="1:14" x14ac:dyDescent="0.25">
      <c r="A946">
        <v>391.78860300000002</v>
      </c>
      <c r="B946" s="1">
        <f>DATE(2011,5,27) + TIME(18,55,35)</f>
        <v>40690.788599537038</v>
      </c>
      <c r="C946">
        <v>80</v>
      </c>
      <c r="D946">
        <v>79.956367493000002</v>
      </c>
      <c r="E946">
        <v>40</v>
      </c>
      <c r="F946">
        <v>38.460704802999999</v>
      </c>
      <c r="G946">
        <v>1337.8201904</v>
      </c>
      <c r="H946">
        <v>1335.7731934000001</v>
      </c>
      <c r="I946">
        <v>1327.1147461</v>
      </c>
      <c r="J946">
        <v>1325.6641846</v>
      </c>
      <c r="K946">
        <v>1650</v>
      </c>
      <c r="L946">
        <v>0</v>
      </c>
      <c r="M946">
        <v>0</v>
      </c>
      <c r="N946">
        <v>1650</v>
      </c>
    </row>
    <row r="947" spans="1:14" x14ac:dyDescent="0.25">
      <c r="A947">
        <v>392.35546900000003</v>
      </c>
      <c r="B947" s="1">
        <f>DATE(2011,5,28) + TIME(8,31,52)</f>
        <v>40691.355462962965</v>
      </c>
      <c r="C947">
        <v>80</v>
      </c>
      <c r="D947">
        <v>79.956298828000001</v>
      </c>
      <c r="E947">
        <v>40</v>
      </c>
      <c r="F947">
        <v>38.437213898000003</v>
      </c>
      <c r="G947">
        <v>1337.8143310999999</v>
      </c>
      <c r="H947">
        <v>1335.7716064000001</v>
      </c>
      <c r="I947">
        <v>1327.1116943</v>
      </c>
      <c r="J947">
        <v>1325.659668</v>
      </c>
      <c r="K947">
        <v>1650</v>
      </c>
      <c r="L947">
        <v>0</v>
      </c>
      <c r="M947">
        <v>0</v>
      </c>
      <c r="N947">
        <v>1650</v>
      </c>
    </row>
    <row r="948" spans="1:14" x14ac:dyDescent="0.25">
      <c r="A948">
        <v>392.93618099999998</v>
      </c>
      <c r="B948" s="1">
        <f>DATE(2011,5,28) + TIME(22,28,6)</f>
        <v>40691.936180555553</v>
      </c>
      <c r="C948">
        <v>80</v>
      </c>
      <c r="D948">
        <v>79.956237793</v>
      </c>
      <c r="E948">
        <v>40</v>
      </c>
      <c r="F948">
        <v>38.413417815999999</v>
      </c>
      <c r="G948">
        <v>1337.8085937999999</v>
      </c>
      <c r="H948">
        <v>1335.7701416</v>
      </c>
      <c r="I948">
        <v>1327.1085204999999</v>
      </c>
      <c r="J948">
        <v>1325.6550293</v>
      </c>
      <c r="K948">
        <v>1650</v>
      </c>
      <c r="L948">
        <v>0</v>
      </c>
      <c r="M948">
        <v>0</v>
      </c>
      <c r="N948">
        <v>1650</v>
      </c>
    </row>
    <row r="949" spans="1:14" x14ac:dyDescent="0.25">
      <c r="A949">
        <v>393.53019499999999</v>
      </c>
      <c r="B949" s="1">
        <f>DATE(2011,5,29) + TIME(12,43,28)</f>
        <v>40692.530185185184</v>
      </c>
      <c r="C949">
        <v>80</v>
      </c>
      <c r="D949">
        <v>79.956169127999999</v>
      </c>
      <c r="E949">
        <v>40</v>
      </c>
      <c r="F949">
        <v>38.389324188000003</v>
      </c>
      <c r="G949">
        <v>1337.8028564000001</v>
      </c>
      <c r="H949">
        <v>1335.7685547000001</v>
      </c>
      <c r="I949">
        <v>1327.1052245999999</v>
      </c>
      <c r="J949">
        <v>1325.6501464999999</v>
      </c>
      <c r="K949">
        <v>1650</v>
      </c>
      <c r="L949">
        <v>0</v>
      </c>
      <c r="M949">
        <v>0</v>
      </c>
      <c r="N949">
        <v>1650</v>
      </c>
    </row>
    <row r="950" spans="1:14" x14ac:dyDescent="0.25">
      <c r="A950">
        <v>394.134276</v>
      </c>
      <c r="B950" s="1">
        <f>DATE(2011,5,30) + TIME(3,13,21)</f>
        <v>40693.134270833332</v>
      </c>
      <c r="C950">
        <v>80</v>
      </c>
      <c r="D950">
        <v>79.956108092999997</v>
      </c>
      <c r="E950">
        <v>40</v>
      </c>
      <c r="F950">
        <v>38.365016937</v>
      </c>
      <c r="G950">
        <v>1337.7971190999999</v>
      </c>
      <c r="H950">
        <v>1335.7670897999999</v>
      </c>
      <c r="I950">
        <v>1327.1019286999999</v>
      </c>
      <c r="J950">
        <v>1325.6451416</v>
      </c>
      <c r="K950">
        <v>1650</v>
      </c>
      <c r="L950">
        <v>0</v>
      </c>
      <c r="M950">
        <v>0</v>
      </c>
      <c r="N950">
        <v>1650</v>
      </c>
    </row>
    <row r="951" spans="1:14" x14ac:dyDescent="0.25">
      <c r="A951">
        <v>394.75075199999998</v>
      </c>
      <c r="B951" s="1">
        <f>DATE(2011,5,30) + TIME(18,1,5)</f>
        <v>40693.750752314816</v>
      </c>
      <c r="C951">
        <v>80</v>
      </c>
      <c r="D951">
        <v>79.956039429</v>
      </c>
      <c r="E951">
        <v>40</v>
      </c>
      <c r="F951">
        <v>38.340442656999997</v>
      </c>
      <c r="G951">
        <v>1337.7913818</v>
      </c>
      <c r="H951">
        <v>1335.7655029</v>
      </c>
      <c r="I951">
        <v>1327.0983887</v>
      </c>
      <c r="J951">
        <v>1325.6398925999999</v>
      </c>
      <c r="K951">
        <v>1650</v>
      </c>
      <c r="L951">
        <v>0</v>
      </c>
      <c r="M951">
        <v>0</v>
      </c>
      <c r="N951">
        <v>1650</v>
      </c>
    </row>
    <row r="952" spans="1:14" x14ac:dyDescent="0.25">
      <c r="A952">
        <v>395.38193899999999</v>
      </c>
      <c r="B952" s="1">
        <f>DATE(2011,5,31) + TIME(9,9,59)</f>
        <v>40694.381932870368</v>
      </c>
      <c r="C952">
        <v>80</v>
      </c>
      <c r="D952">
        <v>79.955978393999999</v>
      </c>
      <c r="E952">
        <v>40</v>
      </c>
      <c r="F952">
        <v>38.315536498999997</v>
      </c>
      <c r="G952">
        <v>1337.7856445</v>
      </c>
      <c r="H952">
        <v>1335.7639160000001</v>
      </c>
      <c r="I952">
        <v>1327.0948486</v>
      </c>
      <c r="J952">
        <v>1325.6345214999999</v>
      </c>
      <c r="K952">
        <v>1650</v>
      </c>
      <c r="L952">
        <v>0</v>
      </c>
      <c r="M952">
        <v>0</v>
      </c>
      <c r="N952">
        <v>1650</v>
      </c>
    </row>
    <row r="953" spans="1:14" x14ac:dyDescent="0.25">
      <c r="A953">
        <v>396</v>
      </c>
      <c r="B953" s="1">
        <f>DATE(2011,6,1) + TIME(0,0,0)</f>
        <v>40695</v>
      </c>
      <c r="C953">
        <v>80</v>
      </c>
      <c r="D953">
        <v>79.955917357999994</v>
      </c>
      <c r="E953">
        <v>40</v>
      </c>
      <c r="F953">
        <v>38.291049956999998</v>
      </c>
      <c r="G953">
        <v>1337.7799072</v>
      </c>
      <c r="H953">
        <v>1335.7624512</v>
      </c>
      <c r="I953">
        <v>1327.0911865</v>
      </c>
      <c r="J953">
        <v>1325.6290283000001</v>
      </c>
      <c r="K953">
        <v>1650</v>
      </c>
      <c r="L953">
        <v>0</v>
      </c>
      <c r="M953">
        <v>0</v>
      </c>
      <c r="N953">
        <v>1650</v>
      </c>
    </row>
    <row r="954" spans="1:14" x14ac:dyDescent="0.25">
      <c r="A954">
        <v>396.64836200000002</v>
      </c>
      <c r="B954" s="1">
        <f>DATE(2011,6,1) + TIME(15,33,38)</f>
        <v>40695.648356481484</v>
      </c>
      <c r="C954">
        <v>80</v>
      </c>
      <c r="D954">
        <v>79.955856323000006</v>
      </c>
      <c r="E954">
        <v>40</v>
      </c>
      <c r="F954">
        <v>38.265911101999997</v>
      </c>
      <c r="G954">
        <v>1337.7744141000001</v>
      </c>
      <c r="H954">
        <v>1335.7609863</v>
      </c>
      <c r="I954">
        <v>1327.0874022999999</v>
      </c>
      <c r="J954">
        <v>1325.6235352000001</v>
      </c>
      <c r="K954">
        <v>1650</v>
      </c>
      <c r="L954">
        <v>0</v>
      </c>
      <c r="M954">
        <v>0</v>
      </c>
      <c r="N954">
        <v>1650</v>
      </c>
    </row>
    <row r="955" spans="1:14" x14ac:dyDescent="0.25">
      <c r="A955">
        <v>397.34830299999999</v>
      </c>
      <c r="B955" s="1">
        <f>DATE(2011,6,2) + TIME(8,21,33)</f>
        <v>40696.348298611112</v>
      </c>
      <c r="C955">
        <v>80</v>
      </c>
      <c r="D955">
        <v>79.955795288000004</v>
      </c>
      <c r="E955">
        <v>40</v>
      </c>
      <c r="F955">
        <v>38.239513397000003</v>
      </c>
      <c r="G955">
        <v>1337.7687988</v>
      </c>
      <c r="H955">
        <v>1335.7593993999999</v>
      </c>
      <c r="I955">
        <v>1327.0834961</v>
      </c>
      <c r="J955">
        <v>1325.6176757999999</v>
      </c>
      <c r="K955">
        <v>1650</v>
      </c>
      <c r="L955">
        <v>0</v>
      </c>
      <c r="M955">
        <v>0</v>
      </c>
      <c r="N955">
        <v>1650</v>
      </c>
    </row>
    <row r="956" spans="1:14" x14ac:dyDescent="0.25">
      <c r="A956">
        <v>397.70130699999999</v>
      </c>
      <c r="B956" s="1">
        <f>DATE(2011,6,2) + TIME(16,49,52)</f>
        <v>40696.701296296298</v>
      </c>
      <c r="C956">
        <v>80</v>
      </c>
      <c r="D956">
        <v>79.955749511999997</v>
      </c>
      <c r="E956">
        <v>40</v>
      </c>
      <c r="F956">
        <v>38.223438262999998</v>
      </c>
      <c r="G956">
        <v>1337.7628173999999</v>
      </c>
      <c r="H956">
        <v>1335.7576904</v>
      </c>
      <c r="I956">
        <v>1327.0795897999999</v>
      </c>
      <c r="J956">
        <v>1325.6119385</v>
      </c>
      <c r="K956">
        <v>1650</v>
      </c>
      <c r="L956">
        <v>0</v>
      </c>
      <c r="M956">
        <v>0</v>
      </c>
      <c r="N956">
        <v>1650</v>
      </c>
    </row>
    <row r="957" spans="1:14" x14ac:dyDescent="0.25">
      <c r="A957">
        <v>398.05431099999998</v>
      </c>
      <c r="B957" s="1">
        <f>DATE(2011,6,3) + TIME(1,18,12)</f>
        <v>40697.054305555554</v>
      </c>
      <c r="C957">
        <v>80</v>
      </c>
      <c r="D957">
        <v>79.955703735</v>
      </c>
      <c r="E957">
        <v>40</v>
      </c>
      <c r="F957">
        <v>38.207927703999999</v>
      </c>
      <c r="G957">
        <v>1337.7598877</v>
      </c>
      <c r="H957">
        <v>1335.7569579999999</v>
      </c>
      <c r="I957">
        <v>1327.0772704999999</v>
      </c>
      <c r="J957">
        <v>1325.6083983999999</v>
      </c>
      <c r="K957">
        <v>1650</v>
      </c>
      <c r="L957">
        <v>0</v>
      </c>
      <c r="M957">
        <v>0</v>
      </c>
      <c r="N957">
        <v>1650</v>
      </c>
    </row>
    <row r="958" spans="1:14" x14ac:dyDescent="0.25">
      <c r="A958">
        <v>398.76031899999998</v>
      </c>
      <c r="B958" s="1">
        <f>DATE(2011,6,3) + TIME(18,14,51)</f>
        <v>40697.760312500002</v>
      </c>
      <c r="C958">
        <v>80</v>
      </c>
      <c r="D958">
        <v>79.955665588000002</v>
      </c>
      <c r="E958">
        <v>40</v>
      </c>
      <c r="F958">
        <v>38.18296814</v>
      </c>
      <c r="G958">
        <v>1337.7570800999999</v>
      </c>
      <c r="H958">
        <v>1335.7561035000001</v>
      </c>
      <c r="I958">
        <v>1327.074707</v>
      </c>
      <c r="J958">
        <v>1325.6043701000001</v>
      </c>
      <c r="K958">
        <v>1650</v>
      </c>
      <c r="L958">
        <v>0</v>
      </c>
      <c r="M958">
        <v>0</v>
      </c>
      <c r="N958">
        <v>1650</v>
      </c>
    </row>
    <row r="959" spans="1:14" x14ac:dyDescent="0.25">
      <c r="A959">
        <v>399.46644900000001</v>
      </c>
      <c r="B959" s="1">
        <f>DATE(2011,6,4) + TIME(11,11,41)</f>
        <v>40698.466446759259</v>
      </c>
      <c r="C959">
        <v>80</v>
      </c>
      <c r="D959">
        <v>79.955612183</v>
      </c>
      <c r="E959">
        <v>40</v>
      </c>
      <c r="F959">
        <v>38.157497405999997</v>
      </c>
      <c r="G959">
        <v>1337.7512207</v>
      </c>
      <c r="H959">
        <v>1335.7543945</v>
      </c>
      <c r="I959">
        <v>1327.0705565999999</v>
      </c>
      <c r="J959">
        <v>1325.5980225000001</v>
      </c>
      <c r="K959">
        <v>1650</v>
      </c>
      <c r="L959">
        <v>0</v>
      </c>
      <c r="M959">
        <v>0</v>
      </c>
      <c r="N959">
        <v>1650</v>
      </c>
    </row>
    <row r="960" spans="1:14" x14ac:dyDescent="0.25">
      <c r="A960">
        <v>400.17804000000001</v>
      </c>
      <c r="B960" s="1">
        <f>DATE(2011,6,5) + TIME(4,16,22)</f>
        <v>40699.178032407406</v>
      </c>
      <c r="C960">
        <v>80</v>
      </c>
      <c r="D960">
        <v>79.955558776999993</v>
      </c>
      <c r="E960">
        <v>40</v>
      </c>
      <c r="F960">
        <v>38.131649017000001</v>
      </c>
      <c r="G960">
        <v>1337.7456055</v>
      </c>
      <c r="H960">
        <v>1335.7528076000001</v>
      </c>
      <c r="I960">
        <v>1327.0661620999999</v>
      </c>
      <c r="J960">
        <v>1325.5914307</v>
      </c>
      <c r="K960">
        <v>1650</v>
      </c>
      <c r="L960">
        <v>0</v>
      </c>
      <c r="M960">
        <v>0</v>
      </c>
      <c r="N960">
        <v>1650</v>
      </c>
    </row>
    <row r="961" spans="1:14" x14ac:dyDescent="0.25">
      <c r="A961">
        <v>400.89828799999998</v>
      </c>
      <c r="B961" s="1">
        <f>DATE(2011,6,5) + TIME(21,33,32)</f>
        <v>40699.898287037038</v>
      </c>
      <c r="C961">
        <v>80</v>
      </c>
      <c r="D961">
        <v>79.955505371000001</v>
      </c>
      <c r="E961">
        <v>40</v>
      </c>
      <c r="F961">
        <v>38.105487822999997</v>
      </c>
      <c r="G961">
        <v>1337.7401123</v>
      </c>
      <c r="H961">
        <v>1335.7512207</v>
      </c>
      <c r="I961">
        <v>1327.0617675999999</v>
      </c>
      <c r="J961">
        <v>1325.5847168</v>
      </c>
      <c r="K961">
        <v>1650</v>
      </c>
      <c r="L961">
        <v>0</v>
      </c>
      <c r="M961">
        <v>0</v>
      </c>
      <c r="N961">
        <v>1650</v>
      </c>
    </row>
    <row r="962" spans="1:14" x14ac:dyDescent="0.25">
      <c r="A962">
        <v>401.63043900000002</v>
      </c>
      <c r="B962" s="1">
        <f>DATE(2011,6,6) + TIME(15,7,49)</f>
        <v>40700.630428240744</v>
      </c>
      <c r="C962">
        <v>80</v>
      </c>
      <c r="D962">
        <v>79.955451964999995</v>
      </c>
      <c r="E962">
        <v>40</v>
      </c>
      <c r="F962">
        <v>38.079017639</v>
      </c>
      <c r="G962">
        <v>1337.7346190999999</v>
      </c>
      <c r="H962">
        <v>1335.7496338000001</v>
      </c>
      <c r="I962">
        <v>1327.057251</v>
      </c>
      <c r="J962">
        <v>1325.5778809000001</v>
      </c>
      <c r="K962">
        <v>1650</v>
      </c>
      <c r="L962">
        <v>0</v>
      </c>
      <c r="M962">
        <v>0</v>
      </c>
      <c r="N962">
        <v>1650</v>
      </c>
    </row>
    <row r="963" spans="1:14" x14ac:dyDescent="0.25">
      <c r="A963">
        <v>402.37801100000001</v>
      </c>
      <c r="B963" s="1">
        <f>DATE(2011,6,7) + TIME(9,4,20)</f>
        <v>40701.378009259257</v>
      </c>
      <c r="C963">
        <v>80</v>
      </c>
      <c r="D963">
        <v>79.955398560000006</v>
      </c>
      <c r="E963">
        <v>40</v>
      </c>
      <c r="F963">
        <v>38.052200317</v>
      </c>
      <c r="G963">
        <v>1337.729126</v>
      </c>
      <c r="H963">
        <v>1335.7480469</v>
      </c>
      <c r="I963">
        <v>1327.0526123</v>
      </c>
      <c r="J963">
        <v>1325.5708007999999</v>
      </c>
      <c r="K963">
        <v>1650</v>
      </c>
      <c r="L963">
        <v>0</v>
      </c>
      <c r="M963">
        <v>0</v>
      </c>
      <c r="N963">
        <v>1650</v>
      </c>
    </row>
    <row r="964" spans="1:14" x14ac:dyDescent="0.25">
      <c r="A964">
        <v>403.144474</v>
      </c>
      <c r="B964" s="1">
        <f>DATE(2011,6,8) + TIME(3,28,2)</f>
        <v>40702.144467592596</v>
      </c>
      <c r="C964">
        <v>80</v>
      </c>
      <c r="D964">
        <v>79.955352782999995</v>
      </c>
      <c r="E964">
        <v>40</v>
      </c>
      <c r="F964">
        <v>38.024974823000001</v>
      </c>
      <c r="G964">
        <v>1337.7236327999999</v>
      </c>
      <c r="H964">
        <v>1335.7464600000001</v>
      </c>
      <c r="I964">
        <v>1327.0477295000001</v>
      </c>
      <c r="J964">
        <v>1325.5634766000001</v>
      </c>
      <c r="K964">
        <v>1650</v>
      </c>
      <c r="L964">
        <v>0</v>
      </c>
      <c r="M964">
        <v>0</v>
      </c>
      <c r="N964">
        <v>1650</v>
      </c>
    </row>
    <row r="965" spans="1:14" x14ac:dyDescent="0.25">
      <c r="A965">
        <v>403.93362999999999</v>
      </c>
      <c r="B965" s="1">
        <f>DATE(2011,6,8) + TIME(22,24,25)</f>
        <v>40702.933622685188</v>
      </c>
      <c r="C965">
        <v>80</v>
      </c>
      <c r="D965">
        <v>79.955299377000003</v>
      </c>
      <c r="E965">
        <v>40</v>
      </c>
      <c r="F965">
        <v>37.997261047000002</v>
      </c>
      <c r="G965">
        <v>1337.7181396000001</v>
      </c>
      <c r="H965">
        <v>1335.7448730000001</v>
      </c>
      <c r="I965">
        <v>1327.0428466999999</v>
      </c>
      <c r="J965">
        <v>1325.5557861</v>
      </c>
      <c r="K965">
        <v>1650</v>
      </c>
      <c r="L965">
        <v>0</v>
      </c>
      <c r="M965">
        <v>0</v>
      </c>
      <c r="N965">
        <v>1650</v>
      </c>
    </row>
    <row r="966" spans="1:14" x14ac:dyDescent="0.25">
      <c r="A966">
        <v>404.749752</v>
      </c>
      <c r="B966" s="1">
        <f>DATE(2011,6,9) + TIME(17,59,38)</f>
        <v>40703.749745370369</v>
      </c>
      <c r="C966">
        <v>80</v>
      </c>
      <c r="D966">
        <v>79.955253600999995</v>
      </c>
      <c r="E966">
        <v>40</v>
      </c>
      <c r="F966">
        <v>37.968952178999999</v>
      </c>
      <c r="G966">
        <v>1337.7126464999999</v>
      </c>
      <c r="H966">
        <v>1335.7431641000001</v>
      </c>
      <c r="I966">
        <v>1327.0377197</v>
      </c>
      <c r="J966">
        <v>1325.5479736</v>
      </c>
      <c r="K966">
        <v>1650</v>
      </c>
      <c r="L966">
        <v>0</v>
      </c>
      <c r="M966">
        <v>0</v>
      </c>
      <c r="N966">
        <v>1650</v>
      </c>
    </row>
    <row r="967" spans="1:14" x14ac:dyDescent="0.25">
      <c r="A967">
        <v>405.58007900000001</v>
      </c>
      <c r="B967" s="1">
        <f>DATE(2011,6,10) + TIME(13,55,18)</f>
        <v>40704.580069444448</v>
      </c>
      <c r="C967">
        <v>80</v>
      </c>
      <c r="D967">
        <v>79.955200195000003</v>
      </c>
      <c r="E967">
        <v>40</v>
      </c>
      <c r="F967">
        <v>37.940307617000002</v>
      </c>
      <c r="G967">
        <v>1337.7070312000001</v>
      </c>
      <c r="H967">
        <v>1335.7414550999999</v>
      </c>
      <c r="I967">
        <v>1327.0323486</v>
      </c>
      <c r="J967">
        <v>1325.5396728999999</v>
      </c>
      <c r="K967">
        <v>1650</v>
      </c>
      <c r="L967">
        <v>0</v>
      </c>
      <c r="M967">
        <v>0</v>
      </c>
      <c r="N967">
        <v>1650</v>
      </c>
    </row>
    <row r="968" spans="1:14" x14ac:dyDescent="0.25">
      <c r="A968">
        <v>406.42341099999999</v>
      </c>
      <c r="B968" s="1">
        <f>DATE(2011,6,11) + TIME(10,9,42)</f>
        <v>40705.423402777778</v>
      </c>
      <c r="C968">
        <v>80</v>
      </c>
      <c r="D968">
        <v>79.955154418999996</v>
      </c>
      <c r="E968">
        <v>40</v>
      </c>
      <c r="F968">
        <v>37.911399840999998</v>
      </c>
      <c r="G968">
        <v>1337.7014160000001</v>
      </c>
      <c r="H968">
        <v>1335.7397461</v>
      </c>
      <c r="I968">
        <v>1327.0268555</v>
      </c>
      <c r="J968">
        <v>1325.53125</v>
      </c>
      <c r="K968">
        <v>1650</v>
      </c>
      <c r="L968">
        <v>0</v>
      </c>
      <c r="M968">
        <v>0</v>
      </c>
      <c r="N968">
        <v>1650</v>
      </c>
    </row>
    <row r="969" spans="1:14" x14ac:dyDescent="0.25">
      <c r="A969">
        <v>407.283095</v>
      </c>
      <c r="B969" s="1">
        <f>DATE(2011,6,12) + TIME(6,47,39)</f>
        <v>40706.283090277779</v>
      </c>
      <c r="C969">
        <v>80</v>
      </c>
      <c r="D969">
        <v>79.955108643000003</v>
      </c>
      <c r="E969">
        <v>40</v>
      </c>
      <c r="F969">
        <v>37.882198334000002</v>
      </c>
      <c r="G969">
        <v>1337.6959228999999</v>
      </c>
      <c r="H969">
        <v>1335.7380370999999</v>
      </c>
      <c r="I969">
        <v>1327.0212402</v>
      </c>
      <c r="J969">
        <v>1325.5225829999999</v>
      </c>
      <c r="K969">
        <v>1650</v>
      </c>
      <c r="L969">
        <v>0</v>
      </c>
      <c r="M969">
        <v>0</v>
      </c>
      <c r="N969">
        <v>1650</v>
      </c>
    </row>
    <row r="970" spans="1:14" x14ac:dyDescent="0.25">
      <c r="A970">
        <v>408.16273100000001</v>
      </c>
      <c r="B970" s="1">
        <f>DATE(2011,6,13) + TIME(3,54,19)</f>
        <v>40707.162719907406</v>
      </c>
      <c r="C970">
        <v>80</v>
      </c>
      <c r="D970">
        <v>79.955062866000006</v>
      </c>
      <c r="E970">
        <v>40</v>
      </c>
      <c r="F970">
        <v>37.852645873999997</v>
      </c>
      <c r="G970">
        <v>1337.6904297000001</v>
      </c>
      <c r="H970">
        <v>1335.7364502</v>
      </c>
      <c r="I970">
        <v>1327.0155029</v>
      </c>
      <c r="J970">
        <v>1325.5135498</v>
      </c>
      <c r="K970">
        <v>1650</v>
      </c>
      <c r="L970">
        <v>0</v>
      </c>
      <c r="M970">
        <v>0</v>
      </c>
      <c r="N970">
        <v>1650</v>
      </c>
    </row>
    <row r="971" spans="1:14" x14ac:dyDescent="0.25">
      <c r="A971">
        <v>409.06120700000002</v>
      </c>
      <c r="B971" s="1">
        <f>DATE(2011,6,14) + TIME(1,28,8)</f>
        <v>40708.061203703706</v>
      </c>
      <c r="C971">
        <v>80</v>
      </c>
      <c r="D971">
        <v>79.955017089999998</v>
      </c>
      <c r="E971">
        <v>40</v>
      </c>
      <c r="F971">
        <v>37.822765349999997</v>
      </c>
      <c r="G971">
        <v>1337.6848144999999</v>
      </c>
      <c r="H971">
        <v>1335.7346190999999</v>
      </c>
      <c r="I971">
        <v>1327.0095214999999</v>
      </c>
      <c r="J971">
        <v>1325.5042725000001</v>
      </c>
      <c r="K971">
        <v>1650</v>
      </c>
      <c r="L971">
        <v>0</v>
      </c>
      <c r="M971">
        <v>0</v>
      </c>
      <c r="N971">
        <v>1650</v>
      </c>
    </row>
    <row r="972" spans="1:14" x14ac:dyDescent="0.25">
      <c r="A972">
        <v>409.961412</v>
      </c>
      <c r="B972" s="1">
        <f>DATE(2011,6,14) + TIME(23,4,26)</f>
        <v>40708.961412037039</v>
      </c>
      <c r="C972">
        <v>80</v>
      </c>
      <c r="D972">
        <v>79.954971313000001</v>
      </c>
      <c r="E972">
        <v>40</v>
      </c>
      <c r="F972">
        <v>37.792896270999996</v>
      </c>
      <c r="G972">
        <v>1337.6793213000001</v>
      </c>
      <c r="H972">
        <v>1335.7329102000001</v>
      </c>
      <c r="I972">
        <v>1327.003418</v>
      </c>
      <c r="J972">
        <v>1325.4948730000001</v>
      </c>
      <c r="K972">
        <v>1650</v>
      </c>
      <c r="L972">
        <v>0</v>
      </c>
      <c r="M972">
        <v>0</v>
      </c>
      <c r="N972">
        <v>1650</v>
      </c>
    </row>
    <row r="973" spans="1:14" x14ac:dyDescent="0.25">
      <c r="A973">
        <v>410.86867699999999</v>
      </c>
      <c r="B973" s="1">
        <f>DATE(2011,6,15) + TIME(20,50,53)</f>
        <v>40709.868668981479</v>
      </c>
      <c r="C973">
        <v>80</v>
      </c>
      <c r="D973">
        <v>79.954933166999993</v>
      </c>
      <c r="E973">
        <v>40</v>
      </c>
      <c r="F973">
        <v>37.763031005999999</v>
      </c>
      <c r="G973">
        <v>1337.6739502</v>
      </c>
      <c r="H973">
        <v>1335.7312012</v>
      </c>
      <c r="I973">
        <v>1326.9971923999999</v>
      </c>
      <c r="J973">
        <v>1325.4851074000001</v>
      </c>
      <c r="K973">
        <v>1650</v>
      </c>
      <c r="L973">
        <v>0</v>
      </c>
      <c r="M973">
        <v>0</v>
      </c>
      <c r="N973">
        <v>1650</v>
      </c>
    </row>
    <row r="974" spans="1:14" x14ac:dyDescent="0.25">
      <c r="A974">
        <v>411.78865100000002</v>
      </c>
      <c r="B974" s="1">
        <f>DATE(2011,6,16) + TIME(18,55,39)</f>
        <v>40710.788645833331</v>
      </c>
      <c r="C974">
        <v>80</v>
      </c>
      <c r="D974">
        <v>79.954895019999995</v>
      </c>
      <c r="E974">
        <v>40</v>
      </c>
      <c r="F974">
        <v>37.733097076</v>
      </c>
      <c r="G974">
        <v>1337.6685791</v>
      </c>
      <c r="H974">
        <v>1335.7294922000001</v>
      </c>
      <c r="I974">
        <v>1326.9909668</v>
      </c>
      <c r="J974">
        <v>1325.4753418</v>
      </c>
      <c r="K974">
        <v>1650</v>
      </c>
      <c r="L974">
        <v>0</v>
      </c>
      <c r="M974">
        <v>0</v>
      </c>
      <c r="N974">
        <v>1650</v>
      </c>
    </row>
    <row r="975" spans="1:14" x14ac:dyDescent="0.25">
      <c r="A975">
        <v>412.72600399999999</v>
      </c>
      <c r="B975" s="1">
        <f>DATE(2011,6,17) + TIME(17,25,26)</f>
        <v>40711.725995370369</v>
      </c>
      <c r="C975">
        <v>80</v>
      </c>
      <c r="D975">
        <v>79.954856872999997</v>
      </c>
      <c r="E975">
        <v>40</v>
      </c>
      <c r="F975">
        <v>37.702991486000002</v>
      </c>
      <c r="G975">
        <v>1337.6633300999999</v>
      </c>
      <c r="H975">
        <v>1335.7277832</v>
      </c>
      <c r="I975">
        <v>1326.9846190999999</v>
      </c>
      <c r="J975">
        <v>1325.465332</v>
      </c>
      <c r="K975">
        <v>1650</v>
      </c>
      <c r="L975">
        <v>0</v>
      </c>
      <c r="M975">
        <v>0</v>
      </c>
      <c r="N975">
        <v>1650</v>
      </c>
    </row>
    <row r="976" spans="1:14" x14ac:dyDescent="0.25">
      <c r="A976">
        <v>413.68589600000001</v>
      </c>
      <c r="B976" s="1">
        <f>DATE(2011,6,18) + TIME(16,27,41)</f>
        <v>40712.685891203706</v>
      </c>
      <c r="C976">
        <v>80</v>
      </c>
      <c r="D976">
        <v>79.954818725999999</v>
      </c>
      <c r="E976">
        <v>40</v>
      </c>
      <c r="F976">
        <v>37.672607421999999</v>
      </c>
      <c r="G976">
        <v>1337.6580810999999</v>
      </c>
      <c r="H976">
        <v>1335.7260742000001</v>
      </c>
      <c r="I976">
        <v>1326.9781493999999</v>
      </c>
      <c r="J976">
        <v>1325.4549560999999</v>
      </c>
      <c r="K976">
        <v>1650</v>
      </c>
      <c r="L976">
        <v>0</v>
      </c>
      <c r="M976">
        <v>0</v>
      </c>
      <c r="N976">
        <v>1650</v>
      </c>
    </row>
    <row r="977" spans="1:14" x14ac:dyDescent="0.25">
      <c r="A977">
        <v>414.66151300000001</v>
      </c>
      <c r="B977" s="1">
        <f>DATE(2011,6,19) + TIME(15,52,34)</f>
        <v>40713.661504629628</v>
      </c>
      <c r="C977">
        <v>80</v>
      </c>
      <c r="D977">
        <v>79.954780579000001</v>
      </c>
      <c r="E977">
        <v>40</v>
      </c>
      <c r="F977">
        <v>37.642036437999998</v>
      </c>
      <c r="G977">
        <v>1337.652832</v>
      </c>
      <c r="H977">
        <v>1335.7242432</v>
      </c>
      <c r="I977">
        <v>1326.9714355000001</v>
      </c>
      <c r="J977">
        <v>1325.4443358999999</v>
      </c>
      <c r="K977">
        <v>1650</v>
      </c>
      <c r="L977">
        <v>0</v>
      </c>
      <c r="M977">
        <v>0</v>
      </c>
      <c r="N977">
        <v>1650</v>
      </c>
    </row>
    <row r="978" spans="1:14" x14ac:dyDescent="0.25">
      <c r="A978">
        <v>415.65185500000001</v>
      </c>
      <c r="B978" s="1">
        <f>DATE(2011,6,20) + TIME(15,38,40)</f>
        <v>40714.65185185185</v>
      </c>
      <c r="C978">
        <v>80</v>
      </c>
      <c r="D978">
        <v>79.954750060999999</v>
      </c>
      <c r="E978">
        <v>40</v>
      </c>
      <c r="F978">
        <v>37.611324310000001</v>
      </c>
      <c r="G978">
        <v>1337.6475829999999</v>
      </c>
      <c r="H978">
        <v>1335.7225341999999</v>
      </c>
      <c r="I978">
        <v>1326.9645995999999</v>
      </c>
      <c r="J978">
        <v>1325.4334716999999</v>
      </c>
      <c r="K978">
        <v>1650</v>
      </c>
      <c r="L978">
        <v>0</v>
      </c>
      <c r="M978">
        <v>0</v>
      </c>
      <c r="N978">
        <v>1650</v>
      </c>
    </row>
    <row r="979" spans="1:14" x14ac:dyDescent="0.25">
      <c r="A979">
        <v>416.15523000000002</v>
      </c>
      <c r="B979" s="1">
        <f>DATE(2011,6,21) + TIME(3,43,31)</f>
        <v>40715.155219907407</v>
      </c>
      <c r="C979">
        <v>80</v>
      </c>
      <c r="D979">
        <v>79.954711914000001</v>
      </c>
      <c r="E979">
        <v>40</v>
      </c>
      <c r="F979">
        <v>37.591640472000002</v>
      </c>
      <c r="G979">
        <v>1337.6423339999999</v>
      </c>
      <c r="H979">
        <v>1335.7208252</v>
      </c>
      <c r="I979">
        <v>1326.9581298999999</v>
      </c>
      <c r="J979">
        <v>1325.4234618999999</v>
      </c>
      <c r="K979">
        <v>1650</v>
      </c>
      <c r="L979">
        <v>0</v>
      </c>
      <c r="M979">
        <v>0</v>
      </c>
      <c r="N979">
        <v>1650</v>
      </c>
    </row>
    <row r="980" spans="1:14" x14ac:dyDescent="0.25">
      <c r="A980">
        <v>416.65860500000002</v>
      </c>
      <c r="B980" s="1">
        <f>DATE(2011,6,21) + TIME(15,48,23)</f>
        <v>40715.658599537041</v>
      </c>
      <c r="C980">
        <v>80</v>
      </c>
      <c r="D980">
        <v>79.954689025999997</v>
      </c>
      <c r="E980">
        <v>40</v>
      </c>
      <c r="F980">
        <v>37.573177338000001</v>
      </c>
      <c r="G980">
        <v>1337.6397704999999</v>
      </c>
      <c r="H980">
        <v>1335.7198486</v>
      </c>
      <c r="I980">
        <v>1326.9541016000001</v>
      </c>
      <c r="J980">
        <v>1325.4168701000001</v>
      </c>
      <c r="K980">
        <v>1650</v>
      </c>
      <c r="L980">
        <v>0</v>
      </c>
      <c r="M980">
        <v>0</v>
      </c>
      <c r="N980">
        <v>1650</v>
      </c>
    </row>
    <row r="981" spans="1:14" x14ac:dyDescent="0.25">
      <c r="A981">
        <v>417.16198000000003</v>
      </c>
      <c r="B981" s="1">
        <f>DATE(2011,6,22) + TIME(3,53,15)</f>
        <v>40716.161979166667</v>
      </c>
      <c r="C981">
        <v>80</v>
      </c>
      <c r="D981">
        <v>79.954666137999993</v>
      </c>
      <c r="E981">
        <v>40</v>
      </c>
      <c r="F981">
        <v>37.55562973</v>
      </c>
      <c r="G981">
        <v>1337.637207</v>
      </c>
      <c r="H981">
        <v>1335.7189940999999</v>
      </c>
      <c r="I981">
        <v>1326.9503173999999</v>
      </c>
      <c r="J981">
        <v>1325.4105225000001</v>
      </c>
      <c r="K981">
        <v>1650</v>
      </c>
      <c r="L981">
        <v>0</v>
      </c>
      <c r="M981">
        <v>0</v>
      </c>
      <c r="N981">
        <v>1650</v>
      </c>
    </row>
    <row r="982" spans="1:14" x14ac:dyDescent="0.25">
      <c r="A982">
        <v>417.66535399999998</v>
      </c>
      <c r="B982" s="1">
        <f>DATE(2011,6,22) + TIME(15,58,6)</f>
        <v>40716.665347222224</v>
      </c>
      <c r="C982">
        <v>80</v>
      </c>
      <c r="D982">
        <v>79.954650878999999</v>
      </c>
      <c r="E982">
        <v>40</v>
      </c>
      <c r="F982">
        <v>37.538776398000003</v>
      </c>
      <c r="G982">
        <v>1337.6346435999999</v>
      </c>
      <c r="H982">
        <v>1335.7181396000001</v>
      </c>
      <c r="I982">
        <v>1326.9464111</v>
      </c>
      <c r="J982">
        <v>1325.4044189000001</v>
      </c>
      <c r="K982">
        <v>1650</v>
      </c>
      <c r="L982">
        <v>0</v>
      </c>
      <c r="M982">
        <v>0</v>
      </c>
      <c r="N982">
        <v>1650</v>
      </c>
    </row>
    <row r="983" spans="1:14" x14ac:dyDescent="0.25">
      <c r="A983">
        <v>418.16872899999998</v>
      </c>
      <c r="B983" s="1">
        <f>DATE(2011,6,23) + TIME(4,2,58)</f>
        <v>40717.168726851851</v>
      </c>
      <c r="C983">
        <v>80</v>
      </c>
      <c r="D983">
        <v>79.954635620000005</v>
      </c>
      <c r="E983">
        <v>40</v>
      </c>
      <c r="F983">
        <v>37.522453308000003</v>
      </c>
      <c r="G983">
        <v>1337.6322021000001</v>
      </c>
      <c r="H983">
        <v>1335.7172852000001</v>
      </c>
      <c r="I983">
        <v>1326.942749</v>
      </c>
      <c r="J983">
        <v>1325.3983154</v>
      </c>
      <c r="K983">
        <v>1650</v>
      </c>
      <c r="L983">
        <v>0</v>
      </c>
      <c r="M983">
        <v>0</v>
      </c>
      <c r="N983">
        <v>1650</v>
      </c>
    </row>
    <row r="984" spans="1:14" x14ac:dyDescent="0.25">
      <c r="A984">
        <v>418.67210399999999</v>
      </c>
      <c r="B984" s="1">
        <f>DATE(2011,6,23) + TIME(16,7,49)</f>
        <v>40717.672094907408</v>
      </c>
      <c r="C984">
        <v>80</v>
      </c>
      <c r="D984">
        <v>79.954620360999996</v>
      </c>
      <c r="E984">
        <v>40</v>
      </c>
      <c r="F984">
        <v>37.506549835000001</v>
      </c>
      <c r="G984">
        <v>1337.6296387</v>
      </c>
      <c r="H984">
        <v>1335.7164307</v>
      </c>
      <c r="I984">
        <v>1326.9390868999999</v>
      </c>
      <c r="J984">
        <v>1325.3923339999999</v>
      </c>
      <c r="K984">
        <v>1650</v>
      </c>
      <c r="L984">
        <v>0</v>
      </c>
      <c r="M984">
        <v>0</v>
      </c>
      <c r="N984">
        <v>1650</v>
      </c>
    </row>
    <row r="985" spans="1:14" x14ac:dyDescent="0.25">
      <c r="A985">
        <v>419.175479</v>
      </c>
      <c r="B985" s="1">
        <f>DATE(2011,6,24) + TIME(4,12,41)</f>
        <v>40718.175474537034</v>
      </c>
      <c r="C985">
        <v>80</v>
      </c>
      <c r="D985">
        <v>79.954605103000006</v>
      </c>
      <c r="E985">
        <v>40</v>
      </c>
      <c r="F985">
        <v>37.490978241000001</v>
      </c>
      <c r="G985">
        <v>1337.6271973</v>
      </c>
      <c r="H985">
        <v>1335.7155762</v>
      </c>
      <c r="I985">
        <v>1326.9354248</v>
      </c>
      <c r="J985">
        <v>1325.3863524999999</v>
      </c>
      <c r="K985">
        <v>1650</v>
      </c>
      <c r="L985">
        <v>0</v>
      </c>
      <c r="M985">
        <v>0</v>
      </c>
      <c r="N985">
        <v>1650</v>
      </c>
    </row>
    <row r="986" spans="1:14" x14ac:dyDescent="0.25">
      <c r="A986">
        <v>420.18222900000001</v>
      </c>
      <c r="B986" s="1">
        <f>DATE(2011,6,25) + TIME(4,22,24)</f>
        <v>40719.182222222225</v>
      </c>
      <c r="C986">
        <v>80</v>
      </c>
      <c r="D986">
        <v>79.954605103000006</v>
      </c>
      <c r="E986">
        <v>40</v>
      </c>
      <c r="F986">
        <v>37.467044829999999</v>
      </c>
      <c r="G986">
        <v>1337.6247559000001</v>
      </c>
      <c r="H986">
        <v>1335.7147216999999</v>
      </c>
      <c r="I986">
        <v>1326.9313964999999</v>
      </c>
      <c r="J986">
        <v>1325.3795166</v>
      </c>
      <c r="K986">
        <v>1650</v>
      </c>
      <c r="L986">
        <v>0</v>
      </c>
      <c r="M986">
        <v>0</v>
      </c>
      <c r="N986">
        <v>1650</v>
      </c>
    </row>
    <row r="987" spans="1:14" x14ac:dyDescent="0.25">
      <c r="A987">
        <v>421.191667</v>
      </c>
      <c r="B987" s="1">
        <f>DATE(2011,6,26) + TIME(4,36,0)</f>
        <v>40720.191666666666</v>
      </c>
      <c r="C987">
        <v>80</v>
      </c>
      <c r="D987">
        <v>79.954589843999997</v>
      </c>
      <c r="E987">
        <v>40</v>
      </c>
      <c r="F987">
        <v>37.440940857000001</v>
      </c>
      <c r="G987">
        <v>1337.6199951000001</v>
      </c>
      <c r="H987">
        <v>1335.7130127</v>
      </c>
      <c r="I987">
        <v>1326.9249268000001</v>
      </c>
      <c r="J987">
        <v>1325.3690185999999</v>
      </c>
      <c r="K987">
        <v>1650</v>
      </c>
      <c r="L987">
        <v>0</v>
      </c>
      <c r="M987">
        <v>0</v>
      </c>
      <c r="N987">
        <v>1650</v>
      </c>
    </row>
    <row r="988" spans="1:14" x14ac:dyDescent="0.25">
      <c r="A988">
        <v>422.22885100000002</v>
      </c>
      <c r="B988" s="1">
        <f>DATE(2011,6,27) + TIME(5,29,32)</f>
        <v>40721.228842592594</v>
      </c>
      <c r="C988">
        <v>80</v>
      </c>
      <c r="D988">
        <v>79.954566955999994</v>
      </c>
      <c r="E988">
        <v>40</v>
      </c>
      <c r="F988">
        <v>37.413444519000002</v>
      </c>
      <c r="G988">
        <v>1337.6152344</v>
      </c>
      <c r="H988">
        <v>1335.7113036999999</v>
      </c>
      <c r="I988">
        <v>1326.9180908000001</v>
      </c>
      <c r="J988">
        <v>1325.3577881000001</v>
      </c>
      <c r="K988">
        <v>1650</v>
      </c>
      <c r="L988">
        <v>0</v>
      </c>
      <c r="M988">
        <v>0</v>
      </c>
      <c r="N988">
        <v>1650</v>
      </c>
    </row>
    <row r="989" spans="1:14" x14ac:dyDescent="0.25">
      <c r="A989">
        <v>423.293252</v>
      </c>
      <c r="B989" s="1">
        <f>DATE(2011,6,28) + TIME(7,2,16)</f>
        <v>40722.293240740742</v>
      </c>
      <c r="C989">
        <v>80</v>
      </c>
      <c r="D989">
        <v>79.954544067</v>
      </c>
      <c r="E989">
        <v>40</v>
      </c>
      <c r="F989">
        <v>37.385093689000001</v>
      </c>
      <c r="G989">
        <v>1337.6104736</v>
      </c>
      <c r="H989">
        <v>1335.7095947</v>
      </c>
      <c r="I989">
        <v>1326.9110106999999</v>
      </c>
      <c r="J989">
        <v>1325.3460693</v>
      </c>
      <c r="K989">
        <v>1650</v>
      </c>
      <c r="L989">
        <v>0</v>
      </c>
      <c r="M989">
        <v>0</v>
      </c>
      <c r="N989">
        <v>1650</v>
      </c>
    </row>
    <row r="990" spans="1:14" x14ac:dyDescent="0.25">
      <c r="A990">
        <v>424.36527799999999</v>
      </c>
      <c r="B990" s="1">
        <f>DATE(2011,6,29) + TIME(8,46,0)</f>
        <v>40723.365277777775</v>
      </c>
      <c r="C990">
        <v>80</v>
      </c>
      <c r="D990">
        <v>79.954528808999996</v>
      </c>
      <c r="E990">
        <v>40</v>
      </c>
      <c r="F990">
        <v>37.356540680000002</v>
      </c>
      <c r="G990">
        <v>1337.6057129000001</v>
      </c>
      <c r="H990">
        <v>1335.7078856999999</v>
      </c>
      <c r="I990">
        <v>1326.9035644999999</v>
      </c>
      <c r="J990">
        <v>1325.3338623</v>
      </c>
      <c r="K990">
        <v>1650</v>
      </c>
      <c r="L990">
        <v>0</v>
      </c>
      <c r="M990">
        <v>0</v>
      </c>
      <c r="N990">
        <v>1650</v>
      </c>
    </row>
    <row r="991" spans="1:14" x14ac:dyDescent="0.25">
      <c r="A991">
        <v>424.90547400000003</v>
      </c>
      <c r="B991" s="1">
        <f>DATE(2011,6,29) + TIME(21,43,52)</f>
        <v>40723.905462962961</v>
      </c>
      <c r="C991">
        <v>80</v>
      </c>
      <c r="D991">
        <v>79.954498290999993</v>
      </c>
      <c r="E991">
        <v>40</v>
      </c>
      <c r="F991">
        <v>37.338157654</v>
      </c>
      <c r="G991">
        <v>1337.6009521000001</v>
      </c>
      <c r="H991">
        <v>1335.7061768000001</v>
      </c>
      <c r="I991">
        <v>1326.8967285000001</v>
      </c>
      <c r="J991">
        <v>1325.3226318</v>
      </c>
      <c r="K991">
        <v>1650</v>
      </c>
      <c r="L991">
        <v>0</v>
      </c>
      <c r="M991">
        <v>0</v>
      </c>
      <c r="N991">
        <v>1650</v>
      </c>
    </row>
    <row r="992" spans="1:14" x14ac:dyDescent="0.25">
      <c r="A992">
        <v>425.45273700000001</v>
      </c>
      <c r="B992" s="1">
        <f>DATE(2011,6,30) + TIME(10,51,56)</f>
        <v>40724.452731481484</v>
      </c>
      <c r="C992">
        <v>80</v>
      </c>
      <c r="D992">
        <v>79.954483031999999</v>
      </c>
      <c r="E992">
        <v>40</v>
      </c>
      <c r="F992">
        <v>37.32101059</v>
      </c>
      <c r="G992">
        <v>1337.5986327999999</v>
      </c>
      <c r="H992">
        <v>1335.7052002</v>
      </c>
      <c r="I992">
        <v>1326.8923339999999</v>
      </c>
      <c r="J992">
        <v>1325.3151855000001</v>
      </c>
      <c r="K992">
        <v>1650</v>
      </c>
      <c r="L992">
        <v>0</v>
      </c>
      <c r="M992">
        <v>0</v>
      </c>
      <c r="N992">
        <v>1650</v>
      </c>
    </row>
    <row r="993" spans="1:14" x14ac:dyDescent="0.25">
      <c r="A993">
        <v>426</v>
      </c>
      <c r="B993" s="1">
        <f>DATE(2011,7,1) + TIME(0,0,0)</f>
        <v>40725</v>
      </c>
      <c r="C993">
        <v>80</v>
      </c>
      <c r="D993">
        <v>79.954467773000005</v>
      </c>
      <c r="E993">
        <v>40</v>
      </c>
      <c r="F993">
        <v>37.304927825999997</v>
      </c>
      <c r="G993">
        <v>1337.5963135</v>
      </c>
      <c r="H993">
        <v>1335.7043457</v>
      </c>
      <c r="I993">
        <v>1326.8881836</v>
      </c>
      <c r="J993">
        <v>1325.3079834</v>
      </c>
      <c r="K993">
        <v>1650</v>
      </c>
      <c r="L993">
        <v>0</v>
      </c>
      <c r="M993">
        <v>0</v>
      </c>
      <c r="N993">
        <v>1650</v>
      </c>
    </row>
    <row r="994" spans="1:14" x14ac:dyDescent="0.25">
      <c r="A994">
        <v>427.07996100000003</v>
      </c>
      <c r="B994" s="1">
        <f>DATE(2011,7,2) + TIME(1,55,8)</f>
        <v>40726.079953703702</v>
      </c>
      <c r="C994">
        <v>80</v>
      </c>
      <c r="D994">
        <v>79.954475403000004</v>
      </c>
      <c r="E994">
        <v>40</v>
      </c>
      <c r="F994">
        <v>37.281600951999998</v>
      </c>
      <c r="G994">
        <v>1337.5939940999999</v>
      </c>
      <c r="H994">
        <v>1335.7034911999999</v>
      </c>
      <c r="I994">
        <v>1326.8835449000001</v>
      </c>
      <c r="J994">
        <v>1325.3000488</v>
      </c>
      <c r="K994">
        <v>1650</v>
      </c>
      <c r="L994">
        <v>0</v>
      </c>
      <c r="M994">
        <v>0</v>
      </c>
      <c r="N994">
        <v>1650</v>
      </c>
    </row>
    <row r="995" spans="1:14" x14ac:dyDescent="0.25">
      <c r="A995">
        <v>428.16715499999998</v>
      </c>
      <c r="B995" s="1">
        <f>DATE(2011,7,3) + TIME(4,0,42)</f>
        <v>40727.16715277778</v>
      </c>
      <c r="C995">
        <v>80</v>
      </c>
      <c r="D995">
        <v>79.954467773000005</v>
      </c>
      <c r="E995">
        <v>40</v>
      </c>
      <c r="F995">
        <v>37.257156371999997</v>
      </c>
      <c r="G995">
        <v>1337.5894774999999</v>
      </c>
      <c r="H995">
        <v>1335.7017822</v>
      </c>
      <c r="I995">
        <v>1326.8767089999999</v>
      </c>
      <c r="J995">
        <v>1325.2882079999999</v>
      </c>
      <c r="K995">
        <v>1650</v>
      </c>
      <c r="L995">
        <v>0</v>
      </c>
      <c r="M995">
        <v>0</v>
      </c>
      <c r="N995">
        <v>1650</v>
      </c>
    </row>
    <row r="996" spans="1:14" x14ac:dyDescent="0.25">
      <c r="A996">
        <v>429.26675299999999</v>
      </c>
      <c r="B996" s="1">
        <f>DATE(2011,7,4) + TIME(6,24,7)</f>
        <v>40728.266747685186</v>
      </c>
      <c r="C996">
        <v>80</v>
      </c>
      <c r="D996">
        <v>79.954452515</v>
      </c>
      <c r="E996">
        <v>40</v>
      </c>
      <c r="F996">
        <v>37.232570647999999</v>
      </c>
      <c r="G996">
        <v>1337.5849608999999</v>
      </c>
      <c r="H996">
        <v>1335.7001952999999</v>
      </c>
      <c r="I996">
        <v>1326.8695068</v>
      </c>
      <c r="J996">
        <v>1325.2758789</v>
      </c>
      <c r="K996">
        <v>1650</v>
      </c>
      <c r="L996">
        <v>0</v>
      </c>
      <c r="M996">
        <v>0</v>
      </c>
      <c r="N996">
        <v>1650</v>
      </c>
    </row>
    <row r="997" spans="1:14" x14ac:dyDescent="0.25">
      <c r="A997">
        <v>430.38446800000003</v>
      </c>
      <c r="B997" s="1">
        <f>DATE(2011,7,5) + TIME(9,13,38)</f>
        <v>40729.384467592594</v>
      </c>
      <c r="C997">
        <v>80</v>
      </c>
      <c r="D997">
        <v>79.954444885000001</v>
      </c>
      <c r="E997">
        <v>40</v>
      </c>
      <c r="F997">
        <v>37.208419800000001</v>
      </c>
      <c r="G997">
        <v>1337.5805664</v>
      </c>
      <c r="H997">
        <v>1335.6984863</v>
      </c>
      <c r="I997">
        <v>1326.8621826000001</v>
      </c>
      <c r="J997">
        <v>1325.2630615</v>
      </c>
      <c r="K997">
        <v>1650</v>
      </c>
      <c r="L997">
        <v>0</v>
      </c>
      <c r="M997">
        <v>0</v>
      </c>
      <c r="N997">
        <v>1650</v>
      </c>
    </row>
    <row r="998" spans="1:14" x14ac:dyDescent="0.25">
      <c r="A998">
        <v>431.51068099999998</v>
      </c>
      <c r="B998" s="1">
        <f>DATE(2011,7,6) + TIME(12,15,22)</f>
        <v>40730.510671296295</v>
      </c>
      <c r="C998">
        <v>80</v>
      </c>
      <c r="D998">
        <v>79.954429626000007</v>
      </c>
      <c r="E998">
        <v>40</v>
      </c>
      <c r="F998">
        <v>37.185268401999998</v>
      </c>
      <c r="G998">
        <v>1337.5760498</v>
      </c>
      <c r="H998">
        <v>1335.6967772999999</v>
      </c>
      <c r="I998">
        <v>1326.8546143000001</v>
      </c>
      <c r="J998">
        <v>1325.25</v>
      </c>
      <c r="K998">
        <v>1650</v>
      </c>
      <c r="L998">
        <v>0</v>
      </c>
      <c r="M998">
        <v>0</v>
      </c>
      <c r="N998">
        <v>1650</v>
      </c>
    </row>
    <row r="999" spans="1:14" x14ac:dyDescent="0.25">
      <c r="A999">
        <v>432.64097199999998</v>
      </c>
      <c r="B999" s="1">
        <f>DATE(2011,7,7) + TIME(15,22,59)</f>
        <v>40731.640960648147</v>
      </c>
      <c r="C999">
        <v>80</v>
      </c>
      <c r="D999">
        <v>79.954421996999997</v>
      </c>
      <c r="E999">
        <v>40</v>
      </c>
      <c r="F999">
        <v>37.163600922000001</v>
      </c>
      <c r="G999">
        <v>1337.5717772999999</v>
      </c>
      <c r="H999">
        <v>1335.6950684000001</v>
      </c>
      <c r="I999">
        <v>1326.847168</v>
      </c>
      <c r="J999">
        <v>1325.2366943</v>
      </c>
      <c r="K999">
        <v>1650</v>
      </c>
      <c r="L999">
        <v>0</v>
      </c>
      <c r="M999">
        <v>0</v>
      </c>
      <c r="N999">
        <v>1650</v>
      </c>
    </row>
    <row r="1000" spans="1:14" x14ac:dyDescent="0.25">
      <c r="A1000">
        <v>433.77234700000002</v>
      </c>
      <c r="B1000" s="1">
        <f>DATE(2011,7,8) + TIME(18,32,10)</f>
        <v>40732.772337962961</v>
      </c>
      <c r="C1000">
        <v>80</v>
      </c>
      <c r="D1000">
        <v>79.954414368000002</v>
      </c>
      <c r="E1000">
        <v>40</v>
      </c>
      <c r="F1000">
        <v>37.143856049</v>
      </c>
      <c r="G1000">
        <v>1337.5673827999999</v>
      </c>
      <c r="H1000">
        <v>1335.6933594</v>
      </c>
      <c r="I1000">
        <v>1326.8397216999999</v>
      </c>
      <c r="J1000">
        <v>1325.2233887</v>
      </c>
      <c r="K1000">
        <v>1650</v>
      </c>
      <c r="L1000">
        <v>0</v>
      </c>
      <c r="M1000">
        <v>0</v>
      </c>
      <c r="N1000">
        <v>1650</v>
      </c>
    </row>
    <row r="1001" spans="1:14" x14ac:dyDescent="0.25">
      <c r="A1001">
        <v>434.90957500000002</v>
      </c>
      <c r="B1001" s="1">
        <f>DATE(2011,7,9) + TIME(21,49,47)</f>
        <v>40733.909571759257</v>
      </c>
      <c r="C1001">
        <v>80</v>
      </c>
      <c r="D1001">
        <v>79.954406738000003</v>
      </c>
      <c r="E1001">
        <v>40</v>
      </c>
      <c r="F1001">
        <v>37.126399994000003</v>
      </c>
      <c r="G1001">
        <v>1337.5632324000001</v>
      </c>
      <c r="H1001">
        <v>1335.6917725000001</v>
      </c>
      <c r="I1001">
        <v>1326.8323975000001</v>
      </c>
      <c r="J1001">
        <v>1325.2099608999999</v>
      </c>
      <c r="K1001">
        <v>1650</v>
      </c>
      <c r="L1001">
        <v>0</v>
      </c>
      <c r="M1001">
        <v>0</v>
      </c>
      <c r="N1001">
        <v>1650</v>
      </c>
    </row>
    <row r="1002" spans="1:14" x14ac:dyDescent="0.25">
      <c r="A1002">
        <v>436.05379099999999</v>
      </c>
      <c r="B1002" s="1">
        <f>DATE(2011,7,11) + TIME(1,17,27)</f>
        <v>40735.053784722222</v>
      </c>
      <c r="C1002">
        <v>80</v>
      </c>
      <c r="D1002">
        <v>79.954399108999993</v>
      </c>
      <c r="E1002">
        <v>40</v>
      </c>
      <c r="F1002">
        <v>37.111667633000003</v>
      </c>
      <c r="G1002">
        <v>1337.5589600000001</v>
      </c>
      <c r="H1002">
        <v>1335.6900635</v>
      </c>
      <c r="I1002">
        <v>1326.8250731999999</v>
      </c>
      <c r="J1002">
        <v>1325.1965332</v>
      </c>
      <c r="K1002">
        <v>1650</v>
      </c>
      <c r="L1002">
        <v>0</v>
      </c>
      <c r="M1002">
        <v>0</v>
      </c>
      <c r="N1002">
        <v>1650</v>
      </c>
    </row>
    <row r="1003" spans="1:14" x14ac:dyDescent="0.25">
      <c r="A1003">
        <v>437.21302900000001</v>
      </c>
      <c r="B1003" s="1">
        <f>DATE(2011,7,12) + TIME(5,6,45)</f>
        <v>40736.213020833333</v>
      </c>
      <c r="C1003">
        <v>80</v>
      </c>
      <c r="D1003">
        <v>79.954399108999993</v>
      </c>
      <c r="E1003">
        <v>40</v>
      </c>
      <c r="F1003">
        <v>37.100135803000001</v>
      </c>
      <c r="G1003">
        <v>1337.5548096</v>
      </c>
      <c r="H1003">
        <v>1335.6883545000001</v>
      </c>
      <c r="I1003">
        <v>1326.817749</v>
      </c>
      <c r="J1003">
        <v>1325.1831055</v>
      </c>
      <c r="K1003">
        <v>1650</v>
      </c>
      <c r="L1003">
        <v>0</v>
      </c>
      <c r="M1003">
        <v>0</v>
      </c>
      <c r="N1003">
        <v>1650</v>
      </c>
    </row>
    <row r="1004" spans="1:14" x14ac:dyDescent="0.25">
      <c r="A1004">
        <v>437.80008500000002</v>
      </c>
      <c r="B1004" s="1">
        <f>DATE(2011,7,12) + TIME(19,12,7)</f>
        <v>40736.800081018519</v>
      </c>
      <c r="C1004">
        <v>80</v>
      </c>
      <c r="D1004">
        <v>79.954376221000004</v>
      </c>
      <c r="E1004">
        <v>40</v>
      </c>
      <c r="F1004">
        <v>37.095088959000002</v>
      </c>
      <c r="G1004">
        <v>1337.5507812000001</v>
      </c>
      <c r="H1004">
        <v>1335.6867675999999</v>
      </c>
      <c r="I1004">
        <v>1326.8114014</v>
      </c>
      <c r="J1004">
        <v>1325.1708983999999</v>
      </c>
      <c r="K1004">
        <v>1650</v>
      </c>
      <c r="L1004">
        <v>0</v>
      </c>
      <c r="M1004">
        <v>0</v>
      </c>
      <c r="N1004">
        <v>1650</v>
      </c>
    </row>
    <row r="1005" spans="1:14" x14ac:dyDescent="0.25">
      <c r="A1005">
        <v>438.38713999999999</v>
      </c>
      <c r="B1005" s="1">
        <f>DATE(2011,7,13) + TIME(9,17,28)</f>
        <v>40737.387129629627</v>
      </c>
      <c r="C1005">
        <v>80</v>
      </c>
      <c r="D1005">
        <v>79.954368591000005</v>
      </c>
      <c r="E1005">
        <v>40</v>
      </c>
      <c r="F1005">
        <v>37.091960907000001</v>
      </c>
      <c r="G1005">
        <v>1337.5487060999999</v>
      </c>
      <c r="H1005">
        <v>1335.6859131000001</v>
      </c>
      <c r="I1005">
        <v>1326.8071289</v>
      </c>
      <c r="J1005">
        <v>1325.1628418</v>
      </c>
      <c r="K1005">
        <v>1650</v>
      </c>
      <c r="L1005">
        <v>0</v>
      </c>
      <c r="M1005">
        <v>0</v>
      </c>
      <c r="N1005">
        <v>1650</v>
      </c>
    </row>
    <row r="1006" spans="1:14" x14ac:dyDescent="0.25">
      <c r="A1006">
        <v>438.97419600000001</v>
      </c>
      <c r="B1006" s="1">
        <f>DATE(2011,7,13) + TIME(23,22,50)</f>
        <v>40737.974189814813</v>
      </c>
      <c r="C1006">
        <v>80</v>
      </c>
      <c r="D1006">
        <v>79.954368591000005</v>
      </c>
      <c r="E1006">
        <v>40</v>
      </c>
      <c r="F1006">
        <v>37.090641022</v>
      </c>
      <c r="G1006">
        <v>1337.5466309000001</v>
      </c>
      <c r="H1006">
        <v>1335.6850586</v>
      </c>
      <c r="I1006">
        <v>1326.8031006000001</v>
      </c>
      <c r="J1006">
        <v>1325.1552733999999</v>
      </c>
      <c r="K1006">
        <v>1650</v>
      </c>
      <c r="L1006">
        <v>0</v>
      </c>
      <c r="M1006">
        <v>0</v>
      </c>
      <c r="N1006">
        <v>1650</v>
      </c>
    </row>
    <row r="1007" spans="1:14" x14ac:dyDescent="0.25">
      <c r="A1007">
        <v>439.56125200000002</v>
      </c>
      <c r="B1007" s="1">
        <f>DATE(2011,7,14) + TIME(13,28,12)</f>
        <v>40738.561249999999</v>
      </c>
      <c r="C1007">
        <v>80</v>
      </c>
      <c r="D1007">
        <v>79.954360961999996</v>
      </c>
      <c r="E1007">
        <v>40</v>
      </c>
      <c r="F1007">
        <v>37.091098785</v>
      </c>
      <c r="G1007">
        <v>1337.5446777</v>
      </c>
      <c r="H1007">
        <v>1335.6842041</v>
      </c>
      <c r="I1007">
        <v>1326.7993164</v>
      </c>
      <c r="J1007">
        <v>1325.1479492000001</v>
      </c>
      <c r="K1007">
        <v>1650</v>
      </c>
      <c r="L1007">
        <v>0</v>
      </c>
      <c r="M1007">
        <v>0</v>
      </c>
      <c r="N1007">
        <v>1650</v>
      </c>
    </row>
    <row r="1008" spans="1:14" x14ac:dyDescent="0.25">
      <c r="A1008">
        <v>440.14830799999999</v>
      </c>
      <c r="B1008" s="1">
        <f>DATE(2011,7,15) + TIME(3,33,33)</f>
        <v>40739.148298611108</v>
      </c>
      <c r="C1008">
        <v>80</v>
      </c>
      <c r="D1008">
        <v>79.954360961999996</v>
      </c>
      <c r="E1008">
        <v>40</v>
      </c>
      <c r="F1008">
        <v>37.093341827000003</v>
      </c>
      <c r="G1008">
        <v>1337.5427245999999</v>
      </c>
      <c r="H1008">
        <v>1335.6833495999999</v>
      </c>
      <c r="I1008">
        <v>1326.7956543</v>
      </c>
      <c r="J1008">
        <v>1325.1407471</v>
      </c>
      <c r="K1008">
        <v>1650</v>
      </c>
      <c r="L1008">
        <v>0</v>
      </c>
      <c r="M1008">
        <v>0</v>
      </c>
      <c r="N1008">
        <v>1650</v>
      </c>
    </row>
    <row r="1009" spans="1:14" x14ac:dyDescent="0.25">
      <c r="A1009">
        <v>440.73536300000001</v>
      </c>
      <c r="B1009" s="1">
        <f>DATE(2011,7,15) + TIME(17,38,55)</f>
        <v>40739.735358796293</v>
      </c>
      <c r="C1009">
        <v>80</v>
      </c>
      <c r="D1009">
        <v>79.954360961999996</v>
      </c>
      <c r="E1009">
        <v>40</v>
      </c>
      <c r="F1009">
        <v>37.097423552999999</v>
      </c>
      <c r="G1009">
        <v>1337.5407714999999</v>
      </c>
      <c r="H1009">
        <v>1335.6826172000001</v>
      </c>
      <c r="I1009">
        <v>1326.7921143000001</v>
      </c>
      <c r="J1009">
        <v>1325.1339111</v>
      </c>
      <c r="K1009">
        <v>1650</v>
      </c>
      <c r="L1009">
        <v>0</v>
      </c>
      <c r="M1009">
        <v>0</v>
      </c>
      <c r="N1009">
        <v>1650</v>
      </c>
    </row>
    <row r="1010" spans="1:14" x14ac:dyDescent="0.25">
      <c r="A1010">
        <v>441.32241900000002</v>
      </c>
      <c r="B1010" s="1">
        <f>DATE(2011,7,16) + TIME(7,44,17)</f>
        <v>40740.322418981479</v>
      </c>
      <c r="C1010">
        <v>80</v>
      </c>
      <c r="D1010">
        <v>79.954360961999996</v>
      </c>
      <c r="E1010">
        <v>40</v>
      </c>
      <c r="F1010">
        <v>37.103420258</v>
      </c>
      <c r="G1010">
        <v>1337.5388184000001</v>
      </c>
      <c r="H1010">
        <v>1335.6817627</v>
      </c>
      <c r="I1010">
        <v>1326.7886963000001</v>
      </c>
      <c r="J1010">
        <v>1325.1270752</v>
      </c>
      <c r="K1010">
        <v>1650</v>
      </c>
      <c r="L1010">
        <v>0</v>
      </c>
      <c r="M1010">
        <v>0</v>
      </c>
      <c r="N1010">
        <v>1650</v>
      </c>
    </row>
    <row r="1011" spans="1:14" x14ac:dyDescent="0.25">
      <c r="A1011">
        <v>441.90947499999999</v>
      </c>
      <c r="B1011" s="1">
        <f>DATE(2011,7,16) + TIME(21,49,38)</f>
        <v>40740.909467592595</v>
      </c>
      <c r="C1011">
        <v>80</v>
      </c>
      <c r="D1011">
        <v>79.954360961999996</v>
      </c>
      <c r="E1011">
        <v>40</v>
      </c>
      <c r="F1011">
        <v>37.111434936999999</v>
      </c>
      <c r="G1011">
        <v>1337.5368652</v>
      </c>
      <c r="H1011">
        <v>1335.6809082</v>
      </c>
      <c r="I1011">
        <v>1326.7854004000001</v>
      </c>
      <c r="J1011">
        <v>1325.1203613</v>
      </c>
      <c r="K1011">
        <v>1650</v>
      </c>
      <c r="L1011">
        <v>0</v>
      </c>
      <c r="M1011">
        <v>0</v>
      </c>
      <c r="N1011">
        <v>1650</v>
      </c>
    </row>
    <row r="1012" spans="1:14" x14ac:dyDescent="0.25">
      <c r="A1012">
        <v>443.08358600000003</v>
      </c>
      <c r="B1012" s="1">
        <f>DATE(2011,7,18) + TIME(2,0,21)</f>
        <v>40742.08357638889</v>
      </c>
      <c r="C1012">
        <v>80</v>
      </c>
      <c r="D1012">
        <v>79.954383849999999</v>
      </c>
      <c r="E1012">
        <v>40</v>
      </c>
      <c r="F1012">
        <v>37.126762390000003</v>
      </c>
      <c r="G1012">
        <v>1337.5349120999999</v>
      </c>
      <c r="H1012">
        <v>1335.6801757999999</v>
      </c>
      <c r="I1012">
        <v>1326.7814940999999</v>
      </c>
      <c r="J1012">
        <v>1325.1126709</v>
      </c>
      <c r="K1012">
        <v>1650</v>
      </c>
      <c r="L1012">
        <v>0</v>
      </c>
      <c r="M1012">
        <v>0</v>
      </c>
      <c r="N1012">
        <v>1650</v>
      </c>
    </row>
    <row r="1013" spans="1:14" x14ac:dyDescent="0.25">
      <c r="A1013">
        <v>444.264251</v>
      </c>
      <c r="B1013" s="1">
        <f>DATE(2011,7,19) + TIME(6,20,31)</f>
        <v>40743.264247685183</v>
      </c>
      <c r="C1013">
        <v>80</v>
      </c>
      <c r="D1013">
        <v>79.954391478999995</v>
      </c>
      <c r="E1013">
        <v>40</v>
      </c>
      <c r="F1013">
        <v>37.151470183999997</v>
      </c>
      <c r="G1013">
        <v>1337.5310059000001</v>
      </c>
      <c r="H1013">
        <v>1335.6784668</v>
      </c>
      <c r="I1013">
        <v>1326.7761230000001</v>
      </c>
      <c r="J1013">
        <v>1325.1013184000001</v>
      </c>
      <c r="K1013">
        <v>1650</v>
      </c>
      <c r="L1013">
        <v>0</v>
      </c>
      <c r="M1013">
        <v>0</v>
      </c>
      <c r="N1013">
        <v>1650</v>
      </c>
    </row>
    <row r="1014" spans="1:14" x14ac:dyDescent="0.25">
      <c r="A1014">
        <v>445.48589600000003</v>
      </c>
      <c r="B1014" s="1">
        <f>DATE(2011,7,20) + TIME(11,39,41)</f>
        <v>40744.485891203702</v>
      </c>
      <c r="C1014">
        <v>80</v>
      </c>
      <c r="D1014">
        <v>79.954399108999993</v>
      </c>
      <c r="E1014">
        <v>40</v>
      </c>
      <c r="F1014">
        <v>37.187007903999998</v>
      </c>
      <c r="G1014">
        <v>1337.5272216999999</v>
      </c>
      <c r="H1014">
        <v>1335.6768798999999</v>
      </c>
      <c r="I1014">
        <v>1326.7705077999999</v>
      </c>
      <c r="J1014">
        <v>1325.0893555</v>
      </c>
      <c r="K1014">
        <v>1650</v>
      </c>
      <c r="L1014">
        <v>0</v>
      </c>
      <c r="M1014">
        <v>0</v>
      </c>
      <c r="N1014">
        <v>1650</v>
      </c>
    </row>
    <row r="1015" spans="1:14" x14ac:dyDescent="0.25">
      <c r="A1015">
        <v>446.72637099999997</v>
      </c>
      <c r="B1015" s="1">
        <f>DATE(2011,7,21) + TIME(17,25,58)</f>
        <v>40745.726365740738</v>
      </c>
      <c r="C1015">
        <v>80</v>
      </c>
      <c r="D1015">
        <v>79.954406738000003</v>
      </c>
      <c r="E1015">
        <v>40</v>
      </c>
      <c r="F1015">
        <v>37.235179901000002</v>
      </c>
      <c r="G1015">
        <v>1337.5233154</v>
      </c>
      <c r="H1015">
        <v>1335.6751709</v>
      </c>
      <c r="I1015">
        <v>1326.7647704999999</v>
      </c>
      <c r="J1015">
        <v>1325.0769043</v>
      </c>
      <c r="K1015">
        <v>1650</v>
      </c>
      <c r="L1015">
        <v>0</v>
      </c>
      <c r="M1015">
        <v>0</v>
      </c>
      <c r="N1015">
        <v>1650</v>
      </c>
    </row>
    <row r="1016" spans="1:14" x14ac:dyDescent="0.25">
      <c r="A1016">
        <v>447.348186</v>
      </c>
      <c r="B1016" s="1">
        <f>DATE(2011,7,22) + TIME(8,21,23)</f>
        <v>40746.348182870373</v>
      </c>
      <c r="C1016">
        <v>80</v>
      </c>
      <c r="D1016">
        <v>79.954391478999995</v>
      </c>
      <c r="E1016">
        <v>40</v>
      </c>
      <c r="F1016">
        <v>37.277084350999999</v>
      </c>
      <c r="G1016">
        <v>1337.5195312000001</v>
      </c>
      <c r="H1016">
        <v>1335.6735839999999</v>
      </c>
      <c r="I1016">
        <v>1326.7602539</v>
      </c>
      <c r="J1016">
        <v>1325.0655518000001</v>
      </c>
      <c r="K1016">
        <v>1650</v>
      </c>
      <c r="L1016">
        <v>0</v>
      </c>
      <c r="M1016">
        <v>0</v>
      </c>
      <c r="N1016">
        <v>1650</v>
      </c>
    </row>
    <row r="1017" spans="1:14" x14ac:dyDescent="0.25">
      <c r="A1017">
        <v>447.969855</v>
      </c>
      <c r="B1017" s="1">
        <f>DATE(2011,7,22) + TIME(23,16,35)</f>
        <v>40746.969849537039</v>
      </c>
      <c r="C1017">
        <v>80</v>
      </c>
      <c r="D1017">
        <v>79.954391478999995</v>
      </c>
      <c r="E1017">
        <v>40</v>
      </c>
      <c r="F1017">
        <v>37.320686340000002</v>
      </c>
      <c r="G1017">
        <v>1337.5175781</v>
      </c>
      <c r="H1017">
        <v>1335.6727295000001</v>
      </c>
      <c r="I1017">
        <v>1326.7567139</v>
      </c>
      <c r="J1017">
        <v>1325.0581055</v>
      </c>
      <c r="K1017">
        <v>1650</v>
      </c>
      <c r="L1017">
        <v>0</v>
      </c>
      <c r="M1017">
        <v>0</v>
      </c>
      <c r="N1017">
        <v>1650</v>
      </c>
    </row>
    <row r="1018" spans="1:14" x14ac:dyDescent="0.25">
      <c r="A1018">
        <v>448.59152399999999</v>
      </c>
      <c r="B1018" s="1">
        <f>DATE(2011,7,23) + TIME(14,11,47)</f>
        <v>40747.591516203705</v>
      </c>
      <c r="C1018">
        <v>80</v>
      </c>
      <c r="D1018">
        <v>79.954391478999995</v>
      </c>
      <c r="E1018">
        <v>40</v>
      </c>
      <c r="F1018">
        <v>37.367057799999998</v>
      </c>
      <c r="G1018">
        <v>1337.5157471</v>
      </c>
      <c r="H1018">
        <v>1335.671875</v>
      </c>
      <c r="I1018">
        <v>1326.7535399999999</v>
      </c>
      <c r="J1018">
        <v>1325.0512695</v>
      </c>
      <c r="K1018">
        <v>1650</v>
      </c>
      <c r="L1018">
        <v>0</v>
      </c>
      <c r="M1018">
        <v>0</v>
      </c>
      <c r="N1018">
        <v>1650</v>
      </c>
    </row>
    <row r="1019" spans="1:14" x14ac:dyDescent="0.25">
      <c r="A1019">
        <v>449.21319299999999</v>
      </c>
      <c r="B1019" s="1">
        <f>DATE(2011,7,24) + TIME(5,6,59)</f>
        <v>40748.213182870371</v>
      </c>
      <c r="C1019">
        <v>80</v>
      </c>
      <c r="D1019">
        <v>79.954391478999995</v>
      </c>
      <c r="E1019">
        <v>40</v>
      </c>
      <c r="F1019">
        <v>37.416984558000003</v>
      </c>
      <c r="G1019">
        <v>1337.5137939000001</v>
      </c>
      <c r="H1019">
        <v>1335.6710204999999</v>
      </c>
      <c r="I1019">
        <v>1326.7506103999999</v>
      </c>
      <c r="J1019">
        <v>1325.0446777</v>
      </c>
      <c r="K1019">
        <v>1650</v>
      </c>
      <c r="L1019">
        <v>0</v>
      </c>
      <c r="M1019">
        <v>0</v>
      </c>
      <c r="N1019">
        <v>1650</v>
      </c>
    </row>
    <row r="1020" spans="1:14" x14ac:dyDescent="0.25">
      <c r="A1020">
        <v>449.83486199999999</v>
      </c>
      <c r="B1020" s="1">
        <f>DATE(2011,7,24) + TIME(20,2,12)</f>
        <v>40748.834861111114</v>
      </c>
      <c r="C1020">
        <v>80</v>
      </c>
      <c r="D1020">
        <v>79.954399108999993</v>
      </c>
      <c r="E1020">
        <v>40</v>
      </c>
      <c r="F1020">
        <v>37.471057891999997</v>
      </c>
      <c r="G1020">
        <v>1337.5119629000001</v>
      </c>
      <c r="H1020">
        <v>1335.6701660000001</v>
      </c>
      <c r="I1020">
        <v>1326.7478027</v>
      </c>
      <c r="J1020">
        <v>1325.0384521000001</v>
      </c>
      <c r="K1020">
        <v>1650</v>
      </c>
      <c r="L1020">
        <v>0</v>
      </c>
      <c r="M1020">
        <v>0</v>
      </c>
      <c r="N1020">
        <v>1650</v>
      </c>
    </row>
    <row r="1021" spans="1:14" x14ac:dyDescent="0.25">
      <c r="A1021">
        <v>450.45652999999999</v>
      </c>
      <c r="B1021" s="1">
        <f>DATE(2011,7,25) + TIME(10,57,24)</f>
        <v>40749.45652777778</v>
      </c>
      <c r="C1021">
        <v>80</v>
      </c>
      <c r="D1021">
        <v>79.954399108999993</v>
      </c>
      <c r="E1021">
        <v>40</v>
      </c>
      <c r="F1021">
        <v>37.529750823999997</v>
      </c>
      <c r="G1021">
        <v>1337.5101318</v>
      </c>
      <c r="H1021">
        <v>1335.6693115</v>
      </c>
      <c r="I1021">
        <v>1326.7452393000001</v>
      </c>
      <c r="J1021">
        <v>1325.0324707</v>
      </c>
      <c r="K1021">
        <v>1650</v>
      </c>
      <c r="L1021">
        <v>0</v>
      </c>
      <c r="M1021">
        <v>0</v>
      </c>
      <c r="N1021">
        <v>1650</v>
      </c>
    </row>
    <row r="1022" spans="1:14" x14ac:dyDescent="0.25">
      <c r="A1022">
        <v>451.07819899999998</v>
      </c>
      <c r="B1022" s="1">
        <f>DATE(2011,7,26) + TIME(1,52,36)</f>
        <v>40750.078194444446</v>
      </c>
      <c r="C1022">
        <v>80</v>
      </c>
      <c r="D1022">
        <v>79.954406738000003</v>
      </c>
      <c r="E1022">
        <v>40</v>
      </c>
      <c r="F1022">
        <v>37.593444824000002</v>
      </c>
      <c r="G1022">
        <v>1337.5083007999999</v>
      </c>
      <c r="H1022">
        <v>1335.6685791</v>
      </c>
      <c r="I1022">
        <v>1326.7427978999999</v>
      </c>
      <c r="J1022">
        <v>1325.0266113</v>
      </c>
      <c r="K1022">
        <v>1650</v>
      </c>
      <c r="L1022">
        <v>0</v>
      </c>
      <c r="M1022">
        <v>0</v>
      </c>
      <c r="N1022">
        <v>1650</v>
      </c>
    </row>
    <row r="1023" spans="1:14" x14ac:dyDescent="0.25">
      <c r="A1023">
        <v>451.69986799999998</v>
      </c>
      <c r="B1023" s="1">
        <f>DATE(2011,7,26) + TIME(16,47,48)</f>
        <v>40750.699861111112</v>
      </c>
      <c r="C1023">
        <v>80</v>
      </c>
      <c r="D1023">
        <v>79.954414368000002</v>
      </c>
      <c r="E1023">
        <v>40</v>
      </c>
      <c r="F1023">
        <v>37.662475585999999</v>
      </c>
      <c r="G1023">
        <v>1337.5064697</v>
      </c>
      <c r="H1023">
        <v>1335.6677245999999</v>
      </c>
      <c r="I1023">
        <v>1326.7404785000001</v>
      </c>
      <c r="J1023">
        <v>1325.0209961</v>
      </c>
      <c r="K1023">
        <v>1650</v>
      </c>
      <c r="L1023">
        <v>0</v>
      </c>
      <c r="M1023">
        <v>0</v>
      </c>
      <c r="N1023">
        <v>1650</v>
      </c>
    </row>
    <row r="1024" spans="1:14" x14ac:dyDescent="0.25">
      <c r="A1024">
        <v>452.94320599999998</v>
      </c>
      <c r="B1024" s="1">
        <f>DATE(2011,7,27) + TIME(22,38,13)</f>
        <v>40751.943206018521</v>
      </c>
      <c r="C1024">
        <v>80</v>
      </c>
      <c r="D1024">
        <v>79.954437256000006</v>
      </c>
      <c r="E1024">
        <v>40</v>
      </c>
      <c r="F1024">
        <v>37.773273467999999</v>
      </c>
      <c r="G1024">
        <v>1337.5046387</v>
      </c>
      <c r="H1024">
        <v>1335.6668701000001</v>
      </c>
      <c r="I1024">
        <v>1326.7370605000001</v>
      </c>
      <c r="J1024">
        <v>1325.0146483999999</v>
      </c>
      <c r="K1024">
        <v>1650</v>
      </c>
      <c r="L1024">
        <v>0</v>
      </c>
      <c r="M1024">
        <v>0</v>
      </c>
      <c r="N1024">
        <v>1650</v>
      </c>
    </row>
    <row r="1025" spans="1:14" x14ac:dyDescent="0.25">
      <c r="A1025">
        <v>454.19504999999998</v>
      </c>
      <c r="B1025" s="1">
        <f>DATE(2011,7,29) + TIME(4,40,52)</f>
        <v>40753.1950462963</v>
      </c>
      <c r="C1025">
        <v>80</v>
      </c>
      <c r="D1025">
        <v>79.954452515</v>
      </c>
      <c r="E1025">
        <v>40</v>
      </c>
      <c r="F1025">
        <v>37.921974182</v>
      </c>
      <c r="G1025">
        <v>1337.5009766000001</v>
      </c>
      <c r="H1025">
        <v>1335.6652832</v>
      </c>
      <c r="I1025">
        <v>1326.7340088000001</v>
      </c>
      <c r="J1025">
        <v>1325.0054932</v>
      </c>
      <c r="K1025">
        <v>1650</v>
      </c>
      <c r="L1025">
        <v>0</v>
      </c>
      <c r="M1025">
        <v>0</v>
      </c>
      <c r="N1025">
        <v>1650</v>
      </c>
    </row>
    <row r="1026" spans="1:14" x14ac:dyDescent="0.25">
      <c r="A1026">
        <v>455.46493199999998</v>
      </c>
      <c r="B1026" s="1">
        <f>DATE(2011,7,30) + TIME(11,9,30)</f>
        <v>40754.464930555558</v>
      </c>
      <c r="C1026">
        <v>80</v>
      </c>
      <c r="D1026">
        <v>79.954467773000005</v>
      </c>
      <c r="E1026">
        <v>40</v>
      </c>
      <c r="F1026">
        <v>38.104404449</v>
      </c>
      <c r="G1026">
        <v>1337.4974365</v>
      </c>
      <c r="H1026">
        <v>1335.6635742000001</v>
      </c>
      <c r="I1026">
        <v>1326.7305908000001</v>
      </c>
      <c r="J1026">
        <v>1324.9962158000001</v>
      </c>
      <c r="K1026">
        <v>1650</v>
      </c>
      <c r="L1026">
        <v>0</v>
      </c>
      <c r="M1026">
        <v>0</v>
      </c>
      <c r="N1026">
        <v>1650</v>
      </c>
    </row>
    <row r="1027" spans="1:14" x14ac:dyDescent="0.25">
      <c r="A1027">
        <v>456.75059299999998</v>
      </c>
      <c r="B1027" s="1">
        <f>DATE(2011,7,31) + TIME(18,0,51)</f>
        <v>40755.750590277778</v>
      </c>
      <c r="C1027">
        <v>80</v>
      </c>
      <c r="D1027">
        <v>79.954483031999999</v>
      </c>
      <c r="E1027">
        <v>40</v>
      </c>
      <c r="F1027">
        <v>38.319969176999997</v>
      </c>
      <c r="G1027">
        <v>1337.4938964999999</v>
      </c>
      <c r="H1027">
        <v>1335.6619873</v>
      </c>
      <c r="I1027">
        <v>1326.7272949000001</v>
      </c>
      <c r="J1027">
        <v>1324.9870605000001</v>
      </c>
      <c r="K1027">
        <v>1650</v>
      </c>
      <c r="L1027">
        <v>0</v>
      </c>
      <c r="M1027">
        <v>0</v>
      </c>
      <c r="N1027">
        <v>1650</v>
      </c>
    </row>
    <row r="1028" spans="1:14" x14ac:dyDescent="0.25">
      <c r="A1028">
        <v>457</v>
      </c>
      <c r="B1028" s="1">
        <f>DATE(2011,8,1) + TIME(0,0,0)</f>
        <v>40756</v>
      </c>
      <c r="C1028">
        <v>80</v>
      </c>
      <c r="D1028">
        <v>79.954475403000004</v>
      </c>
      <c r="E1028">
        <v>40</v>
      </c>
      <c r="F1028">
        <v>38.404228209999999</v>
      </c>
      <c r="G1028">
        <v>1337.4903564000001</v>
      </c>
      <c r="H1028">
        <v>1335.6602783000001</v>
      </c>
      <c r="I1028">
        <v>1326.7279053</v>
      </c>
      <c r="J1028">
        <v>1324.9802245999999</v>
      </c>
      <c r="K1028">
        <v>1650</v>
      </c>
      <c r="L1028">
        <v>0</v>
      </c>
      <c r="M1028">
        <v>0</v>
      </c>
      <c r="N1028">
        <v>1650</v>
      </c>
    </row>
    <row r="1029" spans="1:14" x14ac:dyDescent="0.25">
      <c r="A1029">
        <v>457.65088600000001</v>
      </c>
      <c r="B1029" s="1">
        <f>DATE(2011,8,1) + TIME(15,37,16)</f>
        <v>40756.650879629633</v>
      </c>
      <c r="C1029">
        <v>80</v>
      </c>
      <c r="D1029">
        <v>79.954475403000004</v>
      </c>
      <c r="E1029">
        <v>40</v>
      </c>
      <c r="F1029">
        <v>38.565933227999999</v>
      </c>
      <c r="G1029">
        <v>1337.489624</v>
      </c>
      <c r="H1029">
        <v>1335.6599120999999</v>
      </c>
      <c r="I1029">
        <v>1326.7248535000001</v>
      </c>
      <c r="J1029">
        <v>1324.9771728999999</v>
      </c>
      <c r="K1029">
        <v>1650</v>
      </c>
      <c r="L1029">
        <v>0</v>
      </c>
      <c r="M1029">
        <v>0</v>
      </c>
      <c r="N1029">
        <v>1650</v>
      </c>
    </row>
    <row r="1030" spans="1:14" x14ac:dyDescent="0.25">
      <c r="A1030">
        <v>458.29584199999999</v>
      </c>
      <c r="B1030" s="1">
        <f>DATE(2011,8,2) + TIME(7,6,0)</f>
        <v>40757.29583333333</v>
      </c>
      <c r="C1030">
        <v>80</v>
      </c>
      <c r="D1030">
        <v>79.954483031999999</v>
      </c>
      <c r="E1030">
        <v>40</v>
      </c>
      <c r="F1030">
        <v>38.726165770999998</v>
      </c>
      <c r="G1030">
        <v>1337.487793</v>
      </c>
      <c r="H1030">
        <v>1335.6591797000001</v>
      </c>
      <c r="I1030">
        <v>1326.7229004000001</v>
      </c>
      <c r="J1030">
        <v>1324.9725341999999</v>
      </c>
      <c r="K1030">
        <v>1650</v>
      </c>
      <c r="L1030">
        <v>0</v>
      </c>
      <c r="M1030">
        <v>0</v>
      </c>
      <c r="N1030">
        <v>1650</v>
      </c>
    </row>
    <row r="1031" spans="1:14" x14ac:dyDescent="0.25">
      <c r="A1031">
        <v>458.94079900000003</v>
      </c>
      <c r="B1031" s="1">
        <f>DATE(2011,8,2) + TIME(22,34,45)</f>
        <v>40757.940798611111</v>
      </c>
      <c r="C1031">
        <v>80</v>
      </c>
      <c r="D1031">
        <v>79.954483031999999</v>
      </c>
      <c r="E1031">
        <v>40</v>
      </c>
      <c r="F1031">
        <v>38.890178679999998</v>
      </c>
      <c r="G1031">
        <v>1337.4860839999999</v>
      </c>
      <c r="H1031">
        <v>1335.6583252</v>
      </c>
      <c r="I1031">
        <v>1326.7211914</v>
      </c>
      <c r="J1031">
        <v>1324.9685059000001</v>
      </c>
      <c r="K1031">
        <v>1650</v>
      </c>
      <c r="L1031">
        <v>0</v>
      </c>
      <c r="M1031">
        <v>0</v>
      </c>
      <c r="N1031">
        <v>1650</v>
      </c>
    </row>
    <row r="1032" spans="1:14" x14ac:dyDescent="0.25">
      <c r="A1032">
        <v>459.585756</v>
      </c>
      <c r="B1032" s="1">
        <f>DATE(2011,8,3) + TIME(14,3,29)</f>
        <v>40758.585752314815</v>
      </c>
      <c r="C1032">
        <v>80</v>
      </c>
      <c r="D1032">
        <v>79.954490661999998</v>
      </c>
      <c r="E1032">
        <v>40</v>
      </c>
      <c r="F1032">
        <v>39.060218810999999</v>
      </c>
      <c r="G1032">
        <v>1337.484375</v>
      </c>
      <c r="H1032">
        <v>1335.6574707</v>
      </c>
      <c r="I1032">
        <v>1326.7197266000001</v>
      </c>
      <c r="J1032">
        <v>1324.9647216999999</v>
      </c>
      <c r="K1032">
        <v>1650</v>
      </c>
      <c r="L1032">
        <v>0</v>
      </c>
      <c r="M1032">
        <v>0</v>
      </c>
      <c r="N1032">
        <v>1650</v>
      </c>
    </row>
    <row r="1033" spans="1:14" x14ac:dyDescent="0.25">
      <c r="A1033">
        <v>460.23071299999998</v>
      </c>
      <c r="B1033" s="1">
        <f>DATE(2011,8,4) + TIME(5,32,13)</f>
        <v>40759.230706018519</v>
      </c>
      <c r="C1033">
        <v>80</v>
      </c>
      <c r="D1033">
        <v>79.954498290999993</v>
      </c>
      <c r="E1033">
        <v>40</v>
      </c>
      <c r="F1033">
        <v>39.237224578999999</v>
      </c>
      <c r="G1033">
        <v>1337.4826660000001</v>
      </c>
      <c r="H1033">
        <v>1335.6566161999999</v>
      </c>
      <c r="I1033">
        <v>1326.7183838000001</v>
      </c>
      <c r="J1033">
        <v>1324.9611815999999</v>
      </c>
      <c r="K1033">
        <v>1650</v>
      </c>
      <c r="L1033">
        <v>0</v>
      </c>
      <c r="M1033">
        <v>0</v>
      </c>
      <c r="N1033">
        <v>1650</v>
      </c>
    </row>
    <row r="1034" spans="1:14" x14ac:dyDescent="0.25">
      <c r="A1034">
        <v>460.87566900000002</v>
      </c>
      <c r="B1034" s="1">
        <f>DATE(2011,8,4) + TIME(21,0,57)</f>
        <v>40759.875659722224</v>
      </c>
      <c r="C1034">
        <v>80</v>
      </c>
      <c r="D1034">
        <v>79.954505920000003</v>
      </c>
      <c r="E1034">
        <v>40</v>
      </c>
      <c r="F1034">
        <v>39.421455383000001</v>
      </c>
      <c r="G1034">
        <v>1337.480957</v>
      </c>
      <c r="H1034">
        <v>1335.6557617000001</v>
      </c>
      <c r="I1034">
        <v>1326.7171631000001</v>
      </c>
      <c r="J1034">
        <v>1324.9580077999999</v>
      </c>
      <c r="K1034">
        <v>1650</v>
      </c>
      <c r="L1034">
        <v>0</v>
      </c>
      <c r="M1034">
        <v>0</v>
      </c>
      <c r="N1034">
        <v>1650</v>
      </c>
    </row>
    <row r="1035" spans="1:14" x14ac:dyDescent="0.25">
      <c r="A1035">
        <v>461.52062599999999</v>
      </c>
      <c r="B1035" s="1">
        <f>DATE(2011,8,5) + TIME(12,29,42)</f>
        <v>40760.520624999997</v>
      </c>
      <c r="C1035">
        <v>80</v>
      </c>
      <c r="D1035">
        <v>79.954513550000001</v>
      </c>
      <c r="E1035">
        <v>40</v>
      </c>
      <c r="F1035">
        <v>39.612819672000001</v>
      </c>
      <c r="G1035">
        <v>1337.4792480000001</v>
      </c>
      <c r="H1035">
        <v>1335.6550293</v>
      </c>
      <c r="I1035">
        <v>1326.7160644999999</v>
      </c>
      <c r="J1035">
        <v>1324.9550781</v>
      </c>
      <c r="K1035">
        <v>1650</v>
      </c>
      <c r="L1035">
        <v>0</v>
      </c>
      <c r="M1035">
        <v>0</v>
      </c>
      <c r="N1035">
        <v>1650</v>
      </c>
    </row>
    <row r="1036" spans="1:14" x14ac:dyDescent="0.25">
      <c r="A1036">
        <v>462.16558300000003</v>
      </c>
      <c r="B1036" s="1">
        <f>DATE(2011,8,6) + TIME(3,58,26)</f>
        <v>40761.165578703702</v>
      </c>
      <c r="C1036">
        <v>80</v>
      </c>
      <c r="D1036">
        <v>79.954528808999996</v>
      </c>
      <c r="E1036">
        <v>40</v>
      </c>
      <c r="F1036">
        <v>39.811065673999998</v>
      </c>
      <c r="G1036">
        <v>1337.4775391000001</v>
      </c>
      <c r="H1036">
        <v>1335.6541748</v>
      </c>
      <c r="I1036">
        <v>1326.7150879000001</v>
      </c>
      <c r="J1036">
        <v>1324.9522704999999</v>
      </c>
      <c r="K1036">
        <v>1650</v>
      </c>
      <c r="L1036">
        <v>0</v>
      </c>
      <c r="M1036">
        <v>0</v>
      </c>
      <c r="N1036">
        <v>1650</v>
      </c>
    </row>
    <row r="1037" spans="1:14" x14ac:dyDescent="0.25">
      <c r="A1037">
        <v>462.81054</v>
      </c>
      <c r="B1037" s="1">
        <f>DATE(2011,8,6) + TIME(19,27,10)</f>
        <v>40761.810532407406</v>
      </c>
      <c r="C1037">
        <v>80</v>
      </c>
      <c r="D1037">
        <v>79.954536438000005</v>
      </c>
      <c r="E1037">
        <v>40</v>
      </c>
      <c r="F1037">
        <v>40.015903473000002</v>
      </c>
      <c r="G1037">
        <v>1337.4758300999999</v>
      </c>
      <c r="H1037">
        <v>1335.6533202999999</v>
      </c>
      <c r="I1037">
        <v>1326.7142334</v>
      </c>
      <c r="J1037">
        <v>1324.9498291</v>
      </c>
      <c r="K1037">
        <v>1650</v>
      </c>
      <c r="L1037">
        <v>0</v>
      </c>
      <c r="M1037">
        <v>0</v>
      </c>
      <c r="N1037">
        <v>1650</v>
      </c>
    </row>
    <row r="1038" spans="1:14" x14ac:dyDescent="0.25">
      <c r="A1038">
        <v>463.45549599999998</v>
      </c>
      <c r="B1038" s="1">
        <f>DATE(2011,8,7) + TIME(10,55,54)</f>
        <v>40762.45548611111</v>
      </c>
      <c r="C1038">
        <v>80</v>
      </c>
      <c r="D1038">
        <v>79.954544067</v>
      </c>
      <c r="E1038">
        <v>40</v>
      </c>
      <c r="F1038">
        <v>40.227092743</v>
      </c>
      <c r="G1038">
        <v>1337.4741211</v>
      </c>
      <c r="H1038">
        <v>1335.6525879000001</v>
      </c>
      <c r="I1038">
        <v>1326.7133789</v>
      </c>
      <c r="J1038">
        <v>1324.9475098</v>
      </c>
      <c r="K1038">
        <v>1650</v>
      </c>
      <c r="L1038">
        <v>0</v>
      </c>
      <c r="M1038">
        <v>0</v>
      </c>
      <c r="N1038">
        <v>1650</v>
      </c>
    </row>
    <row r="1039" spans="1:14" x14ac:dyDescent="0.25">
      <c r="A1039">
        <v>464.10045300000002</v>
      </c>
      <c r="B1039" s="1">
        <f>DATE(2011,8,8) + TIME(2,24,39)</f>
        <v>40763.100451388891</v>
      </c>
      <c r="C1039">
        <v>80</v>
      </c>
      <c r="D1039">
        <v>79.954551696999999</v>
      </c>
      <c r="E1039">
        <v>40</v>
      </c>
      <c r="F1039">
        <v>40.444301605</v>
      </c>
      <c r="G1039">
        <v>1337.4725341999999</v>
      </c>
      <c r="H1039">
        <v>1335.6517334</v>
      </c>
      <c r="I1039">
        <v>1326.7126464999999</v>
      </c>
      <c r="J1039">
        <v>1324.9453125</v>
      </c>
      <c r="K1039">
        <v>1650</v>
      </c>
      <c r="L1039">
        <v>0</v>
      </c>
      <c r="M1039">
        <v>0</v>
      </c>
      <c r="N1039">
        <v>1650</v>
      </c>
    </row>
    <row r="1040" spans="1:14" x14ac:dyDescent="0.25">
      <c r="A1040">
        <v>464.74540999999999</v>
      </c>
      <c r="B1040" s="1">
        <f>DATE(2011,8,8) + TIME(17,53,23)</f>
        <v>40763.745405092595</v>
      </c>
      <c r="C1040">
        <v>80</v>
      </c>
      <c r="D1040">
        <v>79.954559325999995</v>
      </c>
      <c r="E1040">
        <v>40</v>
      </c>
      <c r="F1040">
        <v>40.667263030999997</v>
      </c>
      <c r="G1040">
        <v>1337.4708252</v>
      </c>
      <c r="H1040">
        <v>1335.651001</v>
      </c>
      <c r="I1040">
        <v>1326.7119141000001</v>
      </c>
      <c r="J1040">
        <v>1324.9433594</v>
      </c>
      <c r="K1040">
        <v>1650</v>
      </c>
      <c r="L1040">
        <v>0</v>
      </c>
      <c r="M1040">
        <v>0</v>
      </c>
      <c r="N1040">
        <v>1650</v>
      </c>
    </row>
    <row r="1041" spans="1:14" x14ac:dyDescent="0.25">
      <c r="A1041">
        <v>466.03532300000001</v>
      </c>
      <c r="B1041" s="1">
        <f>DATE(2011,8,10) + TIME(0,50,51)</f>
        <v>40765.035312499997</v>
      </c>
      <c r="C1041">
        <v>80</v>
      </c>
      <c r="D1041">
        <v>79.954597473000007</v>
      </c>
      <c r="E1041">
        <v>40</v>
      </c>
      <c r="F1041">
        <v>40.998558043999999</v>
      </c>
      <c r="G1041">
        <v>1337.4692382999999</v>
      </c>
      <c r="H1041">
        <v>1335.6501464999999</v>
      </c>
      <c r="I1041">
        <v>1326.7091064000001</v>
      </c>
      <c r="J1041">
        <v>1324.9410399999999</v>
      </c>
      <c r="K1041">
        <v>1650</v>
      </c>
      <c r="L1041">
        <v>0</v>
      </c>
      <c r="M1041">
        <v>0</v>
      </c>
      <c r="N1041">
        <v>1650</v>
      </c>
    </row>
    <row r="1042" spans="1:14" x14ac:dyDescent="0.25">
      <c r="A1042">
        <v>467.34192899999999</v>
      </c>
      <c r="B1042" s="1">
        <f>DATE(2011,8,11) + TIME(8,12,22)</f>
        <v>40766.341921296298</v>
      </c>
      <c r="C1042">
        <v>80</v>
      </c>
      <c r="D1042">
        <v>79.954620360999996</v>
      </c>
      <c r="E1042">
        <v>40</v>
      </c>
      <c r="F1042">
        <v>41.415340424</v>
      </c>
      <c r="G1042">
        <v>1337.4660644999999</v>
      </c>
      <c r="H1042">
        <v>1335.6485596</v>
      </c>
      <c r="I1042">
        <v>1326.7089844</v>
      </c>
      <c r="J1042">
        <v>1324.9379882999999</v>
      </c>
      <c r="K1042">
        <v>1650</v>
      </c>
      <c r="L1042">
        <v>0</v>
      </c>
      <c r="M1042">
        <v>0</v>
      </c>
      <c r="N1042">
        <v>1650</v>
      </c>
    </row>
    <row r="1043" spans="1:14" x14ac:dyDescent="0.25">
      <c r="A1043">
        <v>468.74660399999999</v>
      </c>
      <c r="B1043" s="1">
        <f>DATE(2011,8,12) + TIME(17,55,6)</f>
        <v>40767.74659722222</v>
      </c>
      <c r="C1043">
        <v>80</v>
      </c>
      <c r="D1043">
        <v>79.954643250000004</v>
      </c>
      <c r="E1043">
        <v>40</v>
      </c>
      <c r="F1043">
        <v>41.886199951000002</v>
      </c>
      <c r="G1043">
        <v>1337.4627685999999</v>
      </c>
      <c r="H1043">
        <v>1335.6469727000001</v>
      </c>
      <c r="I1043">
        <v>1326.708374</v>
      </c>
      <c r="J1043">
        <v>1324.9353027</v>
      </c>
      <c r="K1043">
        <v>1650</v>
      </c>
      <c r="L1043">
        <v>0</v>
      </c>
      <c r="M1043">
        <v>0</v>
      </c>
      <c r="N1043">
        <v>1650</v>
      </c>
    </row>
    <row r="1044" spans="1:14" x14ac:dyDescent="0.25">
      <c r="A1044">
        <v>470.18586599999998</v>
      </c>
      <c r="B1044" s="1">
        <f>DATE(2011,8,14) + TIME(4,27,38)</f>
        <v>40769.185856481483</v>
      </c>
      <c r="C1044">
        <v>80</v>
      </c>
      <c r="D1044">
        <v>79.954666137999993</v>
      </c>
      <c r="E1044">
        <v>40</v>
      </c>
      <c r="F1044">
        <v>42.405628204000003</v>
      </c>
      <c r="G1044">
        <v>1337.4593506000001</v>
      </c>
      <c r="H1044">
        <v>1335.6453856999999</v>
      </c>
      <c r="I1044">
        <v>1326.7080077999999</v>
      </c>
      <c r="J1044">
        <v>1324.9329834</v>
      </c>
      <c r="K1044">
        <v>1650</v>
      </c>
      <c r="L1044">
        <v>0</v>
      </c>
      <c r="M1044">
        <v>0</v>
      </c>
      <c r="N1044">
        <v>1650</v>
      </c>
    </row>
    <row r="1045" spans="1:14" x14ac:dyDescent="0.25">
      <c r="A1045">
        <v>471.637001</v>
      </c>
      <c r="B1045" s="1">
        <f>DATE(2011,8,15) + TIME(15,17,16)</f>
        <v>40770.636990740742</v>
      </c>
      <c r="C1045">
        <v>80</v>
      </c>
      <c r="D1045">
        <v>79.954689025999997</v>
      </c>
      <c r="E1045">
        <v>40</v>
      </c>
      <c r="F1045">
        <v>42.965656281000001</v>
      </c>
      <c r="G1045">
        <v>1337.4559326000001</v>
      </c>
      <c r="H1045">
        <v>1335.6436768000001</v>
      </c>
      <c r="I1045">
        <v>1326.7077637</v>
      </c>
      <c r="J1045">
        <v>1324.9312743999999</v>
      </c>
      <c r="K1045">
        <v>1650</v>
      </c>
      <c r="L1045">
        <v>0</v>
      </c>
      <c r="M1045">
        <v>0</v>
      </c>
      <c r="N1045">
        <v>1650</v>
      </c>
    </row>
    <row r="1046" spans="1:14" x14ac:dyDescent="0.25">
      <c r="A1046">
        <v>473.12845299999998</v>
      </c>
      <c r="B1046" s="1">
        <f>DATE(2011,8,17) + TIME(3,4,58)</f>
        <v>40772.128449074073</v>
      </c>
      <c r="C1046">
        <v>80</v>
      </c>
      <c r="D1046">
        <v>79.954719542999996</v>
      </c>
      <c r="E1046">
        <v>40</v>
      </c>
      <c r="F1046">
        <v>43.562038422000001</v>
      </c>
      <c r="G1046">
        <v>1337.4525146000001</v>
      </c>
      <c r="H1046">
        <v>1335.6419678</v>
      </c>
      <c r="I1046">
        <v>1326.7076416</v>
      </c>
      <c r="J1046">
        <v>1324.9301757999999</v>
      </c>
      <c r="K1046">
        <v>1650</v>
      </c>
      <c r="L1046">
        <v>0</v>
      </c>
      <c r="M1046">
        <v>0</v>
      </c>
      <c r="N1046">
        <v>1650</v>
      </c>
    </row>
    <row r="1047" spans="1:14" x14ac:dyDescent="0.25">
      <c r="A1047">
        <v>474.65053999999998</v>
      </c>
      <c r="B1047" s="1">
        <f>DATE(2011,8,18) + TIME(15,36,46)</f>
        <v>40773.65053240741</v>
      </c>
      <c r="C1047">
        <v>80</v>
      </c>
      <c r="D1047">
        <v>79.954742432000003</v>
      </c>
      <c r="E1047">
        <v>40</v>
      </c>
      <c r="F1047">
        <v>44.187530518000003</v>
      </c>
      <c r="G1047">
        <v>1337.4490966999999</v>
      </c>
      <c r="H1047">
        <v>1335.6402588000001</v>
      </c>
      <c r="I1047">
        <v>1326.7077637</v>
      </c>
      <c r="J1047">
        <v>1324.9299315999999</v>
      </c>
      <c r="K1047">
        <v>1650</v>
      </c>
      <c r="L1047">
        <v>0</v>
      </c>
      <c r="M1047">
        <v>0</v>
      </c>
      <c r="N1047">
        <v>1650</v>
      </c>
    </row>
    <row r="1048" spans="1:14" x14ac:dyDescent="0.25">
      <c r="A1048">
        <v>476.21664900000002</v>
      </c>
      <c r="B1048" s="1">
        <f>DATE(2011,8,20) + TIME(5,11,58)</f>
        <v>40775.216643518521</v>
      </c>
      <c r="C1048">
        <v>80</v>
      </c>
      <c r="D1048">
        <v>79.954772949000002</v>
      </c>
      <c r="E1048">
        <v>40</v>
      </c>
      <c r="F1048">
        <v>44.834705352999997</v>
      </c>
      <c r="G1048">
        <v>1337.4455565999999</v>
      </c>
      <c r="H1048">
        <v>1335.6385498</v>
      </c>
      <c r="I1048">
        <v>1326.7081298999999</v>
      </c>
      <c r="J1048">
        <v>1324.9302978999999</v>
      </c>
      <c r="K1048">
        <v>1650</v>
      </c>
      <c r="L1048">
        <v>0</v>
      </c>
      <c r="M1048">
        <v>0</v>
      </c>
      <c r="N1048">
        <v>1650</v>
      </c>
    </row>
    <row r="1049" spans="1:14" x14ac:dyDescent="0.25">
      <c r="A1049">
        <v>477.80699600000003</v>
      </c>
      <c r="B1049" s="1">
        <f>DATE(2011,8,21) + TIME(19,22,4)</f>
        <v>40776.806990740741</v>
      </c>
      <c r="C1049">
        <v>80</v>
      </c>
      <c r="D1049">
        <v>79.954803467000005</v>
      </c>
      <c r="E1049">
        <v>40</v>
      </c>
      <c r="F1049">
        <v>45.493610382</v>
      </c>
      <c r="G1049">
        <v>1337.4421387</v>
      </c>
      <c r="H1049">
        <v>1335.6368408000001</v>
      </c>
      <c r="I1049">
        <v>1326.7087402</v>
      </c>
      <c r="J1049">
        <v>1324.9311522999999</v>
      </c>
      <c r="K1049">
        <v>1650</v>
      </c>
      <c r="L1049">
        <v>0</v>
      </c>
      <c r="M1049">
        <v>0</v>
      </c>
      <c r="N1049">
        <v>1650</v>
      </c>
    </row>
    <row r="1050" spans="1:14" x14ac:dyDescent="0.25">
      <c r="A1050">
        <v>479.42271</v>
      </c>
      <c r="B1050" s="1">
        <f>DATE(2011,8,23) + TIME(10,8,42)</f>
        <v>40778.422708333332</v>
      </c>
      <c r="C1050">
        <v>80</v>
      </c>
      <c r="D1050">
        <v>79.954833984000004</v>
      </c>
      <c r="E1050">
        <v>40</v>
      </c>
      <c r="F1050">
        <v>46.155071259000003</v>
      </c>
      <c r="G1050">
        <v>1337.4385986</v>
      </c>
      <c r="H1050">
        <v>1335.6350098</v>
      </c>
      <c r="I1050">
        <v>1326.7095947</v>
      </c>
      <c r="J1050">
        <v>1324.9326172000001</v>
      </c>
      <c r="K1050">
        <v>1650</v>
      </c>
      <c r="L1050">
        <v>0</v>
      </c>
      <c r="M1050">
        <v>0</v>
      </c>
      <c r="N1050">
        <v>1650</v>
      </c>
    </row>
    <row r="1051" spans="1:14" x14ac:dyDescent="0.25">
      <c r="A1051">
        <v>481.072723</v>
      </c>
      <c r="B1051" s="1">
        <f>DATE(2011,8,25) + TIME(1,44,43)</f>
        <v>40780.07271990741</v>
      </c>
      <c r="C1051">
        <v>80</v>
      </c>
      <c r="D1051">
        <v>79.954864502000007</v>
      </c>
      <c r="E1051">
        <v>40</v>
      </c>
      <c r="F1051">
        <v>46.814620972</v>
      </c>
      <c r="G1051">
        <v>1337.4351807</v>
      </c>
      <c r="H1051">
        <v>1335.6333007999999</v>
      </c>
      <c r="I1051">
        <v>1326.7108154</v>
      </c>
      <c r="J1051">
        <v>1324.9345702999999</v>
      </c>
      <c r="K1051">
        <v>1650</v>
      </c>
      <c r="L1051">
        <v>0</v>
      </c>
      <c r="M1051">
        <v>0</v>
      </c>
      <c r="N1051">
        <v>1650</v>
      </c>
    </row>
    <row r="1052" spans="1:14" x14ac:dyDescent="0.25">
      <c r="A1052">
        <v>482.74104399999999</v>
      </c>
      <c r="B1052" s="1">
        <f>DATE(2011,8,26) + TIME(17,47,6)</f>
        <v>40781.741041666668</v>
      </c>
      <c r="C1052">
        <v>80</v>
      </c>
      <c r="D1052">
        <v>79.954895019999995</v>
      </c>
      <c r="E1052">
        <v>40</v>
      </c>
      <c r="F1052">
        <v>47.467250823999997</v>
      </c>
      <c r="G1052">
        <v>1337.4317627</v>
      </c>
      <c r="H1052">
        <v>1335.6315918</v>
      </c>
      <c r="I1052">
        <v>1326.7124022999999</v>
      </c>
      <c r="J1052">
        <v>1324.9368896000001</v>
      </c>
      <c r="K1052">
        <v>1650</v>
      </c>
      <c r="L1052">
        <v>0</v>
      </c>
      <c r="M1052">
        <v>0</v>
      </c>
      <c r="N1052">
        <v>1650</v>
      </c>
    </row>
    <row r="1053" spans="1:14" x14ac:dyDescent="0.25">
      <c r="A1053">
        <v>484.43413399999997</v>
      </c>
      <c r="B1053" s="1">
        <f>DATE(2011,8,28) + TIME(10,25,9)</f>
        <v>40783.434131944443</v>
      </c>
      <c r="C1053">
        <v>80</v>
      </c>
      <c r="D1053">
        <v>79.954933166999993</v>
      </c>
      <c r="E1053">
        <v>40</v>
      </c>
      <c r="F1053">
        <v>48.108768462999997</v>
      </c>
      <c r="G1053">
        <v>1337.4283447</v>
      </c>
      <c r="H1053">
        <v>1335.6298827999999</v>
      </c>
      <c r="I1053">
        <v>1326.7141113</v>
      </c>
      <c r="J1053">
        <v>1324.9394531</v>
      </c>
      <c r="K1053">
        <v>1650</v>
      </c>
      <c r="L1053">
        <v>0</v>
      </c>
      <c r="M1053">
        <v>0</v>
      </c>
      <c r="N1053">
        <v>1650</v>
      </c>
    </row>
    <row r="1054" spans="1:14" x14ac:dyDescent="0.25">
      <c r="A1054">
        <v>486.162869</v>
      </c>
      <c r="B1054" s="1">
        <f>DATE(2011,8,30) + TIME(3,54,31)</f>
        <v>40785.162858796299</v>
      </c>
      <c r="C1054">
        <v>80</v>
      </c>
      <c r="D1054">
        <v>79.954963684000006</v>
      </c>
      <c r="E1054">
        <v>40</v>
      </c>
      <c r="F1054">
        <v>48.737739562999998</v>
      </c>
      <c r="G1054">
        <v>1337.4249268000001</v>
      </c>
      <c r="H1054">
        <v>1335.6282959</v>
      </c>
      <c r="I1054">
        <v>1326.7161865</v>
      </c>
      <c r="J1054">
        <v>1324.9425048999999</v>
      </c>
      <c r="K1054">
        <v>1650</v>
      </c>
      <c r="L1054">
        <v>0</v>
      </c>
      <c r="M1054">
        <v>0</v>
      </c>
      <c r="N1054">
        <v>1650</v>
      </c>
    </row>
    <row r="1055" spans="1:14" x14ac:dyDescent="0.25">
      <c r="A1055">
        <v>487.081434</v>
      </c>
      <c r="B1055" s="1">
        <f>DATE(2011,8,31) + TIME(1,57,15)</f>
        <v>40786.081423611111</v>
      </c>
      <c r="C1055">
        <v>80</v>
      </c>
      <c r="D1055">
        <v>79.954971313000001</v>
      </c>
      <c r="E1055">
        <v>40</v>
      </c>
      <c r="F1055">
        <v>49.207500457999998</v>
      </c>
      <c r="G1055">
        <v>1337.4215088000001</v>
      </c>
      <c r="H1055">
        <v>1335.6265868999999</v>
      </c>
      <c r="I1055">
        <v>1326.7209473</v>
      </c>
      <c r="J1055">
        <v>1324.9461670000001</v>
      </c>
      <c r="K1055">
        <v>1650</v>
      </c>
      <c r="L1055">
        <v>0</v>
      </c>
      <c r="M1055">
        <v>0</v>
      </c>
      <c r="N1055">
        <v>1650</v>
      </c>
    </row>
    <row r="1056" spans="1:14" x14ac:dyDescent="0.25">
      <c r="A1056">
        <v>488</v>
      </c>
      <c r="B1056" s="1">
        <f>DATE(2011,9,1) + TIME(0,0,0)</f>
        <v>40787</v>
      </c>
      <c r="C1056">
        <v>80</v>
      </c>
      <c r="D1056">
        <v>79.954986571999996</v>
      </c>
      <c r="E1056">
        <v>40</v>
      </c>
      <c r="F1056">
        <v>49.595249176000003</v>
      </c>
      <c r="G1056">
        <v>1337.4197998</v>
      </c>
      <c r="H1056">
        <v>1335.6257324000001</v>
      </c>
      <c r="I1056">
        <v>1326.7216797000001</v>
      </c>
      <c r="J1056">
        <v>1324.9492187999999</v>
      </c>
      <c r="K1056">
        <v>1650</v>
      </c>
      <c r="L1056">
        <v>0</v>
      </c>
      <c r="M1056">
        <v>0</v>
      </c>
      <c r="N1056">
        <v>1650</v>
      </c>
    </row>
    <row r="1057" spans="1:14" x14ac:dyDescent="0.25">
      <c r="A1057">
        <v>488.90275200000002</v>
      </c>
      <c r="B1057" s="1">
        <f>DATE(2011,9,1) + TIME(21,39,57)</f>
        <v>40787.902743055558</v>
      </c>
      <c r="C1057">
        <v>80</v>
      </c>
      <c r="D1057">
        <v>79.955001831000004</v>
      </c>
      <c r="E1057">
        <v>40</v>
      </c>
      <c r="F1057">
        <v>49.935546875</v>
      </c>
      <c r="G1057">
        <v>1337.4180908000001</v>
      </c>
      <c r="H1057">
        <v>1335.6248779</v>
      </c>
      <c r="I1057">
        <v>1326.7227783000001</v>
      </c>
      <c r="J1057">
        <v>1324.9517822</v>
      </c>
      <c r="K1057">
        <v>1650</v>
      </c>
      <c r="L1057">
        <v>0</v>
      </c>
      <c r="M1057">
        <v>0</v>
      </c>
      <c r="N1057">
        <v>1650</v>
      </c>
    </row>
    <row r="1058" spans="1:14" x14ac:dyDescent="0.25">
      <c r="A1058">
        <v>489.80550499999998</v>
      </c>
      <c r="B1058" s="1">
        <f>DATE(2011,9,2) + TIME(19,19,55)</f>
        <v>40788.805497685185</v>
      </c>
      <c r="C1058">
        <v>80</v>
      </c>
      <c r="D1058">
        <v>79.955017089999998</v>
      </c>
      <c r="E1058">
        <v>40</v>
      </c>
      <c r="F1058">
        <v>50.249267578000001</v>
      </c>
      <c r="G1058">
        <v>1337.4163818</v>
      </c>
      <c r="H1058">
        <v>1335.6240233999999</v>
      </c>
      <c r="I1058">
        <v>1326.723999</v>
      </c>
      <c r="J1058">
        <v>1324.9539795000001</v>
      </c>
      <c r="K1058">
        <v>1650</v>
      </c>
      <c r="L1058">
        <v>0</v>
      </c>
      <c r="M1058">
        <v>0</v>
      </c>
      <c r="N1058">
        <v>1650</v>
      </c>
    </row>
    <row r="1059" spans="1:14" x14ac:dyDescent="0.25">
      <c r="A1059">
        <v>490.708257</v>
      </c>
      <c r="B1059" s="1">
        <f>DATE(2011,9,3) + TIME(16,59,53)</f>
        <v>40789.708252314813</v>
      </c>
      <c r="C1059">
        <v>80</v>
      </c>
      <c r="D1059">
        <v>79.955039978000002</v>
      </c>
      <c r="E1059">
        <v>40</v>
      </c>
      <c r="F1059">
        <v>50.546592711999999</v>
      </c>
      <c r="G1059">
        <v>1337.4146728999999</v>
      </c>
      <c r="H1059">
        <v>1335.6231689000001</v>
      </c>
      <c r="I1059">
        <v>1326.7254639</v>
      </c>
      <c r="J1059">
        <v>1324.9560547000001</v>
      </c>
      <c r="K1059">
        <v>1650</v>
      </c>
      <c r="L1059">
        <v>0</v>
      </c>
      <c r="M1059">
        <v>0</v>
      </c>
      <c r="N1059">
        <v>1650</v>
      </c>
    </row>
    <row r="1060" spans="1:14" x14ac:dyDescent="0.25">
      <c r="A1060">
        <v>492.51376199999999</v>
      </c>
      <c r="B1060" s="1">
        <f>DATE(2011,9,5) + TIME(12,19,49)</f>
        <v>40791.513761574075</v>
      </c>
      <c r="C1060">
        <v>80</v>
      </c>
      <c r="D1060">
        <v>79.955093383999994</v>
      </c>
      <c r="E1060">
        <v>40</v>
      </c>
      <c r="F1060">
        <v>50.926292418999999</v>
      </c>
      <c r="G1060">
        <v>1337.4130858999999</v>
      </c>
      <c r="H1060">
        <v>1335.6223144999999</v>
      </c>
      <c r="I1060">
        <v>1326.7253418</v>
      </c>
      <c r="J1060">
        <v>1324.9578856999999</v>
      </c>
      <c r="K1060">
        <v>1650</v>
      </c>
      <c r="L1060">
        <v>0</v>
      </c>
      <c r="M1060">
        <v>0</v>
      </c>
      <c r="N1060">
        <v>1650</v>
      </c>
    </row>
    <row r="1061" spans="1:14" x14ac:dyDescent="0.25">
      <c r="A1061">
        <v>494.32058000000001</v>
      </c>
      <c r="B1061" s="1">
        <f>DATE(2011,9,7) + TIME(7,41,38)</f>
        <v>40793.3205787037</v>
      </c>
      <c r="C1061">
        <v>80</v>
      </c>
      <c r="D1061">
        <v>79.955139160000002</v>
      </c>
      <c r="E1061">
        <v>40</v>
      </c>
      <c r="F1061">
        <v>51.411590576000002</v>
      </c>
      <c r="G1061">
        <v>1337.4097899999999</v>
      </c>
      <c r="H1061">
        <v>1335.6207274999999</v>
      </c>
      <c r="I1061">
        <v>1326.7287598</v>
      </c>
      <c r="J1061">
        <v>1324.9603271000001</v>
      </c>
      <c r="K1061">
        <v>1650</v>
      </c>
      <c r="L1061">
        <v>0</v>
      </c>
      <c r="M1061">
        <v>0</v>
      </c>
      <c r="N1061">
        <v>1650</v>
      </c>
    </row>
    <row r="1062" spans="1:14" x14ac:dyDescent="0.25">
      <c r="A1062">
        <v>496.20105899999999</v>
      </c>
      <c r="B1062" s="1">
        <f>DATE(2011,9,9) + TIME(4,49,31)</f>
        <v>40795.201053240744</v>
      </c>
      <c r="C1062">
        <v>80</v>
      </c>
      <c r="D1062">
        <v>79.955177307</v>
      </c>
      <c r="E1062">
        <v>40</v>
      </c>
      <c r="F1062">
        <v>51.923881530999999</v>
      </c>
      <c r="G1062">
        <v>1337.4066161999999</v>
      </c>
      <c r="H1062">
        <v>1335.6192627</v>
      </c>
      <c r="I1062">
        <v>1326.7321777</v>
      </c>
      <c r="J1062">
        <v>1324.9641113</v>
      </c>
      <c r="K1062">
        <v>1650</v>
      </c>
      <c r="L1062">
        <v>0</v>
      </c>
      <c r="M1062">
        <v>0</v>
      </c>
      <c r="N1062">
        <v>1650</v>
      </c>
    </row>
    <row r="1063" spans="1:14" x14ac:dyDescent="0.25">
      <c r="A1063">
        <v>498.12963400000001</v>
      </c>
      <c r="B1063" s="1">
        <f>DATE(2011,9,11) + TIME(3,6,40)</f>
        <v>40797.129629629628</v>
      </c>
      <c r="C1063">
        <v>80</v>
      </c>
      <c r="D1063">
        <v>79.955223083000007</v>
      </c>
      <c r="E1063">
        <v>40</v>
      </c>
      <c r="F1063">
        <v>52.442470551</v>
      </c>
      <c r="G1063">
        <v>1337.4033202999999</v>
      </c>
      <c r="H1063">
        <v>1335.6176757999999</v>
      </c>
      <c r="I1063">
        <v>1326.7358397999999</v>
      </c>
      <c r="J1063">
        <v>1324.9685059000001</v>
      </c>
      <c r="K1063">
        <v>1650</v>
      </c>
      <c r="L1063">
        <v>0</v>
      </c>
      <c r="M1063">
        <v>0</v>
      </c>
      <c r="N1063">
        <v>1650</v>
      </c>
    </row>
    <row r="1064" spans="1:14" x14ac:dyDescent="0.25">
      <c r="A1064">
        <v>500.083955</v>
      </c>
      <c r="B1064" s="1">
        <f>DATE(2011,9,13) + TIME(2,0,53)</f>
        <v>40799.08394675926</v>
      </c>
      <c r="C1064">
        <v>80</v>
      </c>
      <c r="D1064">
        <v>79.955268860000004</v>
      </c>
      <c r="E1064">
        <v>40</v>
      </c>
      <c r="F1064">
        <v>52.955028534</v>
      </c>
      <c r="G1064">
        <v>1337.4000243999999</v>
      </c>
      <c r="H1064">
        <v>1335.6160889</v>
      </c>
      <c r="I1064">
        <v>1326.7397461</v>
      </c>
      <c r="J1064">
        <v>1324.9732666</v>
      </c>
      <c r="K1064">
        <v>1650</v>
      </c>
      <c r="L1064">
        <v>0</v>
      </c>
      <c r="M1064">
        <v>0</v>
      </c>
      <c r="N1064">
        <v>1650</v>
      </c>
    </row>
    <row r="1065" spans="1:14" x14ac:dyDescent="0.25">
      <c r="A1065">
        <v>502.07311299999998</v>
      </c>
      <c r="B1065" s="1">
        <f>DATE(2011,9,15) + TIME(1,45,16)</f>
        <v>40801.073101851849</v>
      </c>
      <c r="C1065">
        <v>80</v>
      </c>
      <c r="D1065">
        <v>79.955307007000002</v>
      </c>
      <c r="E1065">
        <v>40</v>
      </c>
      <c r="F1065">
        <v>53.455528258999998</v>
      </c>
      <c r="G1065">
        <v>1337.3966064000001</v>
      </c>
      <c r="H1065">
        <v>1335.6143798999999</v>
      </c>
      <c r="I1065">
        <v>1326.7436522999999</v>
      </c>
      <c r="J1065">
        <v>1324.9780272999999</v>
      </c>
      <c r="K1065">
        <v>1650</v>
      </c>
      <c r="L1065">
        <v>0</v>
      </c>
      <c r="M1065">
        <v>0</v>
      </c>
      <c r="N1065">
        <v>1650</v>
      </c>
    </row>
    <row r="1066" spans="1:14" x14ac:dyDescent="0.25">
      <c r="A1066">
        <v>504.08820500000002</v>
      </c>
      <c r="B1066" s="1">
        <f>DATE(2011,9,17) + TIME(2,7,0)</f>
        <v>40803.088194444441</v>
      </c>
      <c r="C1066">
        <v>80</v>
      </c>
      <c r="D1066">
        <v>79.955352782999995</v>
      </c>
      <c r="E1066">
        <v>40</v>
      </c>
      <c r="F1066">
        <v>53.94070816</v>
      </c>
      <c r="G1066">
        <v>1337.3933105000001</v>
      </c>
      <c r="H1066">
        <v>1335.6126709</v>
      </c>
      <c r="I1066">
        <v>1326.7476807</v>
      </c>
      <c r="J1066">
        <v>1324.9829102000001</v>
      </c>
      <c r="K1066">
        <v>1650</v>
      </c>
      <c r="L1066">
        <v>0</v>
      </c>
      <c r="M1066">
        <v>0</v>
      </c>
      <c r="N1066">
        <v>1650</v>
      </c>
    </row>
    <row r="1067" spans="1:14" x14ac:dyDescent="0.25">
      <c r="A1067">
        <v>506.150758</v>
      </c>
      <c r="B1067" s="1">
        <f>DATE(2011,9,19) + TIME(3,37,5)</f>
        <v>40805.150752314818</v>
      </c>
      <c r="C1067">
        <v>80</v>
      </c>
      <c r="D1067">
        <v>79.955398560000006</v>
      </c>
      <c r="E1067">
        <v>40</v>
      </c>
      <c r="F1067">
        <v>54.411094665999997</v>
      </c>
      <c r="G1067">
        <v>1337.3900146000001</v>
      </c>
      <c r="H1067">
        <v>1335.6110839999999</v>
      </c>
      <c r="I1067">
        <v>1326.7517089999999</v>
      </c>
      <c r="J1067">
        <v>1324.9876709</v>
      </c>
      <c r="K1067">
        <v>1650</v>
      </c>
      <c r="L1067">
        <v>0</v>
      </c>
      <c r="M1067">
        <v>0</v>
      </c>
      <c r="N1067">
        <v>1650</v>
      </c>
    </row>
    <row r="1068" spans="1:14" x14ac:dyDescent="0.25">
      <c r="A1068">
        <v>508.24216100000001</v>
      </c>
      <c r="B1068" s="1">
        <f>DATE(2011,9,21) + TIME(5,48,42)</f>
        <v>40807.242152777777</v>
      </c>
      <c r="C1068">
        <v>80</v>
      </c>
      <c r="D1068">
        <v>79.955451964999995</v>
      </c>
      <c r="E1068">
        <v>40</v>
      </c>
      <c r="F1068">
        <v>54.867877960000001</v>
      </c>
      <c r="G1068">
        <v>1337.3867187999999</v>
      </c>
      <c r="H1068">
        <v>1335.6094971</v>
      </c>
      <c r="I1068">
        <v>1326.7559814000001</v>
      </c>
      <c r="J1068">
        <v>1324.9925536999999</v>
      </c>
      <c r="K1068">
        <v>1650</v>
      </c>
      <c r="L1068">
        <v>0</v>
      </c>
      <c r="M1068">
        <v>0</v>
      </c>
      <c r="N1068">
        <v>1650</v>
      </c>
    </row>
    <row r="1069" spans="1:14" x14ac:dyDescent="0.25">
      <c r="A1069">
        <v>510.34562499999998</v>
      </c>
      <c r="B1069" s="1">
        <f>DATE(2011,9,23) + TIME(8,17,41)</f>
        <v>40809.345613425925</v>
      </c>
      <c r="C1069">
        <v>80</v>
      </c>
      <c r="D1069">
        <v>79.955497742000006</v>
      </c>
      <c r="E1069">
        <v>40</v>
      </c>
      <c r="F1069">
        <v>55.307945251</v>
      </c>
      <c r="G1069">
        <v>1337.3835449000001</v>
      </c>
      <c r="H1069">
        <v>1335.6079102000001</v>
      </c>
      <c r="I1069">
        <v>1326.7601318</v>
      </c>
      <c r="J1069">
        <v>1324.9973144999999</v>
      </c>
      <c r="K1069">
        <v>1650</v>
      </c>
      <c r="L1069">
        <v>0</v>
      </c>
      <c r="M1069">
        <v>0</v>
      </c>
      <c r="N1069">
        <v>1650</v>
      </c>
    </row>
    <row r="1070" spans="1:14" x14ac:dyDescent="0.25">
      <c r="A1070">
        <v>512.48214599999994</v>
      </c>
      <c r="B1070" s="1">
        <f>DATE(2011,9,25) + TIME(11,34,17)</f>
        <v>40811.482141203705</v>
      </c>
      <c r="C1070">
        <v>80</v>
      </c>
      <c r="D1070">
        <v>79.955551146999994</v>
      </c>
      <c r="E1070">
        <v>40</v>
      </c>
      <c r="F1070">
        <v>55.730644226000003</v>
      </c>
      <c r="G1070">
        <v>1337.3803711</v>
      </c>
      <c r="H1070">
        <v>1335.6064452999999</v>
      </c>
      <c r="I1070">
        <v>1326.7644043</v>
      </c>
      <c r="J1070">
        <v>1325.0020752</v>
      </c>
      <c r="K1070">
        <v>1650</v>
      </c>
      <c r="L1070">
        <v>0</v>
      </c>
      <c r="M1070">
        <v>0</v>
      </c>
      <c r="N1070">
        <v>1650</v>
      </c>
    </row>
    <row r="1071" spans="1:14" x14ac:dyDescent="0.25">
      <c r="A1071">
        <v>514.67173700000001</v>
      </c>
      <c r="B1071" s="1">
        <f>DATE(2011,9,27) + TIME(16,7,18)</f>
        <v>40813.671736111108</v>
      </c>
      <c r="C1071">
        <v>80</v>
      </c>
      <c r="D1071">
        <v>79.955596924000005</v>
      </c>
      <c r="E1071">
        <v>40</v>
      </c>
      <c r="F1071">
        <v>56.139209747000002</v>
      </c>
      <c r="G1071">
        <v>1337.3773193</v>
      </c>
      <c r="H1071">
        <v>1335.6049805</v>
      </c>
      <c r="I1071">
        <v>1326.7686768000001</v>
      </c>
      <c r="J1071">
        <v>1325.0067139</v>
      </c>
      <c r="K1071">
        <v>1650</v>
      </c>
      <c r="L1071">
        <v>0</v>
      </c>
      <c r="M1071">
        <v>0</v>
      </c>
      <c r="N1071">
        <v>1650</v>
      </c>
    </row>
    <row r="1072" spans="1:14" x14ac:dyDescent="0.25">
      <c r="A1072">
        <v>516.92172600000004</v>
      </c>
      <c r="B1072" s="1">
        <f>DATE(2011,9,29) + TIME(22,7,17)</f>
        <v>40815.921724537038</v>
      </c>
      <c r="C1072">
        <v>80</v>
      </c>
      <c r="D1072">
        <v>79.955650329999997</v>
      </c>
      <c r="E1072">
        <v>40</v>
      </c>
      <c r="F1072">
        <v>56.536727904999999</v>
      </c>
      <c r="G1072">
        <v>1337.3741454999999</v>
      </c>
      <c r="H1072">
        <v>1335.6035156</v>
      </c>
      <c r="I1072">
        <v>1326.7729492000001</v>
      </c>
      <c r="J1072">
        <v>1325.0112305</v>
      </c>
      <c r="K1072">
        <v>1650</v>
      </c>
      <c r="L1072">
        <v>0</v>
      </c>
      <c r="M1072">
        <v>0</v>
      </c>
      <c r="N1072">
        <v>1650</v>
      </c>
    </row>
    <row r="1073" spans="1:14" x14ac:dyDescent="0.25">
      <c r="A1073">
        <v>518</v>
      </c>
      <c r="B1073" s="1">
        <f>DATE(2011,10,1) + TIME(0,0,0)</f>
        <v>40817</v>
      </c>
      <c r="C1073">
        <v>80</v>
      </c>
      <c r="D1073">
        <v>79.955665588000002</v>
      </c>
      <c r="E1073">
        <v>40</v>
      </c>
      <c r="F1073">
        <v>56.836696625000002</v>
      </c>
      <c r="G1073">
        <v>1337.3710937999999</v>
      </c>
      <c r="H1073">
        <v>1335.6021728999999</v>
      </c>
      <c r="I1073">
        <v>1326.7788086</v>
      </c>
      <c r="J1073">
        <v>1325.0162353999999</v>
      </c>
      <c r="K1073">
        <v>1650</v>
      </c>
      <c r="L1073">
        <v>0</v>
      </c>
      <c r="M1073">
        <v>0</v>
      </c>
      <c r="N1073">
        <v>1650</v>
      </c>
    </row>
    <row r="1074" spans="1:14" x14ac:dyDescent="0.25">
      <c r="A1074">
        <v>520.25480900000002</v>
      </c>
      <c r="B1074" s="1">
        <f>DATE(2011,10,3) + TIME(6,6,55)</f>
        <v>40819.254803240743</v>
      </c>
      <c r="C1074">
        <v>80</v>
      </c>
      <c r="D1074">
        <v>79.955734253000003</v>
      </c>
      <c r="E1074">
        <v>40</v>
      </c>
      <c r="F1074">
        <v>57.129886626999998</v>
      </c>
      <c r="G1074">
        <v>1337.369751</v>
      </c>
      <c r="H1074">
        <v>1335.6014404</v>
      </c>
      <c r="I1074">
        <v>1326.7797852000001</v>
      </c>
      <c r="J1074">
        <v>1325.0197754000001</v>
      </c>
      <c r="K1074">
        <v>1650</v>
      </c>
      <c r="L1074">
        <v>0</v>
      </c>
      <c r="M1074">
        <v>0</v>
      </c>
      <c r="N1074">
        <v>1650</v>
      </c>
    </row>
    <row r="1075" spans="1:14" x14ac:dyDescent="0.25">
      <c r="A1075">
        <v>522.56028300000003</v>
      </c>
      <c r="B1075" s="1">
        <f>DATE(2011,10,5) + TIME(13,26,48)</f>
        <v>40821.560277777775</v>
      </c>
      <c r="C1075">
        <v>80</v>
      </c>
      <c r="D1075">
        <v>79.955787658999995</v>
      </c>
      <c r="E1075">
        <v>40</v>
      </c>
      <c r="F1075">
        <v>57.469886780000003</v>
      </c>
      <c r="G1075">
        <v>1337.3666992000001</v>
      </c>
      <c r="H1075">
        <v>1335.6000977000001</v>
      </c>
      <c r="I1075">
        <v>1326.7838135</v>
      </c>
      <c r="J1075">
        <v>1325.0227050999999</v>
      </c>
      <c r="K1075">
        <v>1650</v>
      </c>
      <c r="L1075">
        <v>0</v>
      </c>
      <c r="M1075">
        <v>0</v>
      </c>
      <c r="N1075">
        <v>1650</v>
      </c>
    </row>
    <row r="1076" spans="1:14" x14ac:dyDescent="0.25">
      <c r="A1076">
        <v>524.92154100000005</v>
      </c>
      <c r="B1076" s="1">
        <f>DATE(2011,10,7) + TIME(22,7,1)</f>
        <v>40823.921539351853</v>
      </c>
      <c r="C1076">
        <v>80</v>
      </c>
      <c r="D1076">
        <v>79.955848693999997</v>
      </c>
      <c r="E1076">
        <v>40</v>
      </c>
      <c r="F1076">
        <v>57.814533234000002</v>
      </c>
      <c r="G1076">
        <v>1337.3637695</v>
      </c>
      <c r="H1076">
        <v>1335.5987548999999</v>
      </c>
      <c r="I1076">
        <v>1326.7880858999999</v>
      </c>
      <c r="J1076">
        <v>1325.0267334</v>
      </c>
      <c r="K1076">
        <v>1650</v>
      </c>
      <c r="L1076">
        <v>0</v>
      </c>
      <c r="M1076">
        <v>0</v>
      </c>
      <c r="N1076">
        <v>1650</v>
      </c>
    </row>
    <row r="1077" spans="1:14" x14ac:dyDescent="0.25">
      <c r="A1077">
        <v>527.32981099999995</v>
      </c>
      <c r="B1077" s="1">
        <f>DATE(2011,10,10) + TIME(7,54,55)</f>
        <v>40826.32980324074</v>
      </c>
      <c r="C1077">
        <v>80</v>
      </c>
      <c r="D1077">
        <v>79.955909728999998</v>
      </c>
      <c r="E1077">
        <v>40</v>
      </c>
      <c r="F1077">
        <v>58.152690886999999</v>
      </c>
      <c r="G1077">
        <v>1337.3608397999999</v>
      </c>
      <c r="H1077">
        <v>1335.5974120999999</v>
      </c>
      <c r="I1077">
        <v>1326.7926024999999</v>
      </c>
      <c r="J1077">
        <v>1325.0308838000001</v>
      </c>
      <c r="K1077">
        <v>1650</v>
      </c>
      <c r="L1077">
        <v>0</v>
      </c>
      <c r="M1077">
        <v>0</v>
      </c>
      <c r="N1077">
        <v>1650</v>
      </c>
    </row>
    <row r="1078" spans="1:14" x14ac:dyDescent="0.25">
      <c r="A1078">
        <v>529.77725099999998</v>
      </c>
      <c r="B1078" s="1">
        <f>DATE(2011,10,12) + TIME(18,39,14)</f>
        <v>40828.777245370373</v>
      </c>
      <c r="C1078">
        <v>80</v>
      </c>
      <c r="D1078">
        <v>79.955970764</v>
      </c>
      <c r="E1078">
        <v>40</v>
      </c>
      <c r="F1078">
        <v>58.481075287000003</v>
      </c>
      <c r="G1078">
        <v>1337.3579102000001</v>
      </c>
      <c r="H1078">
        <v>1335.5960693</v>
      </c>
      <c r="I1078">
        <v>1326.7971190999999</v>
      </c>
      <c r="J1078">
        <v>1325.0351562000001</v>
      </c>
      <c r="K1078">
        <v>1650</v>
      </c>
      <c r="L1078">
        <v>0</v>
      </c>
      <c r="M1078">
        <v>0</v>
      </c>
      <c r="N1078">
        <v>1650</v>
      </c>
    </row>
    <row r="1079" spans="1:14" x14ac:dyDescent="0.25">
      <c r="A1079">
        <v>532.25739399999998</v>
      </c>
      <c r="B1079" s="1">
        <f>DATE(2011,10,15) + TIME(6,10,38)</f>
        <v>40831.257384259261</v>
      </c>
      <c r="C1079">
        <v>80</v>
      </c>
      <c r="D1079">
        <v>79.956031799000002</v>
      </c>
      <c r="E1079">
        <v>40</v>
      </c>
      <c r="F1079">
        <v>58.798496245999999</v>
      </c>
      <c r="G1079">
        <v>1337.3551024999999</v>
      </c>
      <c r="H1079">
        <v>1335.5947266000001</v>
      </c>
      <c r="I1079">
        <v>1326.8016356999999</v>
      </c>
      <c r="J1079">
        <v>1325.0394286999999</v>
      </c>
      <c r="K1079">
        <v>1650</v>
      </c>
      <c r="L1079">
        <v>0</v>
      </c>
      <c r="M1079">
        <v>0</v>
      </c>
      <c r="N1079">
        <v>1650</v>
      </c>
    </row>
    <row r="1080" spans="1:14" x14ac:dyDescent="0.25">
      <c r="A1080">
        <v>534.75977599999999</v>
      </c>
      <c r="B1080" s="1">
        <f>DATE(2011,10,17) + TIME(18,14,4)</f>
        <v>40833.759768518517</v>
      </c>
      <c r="C1080">
        <v>80</v>
      </c>
      <c r="D1080">
        <v>79.956092834000003</v>
      </c>
      <c r="E1080">
        <v>40</v>
      </c>
      <c r="F1080">
        <v>59.104480743000003</v>
      </c>
      <c r="G1080">
        <v>1337.3522949000001</v>
      </c>
      <c r="H1080">
        <v>1335.5935059000001</v>
      </c>
      <c r="I1080">
        <v>1326.8062743999999</v>
      </c>
      <c r="J1080">
        <v>1325.0437012</v>
      </c>
      <c r="K1080">
        <v>1650</v>
      </c>
      <c r="L1080">
        <v>0</v>
      </c>
      <c r="M1080">
        <v>0</v>
      </c>
      <c r="N1080">
        <v>1650</v>
      </c>
    </row>
    <row r="1081" spans="1:14" x14ac:dyDescent="0.25">
      <c r="A1081">
        <v>537.30947000000003</v>
      </c>
      <c r="B1081" s="1">
        <f>DATE(2011,10,20) + TIME(7,25,38)</f>
        <v>40836.309467592589</v>
      </c>
      <c r="C1081">
        <v>80</v>
      </c>
      <c r="D1081">
        <v>79.956161499000004</v>
      </c>
      <c r="E1081">
        <v>40</v>
      </c>
      <c r="F1081">
        <v>59.399230957</v>
      </c>
      <c r="G1081">
        <v>1337.3494873</v>
      </c>
      <c r="H1081">
        <v>1335.5921631000001</v>
      </c>
      <c r="I1081">
        <v>1326.8107910000001</v>
      </c>
      <c r="J1081">
        <v>1325.0478516000001</v>
      </c>
      <c r="K1081">
        <v>1650</v>
      </c>
      <c r="L1081">
        <v>0</v>
      </c>
      <c r="M1081">
        <v>0</v>
      </c>
      <c r="N1081">
        <v>1650</v>
      </c>
    </row>
    <row r="1082" spans="1:14" x14ac:dyDescent="0.25">
      <c r="A1082">
        <v>539.93312800000001</v>
      </c>
      <c r="B1082" s="1">
        <f>DATE(2011,10,22) + TIME(22,23,42)</f>
        <v>40838.933125000003</v>
      </c>
      <c r="C1082">
        <v>80</v>
      </c>
      <c r="D1082">
        <v>79.956230164000004</v>
      </c>
      <c r="E1082">
        <v>40</v>
      </c>
      <c r="F1082">
        <v>59.685340881000002</v>
      </c>
      <c r="G1082">
        <v>1337.3466797000001</v>
      </c>
      <c r="H1082">
        <v>1335.5909423999999</v>
      </c>
      <c r="I1082">
        <v>1326.8154297000001</v>
      </c>
      <c r="J1082">
        <v>1325.052124</v>
      </c>
      <c r="K1082">
        <v>1650</v>
      </c>
      <c r="L1082">
        <v>0</v>
      </c>
      <c r="M1082">
        <v>0</v>
      </c>
      <c r="N1082">
        <v>1650</v>
      </c>
    </row>
    <row r="1083" spans="1:14" x14ac:dyDescent="0.25">
      <c r="A1083">
        <v>542.585331</v>
      </c>
      <c r="B1083" s="1">
        <f>DATE(2011,10,25) + TIME(14,2,52)</f>
        <v>40841.585324074076</v>
      </c>
      <c r="C1083">
        <v>80</v>
      </c>
      <c r="D1083">
        <v>79.956298828000001</v>
      </c>
      <c r="E1083">
        <v>40</v>
      </c>
      <c r="F1083">
        <v>59.963905334000003</v>
      </c>
      <c r="G1083">
        <v>1337.3439940999999</v>
      </c>
      <c r="H1083">
        <v>1335.5897216999999</v>
      </c>
      <c r="I1083">
        <v>1326.8200684000001</v>
      </c>
      <c r="J1083">
        <v>1325.0562743999999</v>
      </c>
      <c r="K1083">
        <v>1650</v>
      </c>
      <c r="L1083">
        <v>0</v>
      </c>
      <c r="M1083">
        <v>0</v>
      </c>
      <c r="N1083">
        <v>1650</v>
      </c>
    </row>
    <row r="1084" spans="1:14" x14ac:dyDescent="0.25">
      <c r="A1084">
        <v>545.25681499999996</v>
      </c>
      <c r="B1084" s="1">
        <f>DATE(2011,10,28) + TIME(6,9,48)</f>
        <v>40844.256805555553</v>
      </c>
      <c r="C1084">
        <v>80</v>
      </c>
      <c r="D1084">
        <v>79.956359863000003</v>
      </c>
      <c r="E1084">
        <v>40</v>
      </c>
      <c r="F1084">
        <v>60.232334137000002</v>
      </c>
      <c r="G1084">
        <v>1337.3413086</v>
      </c>
      <c r="H1084">
        <v>1335.5886230000001</v>
      </c>
      <c r="I1084">
        <v>1326.824707</v>
      </c>
      <c r="J1084">
        <v>1325.0604248</v>
      </c>
      <c r="K1084">
        <v>1650</v>
      </c>
      <c r="L1084">
        <v>0</v>
      </c>
      <c r="M1084">
        <v>0</v>
      </c>
      <c r="N1084">
        <v>1650</v>
      </c>
    </row>
    <row r="1085" spans="1:14" x14ac:dyDescent="0.25">
      <c r="A1085">
        <v>547.975684</v>
      </c>
      <c r="B1085" s="1">
        <f>DATE(2011,10,30) + TIME(23,24,59)</f>
        <v>40846.975682870368</v>
      </c>
      <c r="C1085">
        <v>80</v>
      </c>
      <c r="D1085">
        <v>79.956436156999999</v>
      </c>
      <c r="E1085">
        <v>40</v>
      </c>
      <c r="F1085">
        <v>60.490879059000001</v>
      </c>
      <c r="G1085">
        <v>1337.3386230000001</v>
      </c>
      <c r="H1085">
        <v>1335.5874022999999</v>
      </c>
      <c r="I1085">
        <v>1326.8293457</v>
      </c>
      <c r="J1085">
        <v>1325.0644531</v>
      </c>
      <c r="K1085">
        <v>1650</v>
      </c>
      <c r="L1085">
        <v>0</v>
      </c>
      <c r="M1085">
        <v>0</v>
      </c>
      <c r="N1085">
        <v>1650</v>
      </c>
    </row>
    <row r="1086" spans="1:14" x14ac:dyDescent="0.25">
      <c r="A1086">
        <v>549</v>
      </c>
      <c r="B1086" s="1">
        <f>DATE(2011,11,1) + TIME(0,0,0)</f>
        <v>40848</v>
      </c>
      <c r="C1086">
        <v>80</v>
      </c>
      <c r="D1086">
        <v>79.956443786999998</v>
      </c>
      <c r="E1086">
        <v>40</v>
      </c>
      <c r="F1086">
        <v>60.674068450999997</v>
      </c>
      <c r="G1086">
        <v>1337.3360596</v>
      </c>
      <c r="H1086">
        <v>1335.5863036999999</v>
      </c>
      <c r="I1086">
        <v>1326.8353271000001</v>
      </c>
      <c r="J1086">
        <v>1325.0690918</v>
      </c>
      <c r="K1086">
        <v>1650</v>
      </c>
      <c r="L1086">
        <v>0</v>
      </c>
      <c r="M1086">
        <v>0</v>
      </c>
      <c r="N1086">
        <v>1650</v>
      </c>
    </row>
    <row r="1087" spans="1:14" x14ac:dyDescent="0.25">
      <c r="A1087">
        <v>549.000001</v>
      </c>
      <c r="B1087" s="1">
        <f>DATE(2011,11,1) + TIME(0,0,0)</f>
        <v>40848</v>
      </c>
      <c r="C1087">
        <v>80</v>
      </c>
      <c r="D1087">
        <v>79.956375121999997</v>
      </c>
      <c r="E1087">
        <v>40</v>
      </c>
      <c r="F1087">
        <v>60.674133300999998</v>
      </c>
      <c r="G1087">
        <v>1335.0960693</v>
      </c>
      <c r="H1087">
        <v>1334.7315673999999</v>
      </c>
      <c r="I1087">
        <v>1329.2403564000001</v>
      </c>
      <c r="J1087">
        <v>1327.5162353999999</v>
      </c>
      <c r="K1087">
        <v>0</v>
      </c>
      <c r="L1087">
        <v>1650</v>
      </c>
      <c r="M1087">
        <v>1650</v>
      </c>
      <c r="N1087">
        <v>0</v>
      </c>
    </row>
    <row r="1088" spans="1:14" x14ac:dyDescent="0.25">
      <c r="A1088">
        <v>549.00000399999999</v>
      </c>
      <c r="B1088" s="1">
        <f>DATE(2011,11,1) + TIME(0,0,0)</f>
        <v>40848</v>
      </c>
      <c r="C1088">
        <v>80</v>
      </c>
      <c r="D1088">
        <v>79.956283568999993</v>
      </c>
      <c r="E1088">
        <v>40</v>
      </c>
      <c r="F1088">
        <v>60.674182891999997</v>
      </c>
      <c r="G1088">
        <v>1334.447876</v>
      </c>
      <c r="H1088">
        <v>1334.0904541</v>
      </c>
      <c r="I1088">
        <v>1330.0976562000001</v>
      </c>
      <c r="J1088">
        <v>1328.4685059000001</v>
      </c>
      <c r="K1088">
        <v>0</v>
      </c>
      <c r="L1088">
        <v>1650</v>
      </c>
      <c r="M1088">
        <v>1650</v>
      </c>
      <c r="N1088">
        <v>0</v>
      </c>
    </row>
    <row r="1089" spans="1:14" x14ac:dyDescent="0.25">
      <c r="A1089">
        <v>549.00001299999997</v>
      </c>
      <c r="B1089" s="1">
        <f>DATE(2011,11,1) + TIME(0,0,1)</f>
        <v>40848.000011574077</v>
      </c>
      <c r="C1089">
        <v>80</v>
      </c>
      <c r="D1089">
        <v>79.956184386999993</v>
      </c>
      <c r="E1089">
        <v>40</v>
      </c>
      <c r="F1089">
        <v>60.674095154</v>
      </c>
      <c r="G1089">
        <v>1333.7736815999999</v>
      </c>
      <c r="H1089">
        <v>1333.3919678</v>
      </c>
      <c r="I1089">
        <v>1331.1627197</v>
      </c>
      <c r="J1089">
        <v>1329.519043</v>
      </c>
      <c r="K1089">
        <v>0</v>
      </c>
      <c r="L1089">
        <v>1650</v>
      </c>
      <c r="M1089">
        <v>1650</v>
      </c>
      <c r="N1089">
        <v>0</v>
      </c>
    </row>
    <row r="1090" spans="1:14" x14ac:dyDescent="0.25">
      <c r="A1090">
        <v>549.00004000000001</v>
      </c>
      <c r="B1090" s="1">
        <f>DATE(2011,11,1) + TIME(0,0,3)</f>
        <v>40848.000034722223</v>
      </c>
      <c r="C1090">
        <v>80</v>
      </c>
      <c r="D1090">
        <v>79.956085204999994</v>
      </c>
      <c r="E1090">
        <v>40</v>
      </c>
      <c r="F1090">
        <v>60.673534392999997</v>
      </c>
      <c r="G1090">
        <v>1333.1009521000001</v>
      </c>
      <c r="H1090">
        <v>1332.6817627</v>
      </c>
      <c r="I1090">
        <v>1332.2584228999999</v>
      </c>
      <c r="J1090">
        <v>1330.5761719</v>
      </c>
      <c r="K1090">
        <v>0</v>
      </c>
      <c r="L1090">
        <v>1650</v>
      </c>
      <c r="M1090">
        <v>1650</v>
      </c>
      <c r="N1090">
        <v>0</v>
      </c>
    </row>
    <row r="1091" spans="1:14" x14ac:dyDescent="0.25">
      <c r="A1091">
        <v>549.00012100000004</v>
      </c>
      <c r="B1091" s="1">
        <f>DATE(2011,11,1) + TIME(0,0,10)</f>
        <v>40848.000115740739</v>
      </c>
      <c r="C1091">
        <v>80</v>
      </c>
      <c r="D1091">
        <v>79.955978393999999</v>
      </c>
      <c r="E1091">
        <v>40</v>
      </c>
      <c r="F1091">
        <v>60.671531676999997</v>
      </c>
      <c r="G1091">
        <v>1332.402832</v>
      </c>
      <c r="H1091">
        <v>1331.9403076000001</v>
      </c>
      <c r="I1091">
        <v>1333.3442382999999</v>
      </c>
      <c r="J1091">
        <v>1331.6246338000001</v>
      </c>
      <c r="K1091">
        <v>0</v>
      </c>
      <c r="L1091">
        <v>1650</v>
      </c>
      <c r="M1091">
        <v>1650</v>
      </c>
      <c r="N1091">
        <v>0</v>
      </c>
    </row>
    <row r="1092" spans="1:14" x14ac:dyDescent="0.25">
      <c r="A1092">
        <v>549.00036399999999</v>
      </c>
      <c r="B1092" s="1">
        <f>DATE(2011,11,1) + TIME(0,0,31)</f>
        <v>40848.000358796293</v>
      </c>
      <c r="C1092">
        <v>80</v>
      </c>
      <c r="D1092">
        <v>79.955841063999998</v>
      </c>
      <c r="E1092">
        <v>40</v>
      </c>
      <c r="F1092">
        <v>60.665065765000001</v>
      </c>
      <c r="G1092">
        <v>1331.6885986</v>
      </c>
      <c r="H1092">
        <v>1331.1807861</v>
      </c>
      <c r="I1092">
        <v>1334.4005127</v>
      </c>
      <c r="J1092">
        <v>1332.6346435999999</v>
      </c>
      <c r="K1092">
        <v>0</v>
      </c>
      <c r="L1092">
        <v>1650</v>
      </c>
      <c r="M1092">
        <v>1650</v>
      </c>
      <c r="N1092">
        <v>0</v>
      </c>
    </row>
    <row r="1093" spans="1:14" x14ac:dyDescent="0.25">
      <c r="A1093">
        <v>549.00109299999997</v>
      </c>
      <c r="B1093" s="1">
        <f>DATE(2011,11,1) + TIME(0,1,34)</f>
        <v>40848.001087962963</v>
      </c>
      <c r="C1093">
        <v>80</v>
      </c>
      <c r="D1093">
        <v>79.955650329999997</v>
      </c>
      <c r="E1093">
        <v>40</v>
      </c>
      <c r="F1093">
        <v>60.644832610999998</v>
      </c>
      <c r="G1093">
        <v>1331.0631103999999</v>
      </c>
      <c r="H1093">
        <v>1330.5164795000001</v>
      </c>
      <c r="I1093">
        <v>1335.3065185999999</v>
      </c>
      <c r="J1093">
        <v>1333.4901123</v>
      </c>
      <c r="K1093">
        <v>0</v>
      </c>
      <c r="L1093">
        <v>1650</v>
      </c>
      <c r="M1093">
        <v>1650</v>
      </c>
      <c r="N1093">
        <v>0</v>
      </c>
    </row>
    <row r="1094" spans="1:14" x14ac:dyDescent="0.25">
      <c r="A1094">
        <v>549.00328000000002</v>
      </c>
      <c r="B1094" s="1">
        <f>DATE(2011,11,1) + TIME(0,4,43)</f>
        <v>40848.003275462965</v>
      </c>
      <c r="C1094">
        <v>80</v>
      </c>
      <c r="D1094">
        <v>79.955284118999998</v>
      </c>
      <c r="E1094">
        <v>40</v>
      </c>
      <c r="F1094">
        <v>60.582946776999997</v>
      </c>
      <c r="G1094">
        <v>1330.6365966999999</v>
      </c>
      <c r="H1094">
        <v>1330.0693358999999</v>
      </c>
      <c r="I1094">
        <v>1335.9078368999999</v>
      </c>
      <c r="J1094">
        <v>1334.0565185999999</v>
      </c>
      <c r="K1094">
        <v>0</v>
      </c>
      <c r="L1094">
        <v>1650</v>
      </c>
      <c r="M1094">
        <v>1650</v>
      </c>
      <c r="N1094">
        <v>0</v>
      </c>
    </row>
    <row r="1095" spans="1:14" x14ac:dyDescent="0.25">
      <c r="A1095">
        <v>549.00984100000005</v>
      </c>
      <c r="B1095" s="1">
        <f>DATE(2011,11,1) + TIME(0,14,10)</f>
        <v>40848.009837962964</v>
      </c>
      <c r="C1095">
        <v>80</v>
      </c>
      <c r="D1095">
        <v>79.954315186000002</v>
      </c>
      <c r="E1095">
        <v>40</v>
      </c>
      <c r="F1095">
        <v>60.39773941</v>
      </c>
      <c r="G1095">
        <v>1330.4199219</v>
      </c>
      <c r="H1095">
        <v>1329.8463135</v>
      </c>
      <c r="I1095">
        <v>1336.1774902</v>
      </c>
      <c r="J1095">
        <v>1334.3105469</v>
      </c>
      <c r="K1095">
        <v>0</v>
      </c>
      <c r="L1095">
        <v>1650</v>
      </c>
      <c r="M1095">
        <v>1650</v>
      </c>
      <c r="N1095">
        <v>0</v>
      </c>
    </row>
    <row r="1096" spans="1:14" x14ac:dyDescent="0.25">
      <c r="A1096">
        <v>549.02952400000004</v>
      </c>
      <c r="B1096" s="1">
        <f>DATE(2011,11,1) + TIME(0,42,30)</f>
        <v>40848.029513888891</v>
      </c>
      <c r="C1096">
        <v>80</v>
      </c>
      <c r="D1096">
        <v>79.951507567999997</v>
      </c>
      <c r="E1096">
        <v>40</v>
      </c>
      <c r="F1096">
        <v>59.859146117999998</v>
      </c>
      <c r="G1096">
        <v>1330.3504639</v>
      </c>
      <c r="H1096">
        <v>1329.7749022999999</v>
      </c>
      <c r="I1096">
        <v>1336.2347411999999</v>
      </c>
      <c r="J1096">
        <v>1334.3612060999999</v>
      </c>
      <c r="K1096">
        <v>0</v>
      </c>
      <c r="L1096">
        <v>1650</v>
      </c>
      <c r="M1096">
        <v>1650</v>
      </c>
      <c r="N1096">
        <v>0</v>
      </c>
    </row>
    <row r="1097" spans="1:14" x14ac:dyDescent="0.25">
      <c r="A1097">
        <v>549.06606899999997</v>
      </c>
      <c r="B1097" s="1">
        <f>DATE(2011,11,1) + TIME(1,35,8)</f>
        <v>40848.066064814811</v>
      </c>
      <c r="C1097">
        <v>80</v>
      </c>
      <c r="D1097">
        <v>79.946380614999995</v>
      </c>
      <c r="E1097">
        <v>40</v>
      </c>
      <c r="F1097">
        <v>58.917549133000001</v>
      </c>
      <c r="G1097">
        <v>1330.3366699000001</v>
      </c>
      <c r="H1097">
        <v>1329.7591553</v>
      </c>
      <c r="I1097">
        <v>1336.2288818</v>
      </c>
      <c r="J1097">
        <v>1334.3505858999999</v>
      </c>
      <c r="K1097">
        <v>0</v>
      </c>
      <c r="L1097">
        <v>1650</v>
      </c>
      <c r="M1097">
        <v>1650</v>
      </c>
      <c r="N1097">
        <v>0</v>
      </c>
    </row>
    <row r="1098" spans="1:14" x14ac:dyDescent="0.25">
      <c r="A1098">
        <v>549.10488099999998</v>
      </c>
      <c r="B1098" s="1">
        <f>DATE(2011,11,1) + TIME(2,31,1)</f>
        <v>40848.104872685188</v>
      </c>
      <c r="C1098">
        <v>80</v>
      </c>
      <c r="D1098">
        <v>79.940956115999995</v>
      </c>
      <c r="E1098">
        <v>40</v>
      </c>
      <c r="F1098">
        <v>57.980037689</v>
      </c>
      <c r="G1098">
        <v>1330.3300781</v>
      </c>
      <c r="H1098">
        <v>1329.7497559000001</v>
      </c>
      <c r="I1098">
        <v>1336.2145995999999</v>
      </c>
      <c r="J1098">
        <v>1334.3342285000001</v>
      </c>
      <c r="K1098">
        <v>0</v>
      </c>
      <c r="L1098">
        <v>1650</v>
      </c>
      <c r="M1098">
        <v>1650</v>
      </c>
      <c r="N1098">
        <v>0</v>
      </c>
    </row>
    <row r="1099" spans="1:14" x14ac:dyDescent="0.25">
      <c r="A1099">
        <v>549.14628000000005</v>
      </c>
      <c r="B1099" s="1">
        <f>DATE(2011,11,1) + TIME(3,30,38)</f>
        <v>40848.146273148152</v>
      </c>
      <c r="C1099">
        <v>80</v>
      </c>
      <c r="D1099">
        <v>79.935195922999995</v>
      </c>
      <c r="E1099">
        <v>40</v>
      </c>
      <c r="F1099">
        <v>57.045024871999999</v>
      </c>
      <c r="G1099">
        <v>1330.3242187999999</v>
      </c>
      <c r="H1099">
        <v>1329.7410889</v>
      </c>
      <c r="I1099">
        <v>1336.2003173999999</v>
      </c>
      <c r="J1099">
        <v>1334.3179932</v>
      </c>
      <c r="K1099">
        <v>0</v>
      </c>
      <c r="L1099">
        <v>1650</v>
      </c>
      <c r="M1099">
        <v>1650</v>
      </c>
      <c r="N1099">
        <v>0</v>
      </c>
    </row>
    <row r="1100" spans="1:14" x14ac:dyDescent="0.25">
      <c r="A1100">
        <v>549.19055600000002</v>
      </c>
      <c r="B1100" s="1">
        <f>DATE(2011,11,1) + TIME(4,34,24)</f>
        <v>40848.190555555557</v>
      </c>
      <c r="C1100">
        <v>80</v>
      </c>
      <c r="D1100">
        <v>79.929069518999995</v>
      </c>
      <c r="E1100">
        <v>40</v>
      </c>
      <c r="F1100">
        <v>56.112785338999998</v>
      </c>
      <c r="G1100">
        <v>1330.3182373</v>
      </c>
      <c r="H1100">
        <v>1329.7320557</v>
      </c>
      <c r="I1100">
        <v>1336.1861572</v>
      </c>
      <c r="J1100">
        <v>1334.3017577999999</v>
      </c>
      <c r="K1100">
        <v>0</v>
      </c>
      <c r="L1100">
        <v>1650</v>
      </c>
      <c r="M1100">
        <v>1650</v>
      </c>
      <c r="N1100">
        <v>0</v>
      </c>
    </row>
    <row r="1101" spans="1:14" x14ac:dyDescent="0.25">
      <c r="A1101">
        <v>549.23805100000004</v>
      </c>
      <c r="B1101" s="1">
        <f>DATE(2011,11,1) + TIME(5,42,47)</f>
        <v>40848.238043981481</v>
      </c>
      <c r="C1101">
        <v>80</v>
      </c>
      <c r="D1101">
        <v>79.922531128000003</v>
      </c>
      <c r="E1101">
        <v>40</v>
      </c>
      <c r="F1101">
        <v>55.183589935000001</v>
      </c>
      <c r="G1101">
        <v>1330.3118896000001</v>
      </c>
      <c r="H1101">
        <v>1329.7226562000001</v>
      </c>
      <c r="I1101">
        <v>1336.1721190999999</v>
      </c>
      <c r="J1101">
        <v>1334.2857666</v>
      </c>
      <c r="K1101">
        <v>0</v>
      </c>
      <c r="L1101">
        <v>1650</v>
      </c>
      <c r="M1101">
        <v>1650</v>
      </c>
      <c r="N1101">
        <v>0</v>
      </c>
    </row>
    <row r="1102" spans="1:14" x14ac:dyDescent="0.25">
      <c r="A1102">
        <v>549.28916500000003</v>
      </c>
      <c r="B1102" s="1">
        <f>DATE(2011,11,1) + TIME(6,56,23)</f>
        <v>40848.289155092592</v>
      </c>
      <c r="C1102">
        <v>80</v>
      </c>
      <c r="D1102">
        <v>79.915534973000007</v>
      </c>
      <c r="E1102">
        <v>40</v>
      </c>
      <c r="F1102">
        <v>54.257762909</v>
      </c>
      <c r="G1102">
        <v>1330.3054199000001</v>
      </c>
      <c r="H1102">
        <v>1329.7128906</v>
      </c>
      <c r="I1102">
        <v>1336.1580810999999</v>
      </c>
      <c r="J1102">
        <v>1334.2697754000001</v>
      </c>
      <c r="K1102">
        <v>0</v>
      </c>
      <c r="L1102">
        <v>1650</v>
      </c>
      <c r="M1102">
        <v>1650</v>
      </c>
      <c r="N1102">
        <v>0</v>
      </c>
    </row>
    <row r="1103" spans="1:14" x14ac:dyDescent="0.25">
      <c r="A1103">
        <v>549.34437300000002</v>
      </c>
      <c r="B1103" s="1">
        <f>DATE(2011,11,1) + TIME(8,15,53)</f>
        <v>40848.344363425924</v>
      </c>
      <c r="C1103">
        <v>80</v>
      </c>
      <c r="D1103">
        <v>79.908027649000005</v>
      </c>
      <c r="E1103">
        <v>40</v>
      </c>
      <c r="F1103">
        <v>53.335681915000002</v>
      </c>
      <c r="G1103">
        <v>1330.2985839999999</v>
      </c>
      <c r="H1103">
        <v>1329.7026367000001</v>
      </c>
      <c r="I1103">
        <v>1336.1442870999999</v>
      </c>
      <c r="J1103">
        <v>1334.2539062000001</v>
      </c>
      <c r="K1103">
        <v>0</v>
      </c>
      <c r="L1103">
        <v>1650</v>
      </c>
      <c r="M1103">
        <v>1650</v>
      </c>
      <c r="N1103">
        <v>0</v>
      </c>
    </row>
    <row r="1104" spans="1:14" x14ac:dyDescent="0.25">
      <c r="A1104">
        <v>549.40424700000005</v>
      </c>
      <c r="B1104" s="1">
        <f>DATE(2011,11,1) + TIME(9,42,6)</f>
        <v>40848.404236111113</v>
      </c>
      <c r="C1104">
        <v>80</v>
      </c>
      <c r="D1104">
        <v>79.899940490999995</v>
      </c>
      <c r="E1104">
        <v>40</v>
      </c>
      <c r="F1104">
        <v>52.417789458999998</v>
      </c>
      <c r="G1104">
        <v>1330.2913818</v>
      </c>
      <c r="H1104">
        <v>1329.6918945</v>
      </c>
      <c r="I1104">
        <v>1336.1304932</v>
      </c>
      <c r="J1104">
        <v>1334.2381591999999</v>
      </c>
      <c r="K1104">
        <v>0</v>
      </c>
      <c r="L1104">
        <v>1650</v>
      </c>
      <c r="M1104">
        <v>1650</v>
      </c>
      <c r="N1104">
        <v>0</v>
      </c>
    </row>
    <row r="1105" spans="1:14" x14ac:dyDescent="0.25">
      <c r="A1105">
        <v>549.46947699999998</v>
      </c>
      <c r="B1105" s="1">
        <f>DATE(2011,11,1) + TIME(11,16,2)</f>
        <v>40848.469467592593</v>
      </c>
      <c r="C1105">
        <v>80</v>
      </c>
      <c r="D1105">
        <v>79.891204834000007</v>
      </c>
      <c r="E1105">
        <v>40</v>
      </c>
      <c r="F1105">
        <v>51.504619597999998</v>
      </c>
      <c r="G1105">
        <v>1330.2838135</v>
      </c>
      <c r="H1105">
        <v>1329.6805420000001</v>
      </c>
      <c r="I1105">
        <v>1336.1169434000001</v>
      </c>
      <c r="J1105">
        <v>1334.2225341999999</v>
      </c>
      <c r="K1105">
        <v>0</v>
      </c>
      <c r="L1105">
        <v>1650</v>
      </c>
      <c r="M1105">
        <v>1650</v>
      </c>
      <c r="N1105">
        <v>0</v>
      </c>
    </row>
    <row r="1106" spans="1:14" x14ac:dyDescent="0.25">
      <c r="A1106">
        <v>549.54090900000006</v>
      </c>
      <c r="B1106" s="1">
        <f>DATE(2011,11,1) + TIME(12,58,54)</f>
        <v>40848.540902777779</v>
      </c>
      <c r="C1106">
        <v>80</v>
      </c>
      <c r="D1106">
        <v>79.881721497000001</v>
      </c>
      <c r="E1106">
        <v>40</v>
      </c>
      <c r="F1106">
        <v>50.596813202</v>
      </c>
      <c r="G1106">
        <v>1330.2757568</v>
      </c>
      <c r="H1106">
        <v>1329.6685791</v>
      </c>
      <c r="I1106">
        <v>1336.1036377</v>
      </c>
      <c r="J1106">
        <v>1334.2071533000001</v>
      </c>
      <c r="K1106">
        <v>0</v>
      </c>
      <c r="L1106">
        <v>1650</v>
      </c>
      <c r="M1106">
        <v>1650</v>
      </c>
      <c r="N1106">
        <v>0</v>
      </c>
    </row>
    <row r="1107" spans="1:14" x14ac:dyDescent="0.25">
      <c r="A1107">
        <v>549.61866099999997</v>
      </c>
      <c r="B1107" s="1">
        <f>DATE(2011,11,1) + TIME(14,50,52)</f>
        <v>40848.618657407409</v>
      </c>
      <c r="C1107">
        <v>80</v>
      </c>
      <c r="D1107">
        <v>79.871498107999997</v>
      </c>
      <c r="E1107">
        <v>40</v>
      </c>
      <c r="F1107">
        <v>49.704708099000001</v>
      </c>
      <c r="G1107">
        <v>1330.2673339999999</v>
      </c>
      <c r="H1107">
        <v>1329.6558838000001</v>
      </c>
      <c r="I1107">
        <v>1336.0905762</v>
      </c>
      <c r="J1107">
        <v>1334.1920166</v>
      </c>
      <c r="K1107">
        <v>0</v>
      </c>
      <c r="L1107">
        <v>1650</v>
      </c>
      <c r="M1107">
        <v>1650</v>
      </c>
      <c r="N1107">
        <v>0</v>
      </c>
    </row>
    <row r="1108" spans="1:14" x14ac:dyDescent="0.25">
      <c r="A1108">
        <v>549.70015000000001</v>
      </c>
      <c r="B1108" s="1">
        <f>DATE(2011,11,1) + TIME(16,48,12)</f>
        <v>40848.700138888889</v>
      </c>
      <c r="C1108">
        <v>80</v>
      </c>
      <c r="D1108">
        <v>79.860862732000001</v>
      </c>
      <c r="E1108">
        <v>40</v>
      </c>
      <c r="F1108">
        <v>48.862297058000003</v>
      </c>
      <c r="G1108">
        <v>1330.2584228999999</v>
      </c>
      <c r="H1108">
        <v>1329.6427002</v>
      </c>
      <c r="I1108">
        <v>1336.0784911999999</v>
      </c>
      <c r="J1108">
        <v>1334.1779785000001</v>
      </c>
      <c r="K1108">
        <v>0</v>
      </c>
      <c r="L1108">
        <v>1650</v>
      </c>
      <c r="M1108">
        <v>1650</v>
      </c>
      <c r="N1108">
        <v>0</v>
      </c>
    </row>
    <row r="1109" spans="1:14" x14ac:dyDescent="0.25">
      <c r="A1109">
        <v>549.78540199999998</v>
      </c>
      <c r="B1109" s="1">
        <f>DATE(2011,11,1) + TIME(18,50,58)</f>
        <v>40848.785393518519</v>
      </c>
      <c r="C1109">
        <v>80</v>
      </c>
      <c r="D1109">
        <v>79.849830627000003</v>
      </c>
      <c r="E1109">
        <v>40</v>
      </c>
      <c r="F1109">
        <v>48.070167542</v>
      </c>
      <c r="G1109">
        <v>1330.2495117000001</v>
      </c>
      <c r="H1109">
        <v>1329.6292725000001</v>
      </c>
      <c r="I1109">
        <v>1336.0675048999999</v>
      </c>
      <c r="J1109">
        <v>1334.1650391000001</v>
      </c>
      <c r="K1109">
        <v>0</v>
      </c>
      <c r="L1109">
        <v>1650</v>
      </c>
      <c r="M1109">
        <v>1650</v>
      </c>
      <c r="N1109">
        <v>0</v>
      </c>
    </row>
    <row r="1110" spans="1:14" x14ac:dyDescent="0.25">
      <c r="A1110">
        <v>549.87461800000005</v>
      </c>
      <c r="B1110" s="1">
        <f>DATE(2011,11,1) + TIME(20,59,26)</f>
        <v>40848.874606481484</v>
      </c>
      <c r="C1110">
        <v>80</v>
      </c>
      <c r="D1110">
        <v>79.838394164999997</v>
      </c>
      <c r="E1110">
        <v>40</v>
      </c>
      <c r="F1110">
        <v>47.326759338000002</v>
      </c>
      <c r="G1110">
        <v>1330.2403564000001</v>
      </c>
      <c r="H1110">
        <v>1329.6157227000001</v>
      </c>
      <c r="I1110">
        <v>1336.0573730000001</v>
      </c>
      <c r="J1110">
        <v>1334.1530762</v>
      </c>
      <c r="K1110">
        <v>0</v>
      </c>
      <c r="L1110">
        <v>1650</v>
      </c>
      <c r="M1110">
        <v>1650</v>
      </c>
      <c r="N1110">
        <v>0</v>
      </c>
    </row>
    <row r="1111" spans="1:14" x14ac:dyDescent="0.25">
      <c r="A1111">
        <v>549.96801400000004</v>
      </c>
      <c r="B1111" s="1">
        <f>DATE(2011,11,1) + TIME(23,13,56)</f>
        <v>40848.968009259261</v>
      </c>
      <c r="C1111">
        <v>80</v>
      </c>
      <c r="D1111">
        <v>79.826522827000005</v>
      </c>
      <c r="E1111">
        <v>40</v>
      </c>
      <c r="F1111">
        <v>46.630580901999998</v>
      </c>
      <c r="G1111">
        <v>1330.2310791</v>
      </c>
      <c r="H1111">
        <v>1329.6019286999999</v>
      </c>
      <c r="I1111">
        <v>1336.0483397999999</v>
      </c>
      <c r="J1111">
        <v>1334.1419678</v>
      </c>
      <c r="K1111">
        <v>0</v>
      </c>
      <c r="L1111">
        <v>1650</v>
      </c>
      <c r="M1111">
        <v>1650</v>
      </c>
      <c r="N1111">
        <v>0</v>
      </c>
    </row>
    <row r="1112" spans="1:14" x14ac:dyDescent="0.25">
      <c r="A1112">
        <v>550.06581000000006</v>
      </c>
      <c r="B1112" s="1">
        <f>DATE(2011,11,2) + TIME(1,34,45)</f>
        <v>40849.065798611111</v>
      </c>
      <c r="C1112">
        <v>80</v>
      </c>
      <c r="D1112">
        <v>79.814208984000004</v>
      </c>
      <c r="E1112">
        <v>40</v>
      </c>
      <c r="F1112">
        <v>45.980209350999999</v>
      </c>
      <c r="G1112">
        <v>1330.2216797000001</v>
      </c>
      <c r="H1112">
        <v>1329.5878906</v>
      </c>
      <c r="I1112">
        <v>1336.0400391000001</v>
      </c>
      <c r="J1112">
        <v>1334.1319579999999</v>
      </c>
      <c r="K1112">
        <v>0</v>
      </c>
      <c r="L1112">
        <v>1650</v>
      </c>
      <c r="M1112">
        <v>1650</v>
      </c>
      <c r="N1112">
        <v>0</v>
      </c>
    </row>
    <row r="1113" spans="1:14" x14ac:dyDescent="0.25">
      <c r="A1113">
        <v>550.16824599999995</v>
      </c>
      <c r="B1113" s="1">
        <f>DATE(2011,11,2) + TIME(4,2,16)</f>
        <v>40849.168240740742</v>
      </c>
      <c r="C1113">
        <v>80</v>
      </c>
      <c r="D1113">
        <v>79.801429748999993</v>
      </c>
      <c r="E1113">
        <v>40</v>
      </c>
      <c r="F1113">
        <v>45.374195098999998</v>
      </c>
      <c r="G1113">
        <v>1330.2120361</v>
      </c>
      <c r="H1113">
        <v>1329.5737305</v>
      </c>
      <c r="I1113">
        <v>1336.0328368999999</v>
      </c>
      <c r="J1113">
        <v>1334.1226807</v>
      </c>
      <c r="K1113">
        <v>0</v>
      </c>
      <c r="L1113">
        <v>1650</v>
      </c>
      <c r="M1113">
        <v>1650</v>
      </c>
      <c r="N1113">
        <v>0</v>
      </c>
    </row>
    <row r="1114" spans="1:14" x14ac:dyDescent="0.25">
      <c r="A1114">
        <v>550.27557899999999</v>
      </c>
      <c r="B1114" s="1">
        <f>DATE(2011,11,2) + TIME(6,36,50)</f>
        <v>40849.275578703702</v>
      </c>
      <c r="C1114">
        <v>80</v>
      </c>
      <c r="D1114">
        <v>79.788177489999995</v>
      </c>
      <c r="E1114">
        <v>40</v>
      </c>
      <c r="F1114">
        <v>44.811077118</v>
      </c>
      <c r="G1114">
        <v>1330.2022704999999</v>
      </c>
      <c r="H1114">
        <v>1329.5592041</v>
      </c>
      <c r="I1114">
        <v>1336.0262451000001</v>
      </c>
      <c r="J1114">
        <v>1334.1143798999999</v>
      </c>
      <c r="K1114">
        <v>0</v>
      </c>
      <c r="L1114">
        <v>1650</v>
      </c>
      <c r="M1114">
        <v>1650</v>
      </c>
      <c r="N1114">
        <v>0</v>
      </c>
    </row>
    <row r="1115" spans="1:14" x14ac:dyDescent="0.25">
      <c r="A1115">
        <v>550.38806199999999</v>
      </c>
      <c r="B1115" s="1">
        <f>DATE(2011,11,2) + TIME(9,18,48)</f>
        <v>40849.388055555559</v>
      </c>
      <c r="C1115">
        <v>80</v>
      </c>
      <c r="D1115">
        <v>79.774421692000004</v>
      </c>
      <c r="E1115">
        <v>40</v>
      </c>
      <c r="F1115">
        <v>44.289505005000002</v>
      </c>
      <c r="G1115">
        <v>1330.1923827999999</v>
      </c>
      <c r="H1115">
        <v>1329.5445557</v>
      </c>
      <c r="I1115">
        <v>1336.0206298999999</v>
      </c>
      <c r="J1115">
        <v>1334.1068115</v>
      </c>
      <c r="K1115">
        <v>0</v>
      </c>
      <c r="L1115">
        <v>1650</v>
      </c>
      <c r="M1115">
        <v>1650</v>
      </c>
      <c r="N1115">
        <v>0</v>
      </c>
    </row>
    <row r="1116" spans="1:14" x14ac:dyDescent="0.25">
      <c r="A1116">
        <v>550.505943</v>
      </c>
      <c r="B1116" s="1">
        <f>DATE(2011,11,2) + TIME(12,8,33)</f>
        <v>40849.505937499998</v>
      </c>
      <c r="C1116">
        <v>80</v>
      </c>
      <c r="D1116">
        <v>79.760154724000003</v>
      </c>
      <c r="E1116">
        <v>40</v>
      </c>
      <c r="F1116">
        <v>43.808128357000001</v>
      </c>
      <c r="G1116">
        <v>1330.182251</v>
      </c>
      <c r="H1116">
        <v>1329.5295410000001</v>
      </c>
      <c r="I1116">
        <v>1336.015625</v>
      </c>
      <c r="J1116">
        <v>1334.1000977000001</v>
      </c>
      <c r="K1116">
        <v>0</v>
      </c>
      <c r="L1116">
        <v>1650</v>
      </c>
      <c r="M1116">
        <v>1650</v>
      </c>
      <c r="N1116">
        <v>0</v>
      </c>
    </row>
    <row r="1117" spans="1:14" x14ac:dyDescent="0.25">
      <c r="A1117">
        <v>550.62958800000001</v>
      </c>
      <c r="B1117" s="1">
        <f>DATE(2011,11,2) + TIME(15,6,36)</f>
        <v>40849.629583333335</v>
      </c>
      <c r="C1117">
        <v>80</v>
      </c>
      <c r="D1117">
        <v>79.745338439999998</v>
      </c>
      <c r="E1117">
        <v>40</v>
      </c>
      <c r="F1117">
        <v>43.365222930999998</v>
      </c>
      <c r="G1117">
        <v>1330.171875</v>
      </c>
      <c r="H1117">
        <v>1329.5142822</v>
      </c>
      <c r="I1117">
        <v>1336.0112305</v>
      </c>
      <c r="J1117">
        <v>1334.0941161999999</v>
      </c>
      <c r="K1117">
        <v>0</v>
      </c>
      <c r="L1117">
        <v>1650</v>
      </c>
      <c r="M1117">
        <v>1650</v>
      </c>
      <c r="N1117">
        <v>0</v>
      </c>
    </row>
    <row r="1118" spans="1:14" x14ac:dyDescent="0.25">
      <c r="A1118">
        <v>550.75934099999995</v>
      </c>
      <c r="B1118" s="1">
        <f>DATE(2011,11,2) + TIME(18,13,27)</f>
        <v>40849.759340277778</v>
      </c>
      <c r="C1118">
        <v>80</v>
      </c>
      <c r="D1118">
        <v>79.729965210000003</v>
      </c>
      <c r="E1118">
        <v>40</v>
      </c>
      <c r="F1118">
        <v>42.959239959999998</v>
      </c>
      <c r="G1118">
        <v>1330.1613769999999</v>
      </c>
      <c r="H1118">
        <v>1329.4987793</v>
      </c>
      <c r="I1118">
        <v>1336.0074463000001</v>
      </c>
      <c r="J1118">
        <v>1334.0887451000001</v>
      </c>
      <c r="K1118">
        <v>0</v>
      </c>
      <c r="L1118">
        <v>1650</v>
      </c>
      <c r="M1118">
        <v>1650</v>
      </c>
      <c r="N1118">
        <v>0</v>
      </c>
    </row>
    <row r="1119" spans="1:14" x14ac:dyDescent="0.25">
      <c r="A1119">
        <v>550.89556900000002</v>
      </c>
      <c r="B1119" s="1">
        <f>DATE(2011,11,2) + TIME(21,29,37)</f>
        <v>40849.895567129628</v>
      </c>
      <c r="C1119">
        <v>80</v>
      </c>
      <c r="D1119">
        <v>79.713989257999998</v>
      </c>
      <c r="E1119">
        <v>40</v>
      </c>
      <c r="F1119">
        <v>42.588634491000001</v>
      </c>
      <c r="G1119">
        <v>1330.1505127</v>
      </c>
      <c r="H1119">
        <v>1329.4829102000001</v>
      </c>
      <c r="I1119">
        <v>1336.0042725000001</v>
      </c>
      <c r="J1119">
        <v>1334.0839844</v>
      </c>
      <c r="K1119">
        <v>0</v>
      </c>
      <c r="L1119">
        <v>1650</v>
      </c>
      <c r="M1119">
        <v>1650</v>
      </c>
      <c r="N1119">
        <v>0</v>
      </c>
    </row>
    <row r="1120" spans="1:14" x14ac:dyDescent="0.25">
      <c r="A1120">
        <v>551.03866800000003</v>
      </c>
      <c r="B1120" s="1">
        <f>DATE(2011,11,3) + TIME(0,55,40)</f>
        <v>40850.038657407407</v>
      </c>
      <c r="C1120">
        <v>80</v>
      </c>
      <c r="D1120">
        <v>79.697395325000002</v>
      </c>
      <c r="E1120">
        <v>40</v>
      </c>
      <c r="F1120">
        <v>42.251815796000002</v>
      </c>
      <c r="G1120">
        <v>1330.1394043</v>
      </c>
      <c r="H1120">
        <v>1329.4666748</v>
      </c>
      <c r="I1120">
        <v>1336.0014647999999</v>
      </c>
      <c r="J1120">
        <v>1334.0797118999999</v>
      </c>
      <c r="K1120">
        <v>0</v>
      </c>
      <c r="L1120">
        <v>1650</v>
      </c>
      <c r="M1120">
        <v>1650</v>
      </c>
      <c r="N1120">
        <v>0</v>
      </c>
    </row>
    <row r="1121" spans="1:14" x14ac:dyDescent="0.25">
      <c r="A1121">
        <v>551.18906700000002</v>
      </c>
      <c r="B1121" s="1">
        <f>DATE(2011,11,3) + TIME(4,32,15)</f>
        <v>40850.189062500001</v>
      </c>
      <c r="C1121">
        <v>80</v>
      </c>
      <c r="D1121">
        <v>79.680145264000004</v>
      </c>
      <c r="E1121">
        <v>40</v>
      </c>
      <c r="F1121">
        <v>41.947158813000001</v>
      </c>
      <c r="G1121">
        <v>1330.1280518000001</v>
      </c>
      <c r="H1121">
        <v>1329.4499512</v>
      </c>
      <c r="I1121">
        <v>1335.9991454999999</v>
      </c>
      <c r="J1121">
        <v>1334.0760498</v>
      </c>
      <c r="K1121">
        <v>0</v>
      </c>
      <c r="L1121">
        <v>1650</v>
      </c>
      <c r="M1121">
        <v>1650</v>
      </c>
      <c r="N1121">
        <v>0</v>
      </c>
    </row>
    <row r="1122" spans="1:14" x14ac:dyDescent="0.25">
      <c r="A1122">
        <v>551.34723599999995</v>
      </c>
      <c r="B1122" s="1">
        <f>DATE(2011,11,3) + TIME(8,20,1)</f>
        <v>40850.347233796296</v>
      </c>
      <c r="C1122">
        <v>80</v>
      </c>
      <c r="D1122">
        <v>79.662200928000004</v>
      </c>
      <c r="E1122">
        <v>40</v>
      </c>
      <c r="F1122">
        <v>41.672996521000002</v>
      </c>
      <c r="G1122">
        <v>1330.1164550999999</v>
      </c>
      <c r="H1122">
        <v>1329.4329834</v>
      </c>
      <c r="I1122">
        <v>1335.9970702999999</v>
      </c>
      <c r="J1122">
        <v>1334.072876</v>
      </c>
      <c r="K1122">
        <v>0</v>
      </c>
      <c r="L1122">
        <v>1650</v>
      </c>
      <c r="M1122">
        <v>1650</v>
      </c>
      <c r="N1122">
        <v>0</v>
      </c>
    </row>
    <row r="1123" spans="1:14" x14ac:dyDescent="0.25">
      <c r="A1123">
        <v>551.513688</v>
      </c>
      <c r="B1123" s="1">
        <f>DATE(2011,11,3) + TIME(12,19,42)</f>
        <v>40850.513680555552</v>
      </c>
      <c r="C1123">
        <v>80</v>
      </c>
      <c r="D1123">
        <v>79.643524170000006</v>
      </c>
      <c r="E1123">
        <v>40</v>
      </c>
      <c r="F1123">
        <v>41.427627563000001</v>
      </c>
      <c r="G1123">
        <v>1330.1044922000001</v>
      </c>
      <c r="H1123">
        <v>1329.4155272999999</v>
      </c>
      <c r="I1123">
        <v>1335.9953613</v>
      </c>
      <c r="J1123">
        <v>1334.0700684000001</v>
      </c>
      <c r="K1123">
        <v>0</v>
      </c>
      <c r="L1123">
        <v>1650</v>
      </c>
      <c r="M1123">
        <v>1650</v>
      </c>
      <c r="N1123">
        <v>0</v>
      </c>
    </row>
    <row r="1124" spans="1:14" x14ac:dyDescent="0.25">
      <c r="A1124">
        <v>551.68898300000001</v>
      </c>
      <c r="B1124" s="1">
        <f>DATE(2011,11,3) + TIME(16,32,8)</f>
        <v>40850.688981481479</v>
      </c>
      <c r="C1124">
        <v>80</v>
      </c>
      <c r="D1124">
        <v>79.624084472999996</v>
      </c>
      <c r="E1124">
        <v>40</v>
      </c>
      <c r="F1124">
        <v>41.209312439000001</v>
      </c>
      <c r="G1124">
        <v>1330.0921631000001</v>
      </c>
      <c r="H1124">
        <v>1329.3975829999999</v>
      </c>
      <c r="I1124">
        <v>1335.9937743999999</v>
      </c>
      <c r="J1124">
        <v>1334.067749</v>
      </c>
      <c r="K1124">
        <v>0</v>
      </c>
      <c r="L1124">
        <v>1650</v>
      </c>
      <c r="M1124">
        <v>1650</v>
      </c>
      <c r="N1124">
        <v>0</v>
      </c>
    </row>
    <row r="1125" spans="1:14" x14ac:dyDescent="0.25">
      <c r="A1125">
        <v>551.873739</v>
      </c>
      <c r="B1125" s="1">
        <f>DATE(2011,11,3) + TIME(20,58,11)</f>
        <v>40850.873738425929</v>
      </c>
      <c r="C1125">
        <v>80</v>
      </c>
      <c r="D1125">
        <v>79.603820800999998</v>
      </c>
      <c r="E1125">
        <v>40</v>
      </c>
      <c r="F1125">
        <v>41.016296386999997</v>
      </c>
      <c r="G1125">
        <v>1330.0794678</v>
      </c>
      <c r="H1125">
        <v>1329.3791504000001</v>
      </c>
      <c r="I1125">
        <v>1335.9923096</v>
      </c>
      <c r="J1125">
        <v>1334.0656738</v>
      </c>
      <c r="K1125">
        <v>0</v>
      </c>
      <c r="L1125">
        <v>1650</v>
      </c>
      <c r="M1125">
        <v>1650</v>
      </c>
      <c r="N1125">
        <v>0</v>
      </c>
    </row>
    <row r="1126" spans="1:14" x14ac:dyDescent="0.25">
      <c r="A1126">
        <v>552.06855599999994</v>
      </c>
      <c r="B1126" s="1">
        <f>DATE(2011,11,4) + TIME(1,38,43)</f>
        <v>40851.068553240744</v>
      </c>
      <c r="C1126">
        <v>80</v>
      </c>
      <c r="D1126">
        <v>79.582695006999998</v>
      </c>
      <c r="E1126">
        <v>40</v>
      </c>
      <c r="F1126">
        <v>40.846851348999998</v>
      </c>
      <c r="G1126">
        <v>1330.0664062000001</v>
      </c>
      <c r="H1126">
        <v>1329.3601074000001</v>
      </c>
      <c r="I1126">
        <v>1335.9910889</v>
      </c>
      <c r="J1126">
        <v>1334.0638428</v>
      </c>
      <c r="K1126">
        <v>0</v>
      </c>
      <c r="L1126">
        <v>1650</v>
      </c>
      <c r="M1126">
        <v>1650</v>
      </c>
      <c r="N1126">
        <v>0</v>
      </c>
    </row>
    <row r="1127" spans="1:14" x14ac:dyDescent="0.25">
      <c r="A1127">
        <v>552.27421800000002</v>
      </c>
      <c r="B1127" s="1">
        <f>DATE(2011,11,4) + TIME(6,34,52)</f>
        <v>40851.274212962962</v>
      </c>
      <c r="C1127">
        <v>80</v>
      </c>
      <c r="D1127">
        <v>79.560646057</v>
      </c>
      <c r="E1127">
        <v>40</v>
      </c>
      <c r="F1127">
        <v>40.699138640999998</v>
      </c>
      <c r="G1127">
        <v>1330.0529785000001</v>
      </c>
      <c r="H1127">
        <v>1329.3405762</v>
      </c>
      <c r="I1127">
        <v>1335.9897461</v>
      </c>
      <c r="J1127">
        <v>1334.0622559000001</v>
      </c>
      <c r="K1127">
        <v>0</v>
      </c>
      <c r="L1127">
        <v>1650</v>
      </c>
      <c r="M1127">
        <v>1650</v>
      </c>
      <c r="N1127">
        <v>0</v>
      </c>
    </row>
    <row r="1128" spans="1:14" x14ac:dyDescent="0.25">
      <c r="A1128">
        <v>552.49158599999998</v>
      </c>
      <c r="B1128" s="1">
        <f>DATE(2011,11,4) + TIME(11,47,53)</f>
        <v>40851.491585648146</v>
      </c>
      <c r="C1128">
        <v>80</v>
      </c>
      <c r="D1128">
        <v>79.537605286000002</v>
      </c>
      <c r="E1128">
        <v>40</v>
      </c>
      <c r="F1128">
        <v>40.571338654000002</v>
      </c>
      <c r="G1128">
        <v>1330.0390625</v>
      </c>
      <c r="H1128">
        <v>1329.3204346</v>
      </c>
      <c r="I1128">
        <v>1335.9885254000001</v>
      </c>
      <c r="J1128">
        <v>1334.0609131000001</v>
      </c>
      <c r="K1128">
        <v>0</v>
      </c>
      <c r="L1128">
        <v>1650</v>
      </c>
      <c r="M1128">
        <v>1650</v>
      </c>
      <c r="N1128">
        <v>0</v>
      </c>
    </row>
    <row r="1129" spans="1:14" x14ac:dyDescent="0.25">
      <c r="A1129">
        <v>552.72159599999998</v>
      </c>
      <c r="B1129" s="1">
        <f>DATE(2011,11,4) + TIME(17,19,5)</f>
        <v>40851.721585648149</v>
      </c>
      <c r="C1129">
        <v>80</v>
      </c>
      <c r="D1129">
        <v>79.513504028</v>
      </c>
      <c r="E1129">
        <v>40</v>
      </c>
      <c r="F1129">
        <v>40.461681366000001</v>
      </c>
      <c r="G1129">
        <v>1330.0245361</v>
      </c>
      <c r="H1129">
        <v>1329.2995605000001</v>
      </c>
      <c r="I1129">
        <v>1335.9873047000001</v>
      </c>
      <c r="J1129">
        <v>1334.0596923999999</v>
      </c>
      <c r="K1129">
        <v>0</v>
      </c>
      <c r="L1129">
        <v>1650</v>
      </c>
      <c r="M1129">
        <v>1650</v>
      </c>
      <c r="N1129">
        <v>0</v>
      </c>
    </row>
    <row r="1130" spans="1:14" x14ac:dyDescent="0.25">
      <c r="A1130">
        <v>552.96529699999996</v>
      </c>
      <c r="B1130" s="1">
        <f>DATE(2011,11,4) + TIME(23,10,1)</f>
        <v>40851.965289351851</v>
      </c>
      <c r="C1130">
        <v>80</v>
      </c>
      <c r="D1130">
        <v>79.488258361999996</v>
      </c>
      <c r="E1130">
        <v>40</v>
      </c>
      <c r="F1130">
        <v>40.368415833</v>
      </c>
      <c r="G1130">
        <v>1330.0096435999999</v>
      </c>
      <c r="H1130">
        <v>1329.2779541</v>
      </c>
      <c r="I1130">
        <v>1335.9859618999999</v>
      </c>
      <c r="J1130">
        <v>1334.0584716999999</v>
      </c>
      <c r="K1130">
        <v>0</v>
      </c>
      <c r="L1130">
        <v>1650</v>
      </c>
      <c r="M1130">
        <v>1650</v>
      </c>
      <c r="N1130">
        <v>0</v>
      </c>
    </row>
    <row r="1131" spans="1:14" x14ac:dyDescent="0.25">
      <c r="A1131">
        <v>553.22385799999995</v>
      </c>
      <c r="B1131" s="1">
        <f>DATE(2011,11,5) + TIME(5,22,21)</f>
        <v>40852.223854166667</v>
      </c>
      <c r="C1131">
        <v>80</v>
      </c>
      <c r="D1131">
        <v>79.461776732999994</v>
      </c>
      <c r="E1131">
        <v>40</v>
      </c>
      <c r="F1131">
        <v>40.289836884000003</v>
      </c>
      <c r="G1131">
        <v>1329.9940185999999</v>
      </c>
      <c r="H1131">
        <v>1329.2556152</v>
      </c>
      <c r="I1131">
        <v>1335.9846190999999</v>
      </c>
      <c r="J1131">
        <v>1334.0574951000001</v>
      </c>
      <c r="K1131">
        <v>0</v>
      </c>
      <c r="L1131">
        <v>1650</v>
      </c>
      <c r="M1131">
        <v>1650</v>
      </c>
      <c r="N1131">
        <v>0</v>
      </c>
    </row>
    <row r="1132" spans="1:14" x14ac:dyDescent="0.25">
      <c r="A1132">
        <v>553.49859900000001</v>
      </c>
      <c r="B1132" s="1">
        <f>DATE(2011,11,5) + TIME(11,57,58)</f>
        <v>40852.49858796296</v>
      </c>
      <c r="C1132">
        <v>80</v>
      </c>
      <c r="D1132">
        <v>79.433967589999995</v>
      </c>
      <c r="E1132">
        <v>40</v>
      </c>
      <c r="F1132">
        <v>40.224300384999999</v>
      </c>
      <c r="G1132">
        <v>1329.9779053</v>
      </c>
      <c r="H1132">
        <v>1329.2324219</v>
      </c>
      <c r="I1132">
        <v>1335.9830322</v>
      </c>
      <c r="J1132">
        <v>1334.0565185999999</v>
      </c>
      <c r="K1132">
        <v>0</v>
      </c>
      <c r="L1132">
        <v>1650</v>
      </c>
      <c r="M1132">
        <v>1650</v>
      </c>
      <c r="N1132">
        <v>0</v>
      </c>
    </row>
    <row r="1133" spans="1:14" x14ac:dyDescent="0.25">
      <c r="A1133">
        <v>553.79101100000003</v>
      </c>
      <c r="B1133" s="1">
        <f>DATE(2011,11,5) + TIME(18,59,3)</f>
        <v>40852.791006944448</v>
      </c>
      <c r="C1133">
        <v>80</v>
      </c>
      <c r="D1133">
        <v>79.404708862000007</v>
      </c>
      <c r="E1133">
        <v>40</v>
      </c>
      <c r="F1133">
        <v>40.170223235999998</v>
      </c>
      <c r="G1133">
        <v>1329.9610596</v>
      </c>
      <c r="H1133">
        <v>1329.2082519999999</v>
      </c>
      <c r="I1133">
        <v>1335.9814452999999</v>
      </c>
      <c r="J1133">
        <v>1334.0555420000001</v>
      </c>
      <c r="K1133">
        <v>0</v>
      </c>
      <c r="L1133">
        <v>1650</v>
      </c>
      <c r="M1133">
        <v>1650</v>
      </c>
      <c r="N1133">
        <v>0</v>
      </c>
    </row>
    <row r="1134" spans="1:14" x14ac:dyDescent="0.25">
      <c r="A1134">
        <v>554.10278500000004</v>
      </c>
      <c r="B1134" s="1">
        <f>DATE(2011,11,6) + TIME(2,28,0)</f>
        <v>40853.102777777778</v>
      </c>
      <c r="C1134">
        <v>80</v>
      </c>
      <c r="D1134">
        <v>79.373886107999994</v>
      </c>
      <c r="E1134">
        <v>40</v>
      </c>
      <c r="F1134">
        <v>40.126117706000002</v>
      </c>
      <c r="G1134">
        <v>1329.9436035000001</v>
      </c>
      <c r="H1134">
        <v>1329.1831055</v>
      </c>
      <c r="I1134">
        <v>1335.9796143000001</v>
      </c>
      <c r="J1134">
        <v>1334.0545654</v>
      </c>
      <c r="K1134">
        <v>0</v>
      </c>
      <c r="L1134">
        <v>1650</v>
      </c>
      <c r="M1134">
        <v>1650</v>
      </c>
      <c r="N1134">
        <v>0</v>
      </c>
    </row>
    <row r="1135" spans="1:14" x14ac:dyDescent="0.25">
      <c r="A1135">
        <v>554.43584799999996</v>
      </c>
      <c r="B1135" s="1">
        <f>DATE(2011,11,6) + TIME(10,27,37)</f>
        <v>40853.435844907406</v>
      </c>
      <c r="C1135">
        <v>80</v>
      </c>
      <c r="D1135">
        <v>79.341346740999995</v>
      </c>
      <c r="E1135">
        <v>40</v>
      </c>
      <c r="F1135">
        <v>40.090583801000001</v>
      </c>
      <c r="G1135">
        <v>1329.9251709</v>
      </c>
      <c r="H1135">
        <v>1329.1569824000001</v>
      </c>
      <c r="I1135">
        <v>1335.9776611</v>
      </c>
      <c r="J1135">
        <v>1334.0535889</v>
      </c>
      <c r="K1135">
        <v>0</v>
      </c>
      <c r="L1135">
        <v>1650</v>
      </c>
      <c r="M1135">
        <v>1650</v>
      </c>
      <c r="N1135">
        <v>0</v>
      </c>
    </row>
    <row r="1136" spans="1:14" x14ac:dyDescent="0.25">
      <c r="A1136">
        <v>554.78361800000005</v>
      </c>
      <c r="B1136" s="1">
        <f>DATE(2011,11,6) + TIME(18,48,24)</f>
        <v>40853.78361111111</v>
      </c>
      <c r="C1136">
        <v>80</v>
      </c>
      <c r="D1136">
        <v>79.307609557999996</v>
      </c>
      <c r="E1136">
        <v>40</v>
      </c>
      <c r="F1136">
        <v>40.062843323000003</v>
      </c>
      <c r="G1136">
        <v>1329.9060059000001</v>
      </c>
      <c r="H1136">
        <v>1329.1296387</v>
      </c>
      <c r="I1136">
        <v>1335.9754639</v>
      </c>
      <c r="J1136">
        <v>1334.0524902</v>
      </c>
      <c r="K1136">
        <v>0</v>
      </c>
      <c r="L1136">
        <v>1650</v>
      </c>
      <c r="M1136">
        <v>1650</v>
      </c>
      <c r="N1136">
        <v>0</v>
      </c>
    </row>
    <row r="1137" spans="1:14" x14ac:dyDescent="0.25">
      <c r="A1137">
        <v>555.13944800000002</v>
      </c>
      <c r="B1137" s="1">
        <f>DATE(2011,11,7) + TIME(3,20,48)</f>
        <v>40854.139444444445</v>
      </c>
      <c r="C1137">
        <v>80</v>
      </c>
      <c r="D1137">
        <v>79.273193359000004</v>
      </c>
      <c r="E1137">
        <v>40</v>
      </c>
      <c r="F1137">
        <v>40.041698455999999</v>
      </c>
      <c r="G1137">
        <v>1329.8864745999999</v>
      </c>
      <c r="H1137">
        <v>1329.1018065999999</v>
      </c>
      <c r="I1137">
        <v>1335.9732666</v>
      </c>
      <c r="J1137">
        <v>1334.0515137</v>
      </c>
      <c r="K1137">
        <v>0</v>
      </c>
      <c r="L1137">
        <v>1650</v>
      </c>
      <c r="M1137">
        <v>1650</v>
      </c>
      <c r="N1137">
        <v>0</v>
      </c>
    </row>
    <row r="1138" spans="1:14" x14ac:dyDescent="0.25">
      <c r="A1138">
        <v>555.50431100000003</v>
      </c>
      <c r="B1138" s="1">
        <f>DATE(2011,11,7) + TIME(12,6,12)</f>
        <v>40854.504305555558</v>
      </c>
      <c r="C1138">
        <v>80</v>
      </c>
      <c r="D1138">
        <v>79.238052367999998</v>
      </c>
      <c r="E1138">
        <v>40</v>
      </c>
      <c r="F1138">
        <v>40.025608063</v>
      </c>
      <c r="G1138">
        <v>1329.8665771000001</v>
      </c>
      <c r="H1138">
        <v>1329.0736084</v>
      </c>
      <c r="I1138">
        <v>1335.9710693</v>
      </c>
      <c r="J1138">
        <v>1334.0504149999999</v>
      </c>
      <c r="K1138">
        <v>0</v>
      </c>
      <c r="L1138">
        <v>1650</v>
      </c>
      <c r="M1138">
        <v>1650</v>
      </c>
      <c r="N1138">
        <v>0</v>
      </c>
    </row>
    <row r="1139" spans="1:14" x14ac:dyDescent="0.25">
      <c r="A1139">
        <v>555.87906599999997</v>
      </c>
      <c r="B1139" s="1">
        <f>DATE(2011,11,7) + TIME(21,5,51)</f>
        <v>40854.879062499997</v>
      </c>
      <c r="C1139">
        <v>80</v>
      </c>
      <c r="D1139">
        <v>79.202156067000004</v>
      </c>
      <c r="E1139">
        <v>40</v>
      </c>
      <c r="F1139">
        <v>40.013385773000003</v>
      </c>
      <c r="G1139">
        <v>1329.8465576000001</v>
      </c>
      <c r="H1139">
        <v>1329.0451660000001</v>
      </c>
      <c r="I1139">
        <v>1335.9686279</v>
      </c>
      <c r="J1139">
        <v>1334.0493164</v>
      </c>
      <c r="K1139">
        <v>0</v>
      </c>
      <c r="L1139">
        <v>1650</v>
      </c>
      <c r="M1139">
        <v>1650</v>
      </c>
      <c r="N1139">
        <v>0</v>
      </c>
    </row>
    <row r="1140" spans="1:14" x14ac:dyDescent="0.25">
      <c r="A1140">
        <v>556.26461300000005</v>
      </c>
      <c r="B1140" s="1">
        <f>DATE(2011,11,8) + TIME(6,21,2)</f>
        <v>40855.264606481483</v>
      </c>
      <c r="C1140">
        <v>80</v>
      </c>
      <c r="D1140">
        <v>79.165466308999996</v>
      </c>
      <c r="E1140">
        <v>40</v>
      </c>
      <c r="F1140">
        <v>40.004127502000003</v>
      </c>
      <c r="G1140">
        <v>1329.8264160000001</v>
      </c>
      <c r="H1140">
        <v>1329.0164795000001</v>
      </c>
      <c r="I1140">
        <v>1335.9661865</v>
      </c>
      <c r="J1140">
        <v>1334.0480957</v>
      </c>
      <c r="K1140">
        <v>0</v>
      </c>
      <c r="L1140">
        <v>1650</v>
      </c>
      <c r="M1140">
        <v>1650</v>
      </c>
      <c r="N1140">
        <v>0</v>
      </c>
    </row>
    <row r="1141" spans="1:14" x14ac:dyDescent="0.25">
      <c r="A1141">
        <v>556.66190700000004</v>
      </c>
      <c r="B1141" s="1">
        <f>DATE(2011,11,8) + TIME(15,53,8)</f>
        <v>40855.661898148152</v>
      </c>
      <c r="C1141">
        <v>80</v>
      </c>
      <c r="D1141">
        <v>79.127922057999996</v>
      </c>
      <c r="E1141">
        <v>40</v>
      </c>
      <c r="F1141">
        <v>39.997127532999997</v>
      </c>
      <c r="G1141">
        <v>1329.8059082</v>
      </c>
      <c r="H1141">
        <v>1328.9875488</v>
      </c>
      <c r="I1141">
        <v>1335.9637451000001</v>
      </c>
      <c r="J1141">
        <v>1334.046875</v>
      </c>
      <c r="K1141">
        <v>0</v>
      </c>
      <c r="L1141">
        <v>1650</v>
      </c>
      <c r="M1141">
        <v>1650</v>
      </c>
      <c r="N1141">
        <v>0</v>
      </c>
    </row>
    <row r="1142" spans="1:14" x14ac:dyDescent="0.25">
      <c r="A1142">
        <v>557.07198000000005</v>
      </c>
      <c r="B1142" s="1">
        <f>DATE(2011,11,9) + TIME(1,43,39)</f>
        <v>40856.071979166663</v>
      </c>
      <c r="C1142">
        <v>80</v>
      </c>
      <c r="D1142">
        <v>79.089462280000006</v>
      </c>
      <c r="E1142">
        <v>40</v>
      </c>
      <c r="F1142">
        <v>39.991836548000002</v>
      </c>
      <c r="G1142">
        <v>1329.7850341999999</v>
      </c>
      <c r="H1142">
        <v>1328.9581298999999</v>
      </c>
      <c r="I1142">
        <v>1335.9613036999999</v>
      </c>
      <c r="J1142">
        <v>1334.0456543</v>
      </c>
      <c r="K1142">
        <v>0</v>
      </c>
      <c r="L1142">
        <v>1650</v>
      </c>
      <c r="M1142">
        <v>1650</v>
      </c>
      <c r="N1142">
        <v>0</v>
      </c>
    </row>
    <row r="1143" spans="1:14" x14ac:dyDescent="0.25">
      <c r="A1143">
        <v>557.49592900000005</v>
      </c>
      <c r="B1143" s="1">
        <f>DATE(2011,11,9) + TIME(11,54,8)</f>
        <v>40856.495925925927</v>
      </c>
      <c r="C1143">
        <v>80</v>
      </c>
      <c r="D1143">
        <v>79.050018311000002</v>
      </c>
      <c r="E1143">
        <v>40</v>
      </c>
      <c r="F1143">
        <v>39.987850189</v>
      </c>
      <c r="G1143">
        <v>1329.7640381000001</v>
      </c>
      <c r="H1143">
        <v>1328.9284668</v>
      </c>
      <c r="I1143">
        <v>1335.9587402</v>
      </c>
      <c r="J1143">
        <v>1334.0443115</v>
      </c>
      <c r="K1143">
        <v>0</v>
      </c>
      <c r="L1143">
        <v>1650</v>
      </c>
      <c r="M1143">
        <v>1650</v>
      </c>
      <c r="N1143">
        <v>0</v>
      </c>
    </row>
    <row r="1144" spans="1:14" x14ac:dyDescent="0.25">
      <c r="A1144">
        <v>557.93493999999998</v>
      </c>
      <c r="B1144" s="1">
        <f>DATE(2011,11,9) + TIME(22,26,18)</f>
        <v>40856.934930555559</v>
      </c>
      <c r="C1144">
        <v>80</v>
      </c>
      <c r="D1144">
        <v>79.009529114000003</v>
      </c>
      <c r="E1144">
        <v>40</v>
      </c>
      <c r="F1144">
        <v>39.984840392999999</v>
      </c>
      <c r="G1144">
        <v>1329.7425536999999</v>
      </c>
      <c r="H1144">
        <v>1328.8981934000001</v>
      </c>
      <c r="I1144">
        <v>1335.9561768000001</v>
      </c>
      <c r="J1144">
        <v>1334.0430908000001</v>
      </c>
      <c r="K1144">
        <v>0</v>
      </c>
      <c r="L1144">
        <v>1650</v>
      </c>
      <c r="M1144">
        <v>1650</v>
      </c>
      <c r="N1144">
        <v>0</v>
      </c>
    </row>
    <row r="1145" spans="1:14" x14ac:dyDescent="0.25">
      <c r="A1145">
        <v>558.39030400000001</v>
      </c>
      <c r="B1145" s="1">
        <f>DATE(2011,11,10) + TIME(9,22,2)</f>
        <v>40857.390300925923</v>
      </c>
      <c r="C1145">
        <v>80</v>
      </c>
      <c r="D1145">
        <v>78.967887877999999</v>
      </c>
      <c r="E1145">
        <v>40</v>
      </c>
      <c r="F1145">
        <v>39.982566833</v>
      </c>
      <c r="G1145">
        <v>1329.7207031</v>
      </c>
      <c r="H1145">
        <v>1328.8675536999999</v>
      </c>
      <c r="I1145">
        <v>1335.9536132999999</v>
      </c>
      <c r="J1145">
        <v>1334.0417480000001</v>
      </c>
      <c r="K1145">
        <v>0</v>
      </c>
      <c r="L1145">
        <v>1650</v>
      </c>
      <c r="M1145">
        <v>1650</v>
      </c>
      <c r="N1145">
        <v>0</v>
      </c>
    </row>
    <row r="1146" spans="1:14" x14ac:dyDescent="0.25">
      <c r="A1146">
        <v>558.86321599999997</v>
      </c>
      <c r="B1146" s="1">
        <f>DATE(2011,11,10) + TIME(20,43,1)</f>
        <v>40857.863206018519</v>
      </c>
      <c r="C1146">
        <v>80</v>
      </c>
      <c r="D1146">
        <v>78.925018311000002</v>
      </c>
      <c r="E1146">
        <v>40</v>
      </c>
      <c r="F1146">
        <v>39.980850220000001</v>
      </c>
      <c r="G1146">
        <v>1329.6984863</v>
      </c>
      <c r="H1146">
        <v>1328.8364257999999</v>
      </c>
      <c r="I1146">
        <v>1335.9510498</v>
      </c>
      <c r="J1146">
        <v>1334.0402832</v>
      </c>
      <c r="K1146">
        <v>0</v>
      </c>
      <c r="L1146">
        <v>1650</v>
      </c>
      <c r="M1146">
        <v>1650</v>
      </c>
      <c r="N1146">
        <v>0</v>
      </c>
    </row>
    <row r="1147" spans="1:14" x14ac:dyDescent="0.25">
      <c r="A1147">
        <v>559.35539300000005</v>
      </c>
      <c r="B1147" s="1">
        <f>DATE(2011,11,11) + TIME(8,31,45)</f>
        <v>40858.355381944442</v>
      </c>
      <c r="C1147">
        <v>80</v>
      </c>
      <c r="D1147">
        <v>78.880805968999994</v>
      </c>
      <c r="E1147">
        <v>40</v>
      </c>
      <c r="F1147">
        <v>39.979549407999997</v>
      </c>
      <c r="G1147">
        <v>1329.6757812000001</v>
      </c>
      <c r="H1147">
        <v>1328.8045654</v>
      </c>
      <c r="I1147">
        <v>1335.9484863</v>
      </c>
      <c r="J1147">
        <v>1334.0389404</v>
      </c>
      <c r="K1147">
        <v>0</v>
      </c>
      <c r="L1147">
        <v>1650</v>
      </c>
      <c r="M1147">
        <v>1650</v>
      </c>
      <c r="N1147">
        <v>0</v>
      </c>
    </row>
    <row r="1148" spans="1:14" x14ac:dyDescent="0.25">
      <c r="A1148">
        <v>559.86853199999996</v>
      </c>
      <c r="B1148" s="1">
        <f>DATE(2011,11,11) + TIME(20,50,41)</f>
        <v>40858.868530092594</v>
      </c>
      <c r="C1148">
        <v>80</v>
      </c>
      <c r="D1148">
        <v>78.835113524999997</v>
      </c>
      <c r="E1148">
        <v>40</v>
      </c>
      <c r="F1148">
        <v>39.978553771999998</v>
      </c>
      <c r="G1148">
        <v>1329.6525879000001</v>
      </c>
      <c r="H1148">
        <v>1328.7720947</v>
      </c>
      <c r="I1148">
        <v>1335.9458007999999</v>
      </c>
      <c r="J1148">
        <v>1334.0375977000001</v>
      </c>
      <c r="K1148">
        <v>0</v>
      </c>
      <c r="L1148">
        <v>1650</v>
      </c>
      <c r="M1148">
        <v>1650</v>
      </c>
      <c r="N1148">
        <v>0</v>
      </c>
    </row>
    <row r="1149" spans="1:14" x14ac:dyDescent="0.25">
      <c r="A1149">
        <v>560.40452200000004</v>
      </c>
      <c r="B1149" s="1">
        <f>DATE(2011,11,12) + TIME(9,42,30)</f>
        <v>40859.404513888891</v>
      </c>
      <c r="C1149">
        <v>80</v>
      </c>
      <c r="D1149">
        <v>78.787818908999995</v>
      </c>
      <c r="E1149">
        <v>40</v>
      </c>
      <c r="F1149">
        <v>39.977794647000003</v>
      </c>
      <c r="G1149">
        <v>1329.6289062000001</v>
      </c>
      <c r="H1149">
        <v>1328.7390137</v>
      </c>
      <c r="I1149">
        <v>1335.9432373</v>
      </c>
      <c r="J1149">
        <v>1334.0361327999999</v>
      </c>
      <c r="K1149">
        <v>0</v>
      </c>
      <c r="L1149">
        <v>1650</v>
      </c>
      <c r="M1149">
        <v>1650</v>
      </c>
      <c r="N1149">
        <v>0</v>
      </c>
    </row>
    <row r="1150" spans="1:14" x14ac:dyDescent="0.25">
      <c r="A1150">
        <v>560.965461</v>
      </c>
      <c r="B1150" s="1">
        <f>DATE(2011,11,12) + TIME(23,10,15)</f>
        <v>40859.965451388889</v>
      </c>
      <c r="C1150">
        <v>80</v>
      </c>
      <c r="D1150">
        <v>78.738754271999994</v>
      </c>
      <c r="E1150">
        <v>40</v>
      </c>
      <c r="F1150">
        <v>39.977207184000001</v>
      </c>
      <c r="G1150">
        <v>1329.6044922000001</v>
      </c>
      <c r="H1150">
        <v>1328.7050781</v>
      </c>
      <c r="I1150">
        <v>1335.9405518000001</v>
      </c>
      <c r="J1150">
        <v>1334.034668</v>
      </c>
      <c r="K1150">
        <v>0</v>
      </c>
      <c r="L1150">
        <v>1650</v>
      </c>
      <c r="M1150">
        <v>1650</v>
      </c>
      <c r="N1150">
        <v>0</v>
      </c>
    </row>
    <row r="1151" spans="1:14" x14ac:dyDescent="0.25">
      <c r="A1151">
        <v>561.55368999999996</v>
      </c>
      <c r="B1151" s="1">
        <f>DATE(2011,11,13) + TIME(13,17,18)</f>
        <v>40860.553680555553</v>
      </c>
      <c r="C1151">
        <v>80</v>
      </c>
      <c r="D1151">
        <v>78.687736510999997</v>
      </c>
      <c r="E1151">
        <v>40</v>
      </c>
      <c r="F1151">
        <v>39.976749419999997</v>
      </c>
      <c r="G1151">
        <v>1329.5794678</v>
      </c>
      <c r="H1151">
        <v>1328.6701660000001</v>
      </c>
      <c r="I1151">
        <v>1335.9378661999999</v>
      </c>
      <c r="J1151">
        <v>1334.0332031</v>
      </c>
      <c r="K1151">
        <v>0</v>
      </c>
      <c r="L1151">
        <v>1650</v>
      </c>
      <c r="M1151">
        <v>1650</v>
      </c>
      <c r="N1151">
        <v>0</v>
      </c>
    </row>
    <row r="1152" spans="1:14" x14ac:dyDescent="0.25">
      <c r="A1152">
        <v>562.17185099999995</v>
      </c>
      <c r="B1152" s="1">
        <f>DATE(2011,11,14) + TIME(4,7,27)</f>
        <v>40861.171840277777</v>
      </c>
      <c r="C1152">
        <v>80</v>
      </c>
      <c r="D1152">
        <v>78.634567261000001</v>
      </c>
      <c r="E1152">
        <v>40</v>
      </c>
      <c r="F1152">
        <v>39.976394653</v>
      </c>
      <c r="G1152">
        <v>1329.5537108999999</v>
      </c>
      <c r="H1152">
        <v>1328.6343993999999</v>
      </c>
      <c r="I1152">
        <v>1335.9351807</v>
      </c>
      <c r="J1152">
        <v>1334.0317382999999</v>
      </c>
      <c r="K1152">
        <v>0</v>
      </c>
      <c r="L1152">
        <v>1650</v>
      </c>
      <c r="M1152">
        <v>1650</v>
      </c>
      <c r="N1152">
        <v>0</v>
      </c>
    </row>
    <row r="1153" spans="1:14" x14ac:dyDescent="0.25">
      <c r="A1153">
        <v>562.82292500000005</v>
      </c>
      <c r="B1153" s="1">
        <f>DATE(2011,11,14) + TIME(19,45,0)</f>
        <v>40861.822916666664</v>
      </c>
      <c r="C1153">
        <v>80</v>
      </c>
      <c r="D1153">
        <v>78.579017639</v>
      </c>
      <c r="E1153">
        <v>40</v>
      </c>
      <c r="F1153">
        <v>39.976112366000002</v>
      </c>
      <c r="G1153">
        <v>1329.5270995999999</v>
      </c>
      <c r="H1153">
        <v>1328.5975341999999</v>
      </c>
      <c r="I1153">
        <v>1335.9326172000001</v>
      </c>
      <c r="J1153">
        <v>1334.0301514</v>
      </c>
      <c r="K1153">
        <v>0</v>
      </c>
      <c r="L1153">
        <v>1650</v>
      </c>
      <c r="M1153">
        <v>1650</v>
      </c>
      <c r="N1153">
        <v>0</v>
      </c>
    </row>
    <row r="1154" spans="1:14" x14ac:dyDescent="0.25">
      <c r="A1154">
        <v>563.51029100000005</v>
      </c>
      <c r="B1154" s="1">
        <f>DATE(2011,11,15) + TIME(12,14,49)</f>
        <v>40862.510289351849</v>
      </c>
      <c r="C1154">
        <v>80</v>
      </c>
      <c r="D1154">
        <v>78.520820618000002</v>
      </c>
      <c r="E1154">
        <v>40</v>
      </c>
      <c r="F1154">
        <v>39.975891113000003</v>
      </c>
      <c r="G1154">
        <v>1329.4996338000001</v>
      </c>
      <c r="H1154">
        <v>1328.5595702999999</v>
      </c>
      <c r="I1154">
        <v>1335.9298096</v>
      </c>
      <c r="J1154">
        <v>1334.0286865</v>
      </c>
      <c r="K1154">
        <v>0</v>
      </c>
      <c r="L1154">
        <v>1650</v>
      </c>
      <c r="M1154">
        <v>1650</v>
      </c>
      <c r="N1154">
        <v>0</v>
      </c>
    </row>
    <row r="1155" spans="1:14" x14ac:dyDescent="0.25">
      <c r="A1155">
        <v>564.23781899999994</v>
      </c>
      <c r="B1155" s="1">
        <f>DATE(2011,11,16) + TIME(5,42,27)</f>
        <v>40863.237812500003</v>
      </c>
      <c r="C1155">
        <v>80</v>
      </c>
      <c r="D1155">
        <v>78.459655761999997</v>
      </c>
      <c r="E1155">
        <v>40</v>
      </c>
      <c r="F1155">
        <v>39.975715637</v>
      </c>
      <c r="G1155">
        <v>1329.4711914</v>
      </c>
      <c r="H1155">
        <v>1328.5203856999999</v>
      </c>
      <c r="I1155">
        <v>1335.927124</v>
      </c>
      <c r="J1155">
        <v>1334.0270995999999</v>
      </c>
      <c r="K1155">
        <v>0</v>
      </c>
      <c r="L1155">
        <v>1650</v>
      </c>
      <c r="M1155">
        <v>1650</v>
      </c>
      <c r="N1155">
        <v>0</v>
      </c>
    </row>
    <row r="1156" spans="1:14" x14ac:dyDescent="0.25">
      <c r="A1156">
        <v>565.00787700000001</v>
      </c>
      <c r="B1156" s="1">
        <f>DATE(2011,11,17) + TIME(0,11,20)</f>
        <v>40864.007870370369</v>
      </c>
      <c r="C1156">
        <v>80</v>
      </c>
      <c r="D1156">
        <v>78.395278931000007</v>
      </c>
      <c r="E1156">
        <v>40</v>
      </c>
      <c r="F1156">
        <v>39.975574493000003</v>
      </c>
      <c r="G1156">
        <v>1329.4416504000001</v>
      </c>
      <c r="H1156">
        <v>1328.4797363</v>
      </c>
      <c r="I1156">
        <v>1335.9244385</v>
      </c>
      <c r="J1156">
        <v>1334.0256348</v>
      </c>
      <c r="K1156">
        <v>0</v>
      </c>
      <c r="L1156">
        <v>1650</v>
      </c>
      <c r="M1156">
        <v>1650</v>
      </c>
      <c r="N1156">
        <v>0</v>
      </c>
    </row>
    <row r="1157" spans="1:14" x14ac:dyDescent="0.25">
      <c r="A1157">
        <v>565.81927700000006</v>
      </c>
      <c r="B1157" s="1">
        <f>DATE(2011,11,17) + TIME(19,39,45)</f>
        <v>40864.81927083333</v>
      </c>
      <c r="C1157">
        <v>80</v>
      </c>
      <c r="D1157">
        <v>78.327590942</v>
      </c>
      <c r="E1157">
        <v>40</v>
      </c>
      <c r="F1157">
        <v>39.975463867000002</v>
      </c>
      <c r="G1157">
        <v>1329.4111327999999</v>
      </c>
      <c r="H1157">
        <v>1328.4376221</v>
      </c>
      <c r="I1157">
        <v>1335.9216309000001</v>
      </c>
      <c r="J1157">
        <v>1334.0240478999999</v>
      </c>
      <c r="K1157">
        <v>0</v>
      </c>
      <c r="L1157">
        <v>1650</v>
      </c>
      <c r="M1157">
        <v>1650</v>
      </c>
      <c r="N1157">
        <v>0</v>
      </c>
    </row>
    <row r="1158" spans="1:14" x14ac:dyDescent="0.25">
      <c r="A1158">
        <v>566.67405299999996</v>
      </c>
      <c r="B1158" s="1">
        <f>DATE(2011,11,18) + TIME(16,10,38)</f>
        <v>40865.674050925925</v>
      </c>
      <c r="C1158">
        <v>80</v>
      </c>
      <c r="D1158">
        <v>78.256393433</v>
      </c>
      <c r="E1158">
        <v>40</v>
      </c>
      <c r="F1158">
        <v>39.975376128999997</v>
      </c>
      <c r="G1158">
        <v>1329.3793945</v>
      </c>
      <c r="H1158">
        <v>1328.3941649999999</v>
      </c>
      <c r="I1158">
        <v>1335.9188231999999</v>
      </c>
      <c r="J1158">
        <v>1334.0224608999999</v>
      </c>
      <c r="K1158">
        <v>0</v>
      </c>
      <c r="L1158">
        <v>1650</v>
      </c>
      <c r="M1158">
        <v>1650</v>
      </c>
      <c r="N1158">
        <v>0</v>
      </c>
    </row>
    <row r="1159" spans="1:14" x14ac:dyDescent="0.25">
      <c r="A1159">
        <v>567.57674599999996</v>
      </c>
      <c r="B1159" s="1">
        <f>DATE(2011,11,19) + TIME(13,50,30)</f>
        <v>40866.576736111114</v>
      </c>
      <c r="C1159">
        <v>80</v>
      </c>
      <c r="D1159">
        <v>78.181358337000006</v>
      </c>
      <c r="E1159">
        <v>40</v>
      </c>
      <c r="F1159">
        <v>39.975307465</v>
      </c>
      <c r="G1159">
        <v>1329.3466797000001</v>
      </c>
      <c r="H1159">
        <v>1328.3493652</v>
      </c>
      <c r="I1159">
        <v>1335.9161377</v>
      </c>
      <c r="J1159">
        <v>1334.020874</v>
      </c>
      <c r="K1159">
        <v>0</v>
      </c>
      <c r="L1159">
        <v>1650</v>
      </c>
      <c r="M1159">
        <v>1650</v>
      </c>
      <c r="N1159">
        <v>0</v>
      </c>
    </row>
    <row r="1160" spans="1:14" x14ac:dyDescent="0.25">
      <c r="A1160">
        <v>568.51092300000005</v>
      </c>
      <c r="B1160" s="1">
        <f>DATE(2011,11,20) + TIME(12,15,43)</f>
        <v>40867.510914351849</v>
      </c>
      <c r="C1160">
        <v>80</v>
      </c>
      <c r="D1160">
        <v>78.102989196999999</v>
      </c>
      <c r="E1160">
        <v>40</v>
      </c>
      <c r="F1160">
        <v>39.975254059000001</v>
      </c>
      <c r="G1160">
        <v>1329.3128661999999</v>
      </c>
      <c r="H1160">
        <v>1328.3032227000001</v>
      </c>
      <c r="I1160">
        <v>1335.9133300999999</v>
      </c>
      <c r="J1160">
        <v>1334.0194091999999</v>
      </c>
      <c r="K1160">
        <v>0</v>
      </c>
      <c r="L1160">
        <v>1650</v>
      </c>
      <c r="M1160">
        <v>1650</v>
      </c>
      <c r="N1160">
        <v>0</v>
      </c>
    </row>
    <row r="1161" spans="1:14" x14ac:dyDescent="0.25">
      <c r="A1161">
        <v>569.47105099999999</v>
      </c>
      <c r="B1161" s="1">
        <f>DATE(2011,11,21) + TIME(11,18,18)</f>
        <v>40868.471041666664</v>
      </c>
      <c r="C1161">
        <v>80</v>
      </c>
      <c r="D1161">
        <v>78.021690368999998</v>
      </c>
      <c r="E1161">
        <v>40</v>
      </c>
      <c r="F1161">
        <v>39.975212096999996</v>
      </c>
      <c r="G1161">
        <v>1329.2784423999999</v>
      </c>
      <c r="H1161">
        <v>1328.2562256000001</v>
      </c>
      <c r="I1161">
        <v>1335.9105225000001</v>
      </c>
      <c r="J1161">
        <v>1334.0178223</v>
      </c>
      <c r="K1161">
        <v>0</v>
      </c>
      <c r="L1161">
        <v>1650</v>
      </c>
      <c r="M1161">
        <v>1650</v>
      </c>
      <c r="N1161">
        <v>0</v>
      </c>
    </row>
    <row r="1162" spans="1:14" x14ac:dyDescent="0.25">
      <c r="A1162">
        <v>570.45952299999999</v>
      </c>
      <c r="B1162" s="1">
        <f>DATE(2011,11,22) + TIME(11,1,42)</f>
        <v>40869.459513888891</v>
      </c>
      <c r="C1162">
        <v>80</v>
      </c>
      <c r="D1162">
        <v>77.937507628999995</v>
      </c>
      <c r="E1162">
        <v>40</v>
      </c>
      <c r="F1162">
        <v>39.975177764999998</v>
      </c>
      <c r="G1162">
        <v>1329.2436522999999</v>
      </c>
      <c r="H1162">
        <v>1328.2087402</v>
      </c>
      <c r="I1162">
        <v>1335.9078368999999</v>
      </c>
      <c r="J1162">
        <v>1334.0163574000001</v>
      </c>
      <c r="K1162">
        <v>0</v>
      </c>
      <c r="L1162">
        <v>1650</v>
      </c>
      <c r="M1162">
        <v>1650</v>
      </c>
      <c r="N1162">
        <v>0</v>
      </c>
    </row>
    <row r="1163" spans="1:14" x14ac:dyDescent="0.25">
      <c r="A1163">
        <v>571.47877200000005</v>
      </c>
      <c r="B1163" s="1">
        <f>DATE(2011,11,23) + TIME(11,29,25)</f>
        <v>40870.478761574072</v>
      </c>
      <c r="C1163">
        <v>80</v>
      </c>
      <c r="D1163">
        <v>77.850318908999995</v>
      </c>
      <c r="E1163">
        <v>40</v>
      </c>
      <c r="F1163">
        <v>39.975154877000001</v>
      </c>
      <c r="G1163">
        <v>1329.2084961</v>
      </c>
      <c r="H1163">
        <v>1328.1608887</v>
      </c>
      <c r="I1163">
        <v>1335.9052733999999</v>
      </c>
      <c r="J1163">
        <v>1334.0150146000001</v>
      </c>
      <c r="K1163">
        <v>0</v>
      </c>
      <c r="L1163">
        <v>1650</v>
      </c>
      <c r="M1163">
        <v>1650</v>
      </c>
      <c r="N1163">
        <v>0</v>
      </c>
    </row>
    <row r="1164" spans="1:14" x14ac:dyDescent="0.25">
      <c r="A1164">
        <v>572.53153499999996</v>
      </c>
      <c r="B1164" s="1">
        <f>DATE(2011,11,24) + TIME(12,45,24)</f>
        <v>40871.531527777777</v>
      </c>
      <c r="C1164">
        <v>80</v>
      </c>
      <c r="D1164">
        <v>77.759887695000003</v>
      </c>
      <c r="E1164">
        <v>40</v>
      </c>
      <c r="F1164">
        <v>39.975135803000001</v>
      </c>
      <c r="G1164">
        <v>1329.1729736</v>
      </c>
      <c r="H1164">
        <v>1328.1125488</v>
      </c>
      <c r="I1164">
        <v>1335.9027100000001</v>
      </c>
      <c r="J1164">
        <v>1334.0136719</v>
      </c>
      <c r="K1164">
        <v>0</v>
      </c>
      <c r="L1164">
        <v>1650</v>
      </c>
      <c r="M1164">
        <v>1650</v>
      </c>
      <c r="N1164">
        <v>0</v>
      </c>
    </row>
    <row r="1165" spans="1:14" x14ac:dyDescent="0.25">
      <c r="A1165">
        <v>573.620856</v>
      </c>
      <c r="B1165" s="1">
        <f>DATE(2011,11,25) + TIME(14,54,1)</f>
        <v>40872.620844907404</v>
      </c>
      <c r="C1165">
        <v>80</v>
      </c>
      <c r="D1165">
        <v>77.665908813000001</v>
      </c>
      <c r="E1165">
        <v>40</v>
      </c>
      <c r="F1165">
        <v>39.975116730000003</v>
      </c>
      <c r="G1165">
        <v>1329.1370850000001</v>
      </c>
      <c r="H1165">
        <v>1328.0638428</v>
      </c>
      <c r="I1165">
        <v>1335.9001464999999</v>
      </c>
      <c r="J1165">
        <v>1334.0123291</v>
      </c>
      <c r="K1165">
        <v>0</v>
      </c>
      <c r="L1165">
        <v>1650</v>
      </c>
      <c r="M1165">
        <v>1650</v>
      </c>
      <c r="N1165">
        <v>0</v>
      </c>
    </row>
    <row r="1166" spans="1:14" x14ac:dyDescent="0.25">
      <c r="A1166">
        <v>574.75017600000001</v>
      </c>
      <c r="B1166" s="1">
        <f>DATE(2011,11,26) + TIME(18,0,15)</f>
        <v>40873.750173611108</v>
      </c>
      <c r="C1166">
        <v>80</v>
      </c>
      <c r="D1166">
        <v>77.568008422999995</v>
      </c>
      <c r="E1166">
        <v>40</v>
      </c>
      <c r="F1166">
        <v>39.975105286000002</v>
      </c>
      <c r="G1166">
        <v>1329.1007079999999</v>
      </c>
      <c r="H1166">
        <v>1328.0145264</v>
      </c>
      <c r="I1166">
        <v>1335.8977050999999</v>
      </c>
      <c r="J1166">
        <v>1334.0111084</v>
      </c>
      <c r="K1166">
        <v>0</v>
      </c>
      <c r="L1166">
        <v>1650</v>
      </c>
      <c r="M1166">
        <v>1650</v>
      </c>
      <c r="N1166">
        <v>0</v>
      </c>
    </row>
    <row r="1167" spans="1:14" x14ac:dyDescent="0.25">
      <c r="A1167">
        <v>575.92326400000002</v>
      </c>
      <c r="B1167" s="1">
        <f>DATE(2011,11,27) + TIME(22,9,29)</f>
        <v>40874.923252314817</v>
      </c>
      <c r="C1167">
        <v>80</v>
      </c>
      <c r="D1167">
        <v>77.465751647999994</v>
      </c>
      <c r="E1167">
        <v>40</v>
      </c>
      <c r="F1167">
        <v>39.975093842</v>
      </c>
      <c r="G1167">
        <v>1329.0638428</v>
      </c>
      <c r="H1167">
        <v>1327.9647216999999</v>
      </c>
      <c r="I1167">
        <v>1335.8952637</v>
      </c>
      <c r="J1167">
        <v>1334.0098877</v>
      </c>
      <c r="K1167">
        <v>0</v>
      </c>
      <c r="L1167">
        <v>1650</v>
      </c>
      <c r="M1167">
        <v>1650</v>
      </c>
      <c r="N1167">
        <v>0</v>
      </c>
    </row>
    <row r="1168" spans="1:14" x14ac:dyDescent="0.25">
      <c r="A1168">
        <v>577.14368999999999</v>
      </c>
      <c r="B1168" s="1">
        <f>DATE(2011,11,29) + TIME(3,26,54)</f>
        <v>40876.143680555557</v>
      </c>
      <c r="C1168">
        <v>80</v>
      </c>
      <c r="D1168">
        <v>77.358695983999993</v>
      </c>
      <c r="E1168">
        <v>40</v>
      </c>
      <c r="F1168">
        <v>39.975086212000001</v>
      </c>
      <c r="G1168">
        <v>1329.0264893000001</v>
      </c>
      <c r="H1168">
        <v>1327.9143065999999</v>
      </c>
      <c r="I1168">
        <v>1335.8928223</v>
      </c>
      <c r="J1168">
        <v>1334.0086670000001</v>
      </c>
      <c r="K1168">
        <v>0</v>
      </c>
      <c r="L1168">
        <v>1650</v>
      </c>
      <c r="M1168">
        <v>1650</v>
      </c>
      <c r="N1168">
        <v>0</v>
      </c>
    </row>
    <row r="1169" spans="1:14" x14ac:dyDescent="0.25">
      <c r="A1169">
        <v>578.40307900000005</v>
      </c>
      <c r="B1169" s="1">
        <f>DATE(2011,11,30) + TIME(9,40,26)</f>
        <v>40877.403078703705</v>
      </c>
      <c r="C1169">
        <v>80</v>
      </c>
      <c r="D1169">
        <v>77.246810913000004</v>
      </c>
      <c r="E1169">
        <v>40</v>
      </c>
      <c r="F1169">
        <v>39.975078582999998</v>
      </c>
      <c r="G1169">
        <v>1328.9885254000001</v>
      </c>
      <c r="H1169">
        <v>1327.8631591999999</v>
      </c>
      <c r="I1169">
        <v>1335.8905029</v>
      </c>
      <c r="J1169">
        <v>1334.0075684000001</v>
      </c>
      <c r="K1169">
        <v>0</v>
      </c>
      <c r="L1169">
        <v>1650</v>
      </c>
      <c r="M1169">
        <v>1650</v>
      </c>
      <c r="N1169">
        <v>0</v>
      </c>
    </row>
    <row r="1170" spans="1:14" x14ac:dyDescent="0.25">
      <c r="A1170">
        <v>579</v>
      </c>
      <c r="B1170" s="1">
        <f>DATE(2011,12,1) + TIME(0,0,0)</f>
        <v>40878</v>
      </c>
      <c r="C1170">
        <v>80</v>
      </c>
      <c r="D1170">
        <v>77.168785095000004</v>
      </c>
      <c r="E1170">
        <v>40</v>
      </c>
      <c r="F1170">
        <v>39.975070952999999</v>
      </c>
      <c r="G1170">
        <v>1328.9514160000001</v>
      </c>
      <c r="H1170">
        <v>1327.8142089999999</v>
      </c>
      <c r="I1170">
        <v>1335.8880615</v>
      </c>
      <c r="J1170">
        <v>1334.0063477000001</v>
      </c>
      <c r="K1170">
        <v>0</v>
      </c>
      <c r="L1170">
        <v>1650</v>
      </c>
      <c r="M1170">
        <v>1650</v>
      </c>
      <c r="N1170">
        <v>0</v>
      </c>
    </row>
    <row r="1171" spans="1:14" x14ac:dyDescent="0.25">
      <c r="A1171">
        <v>580.30506100000002</v>
      </c>
      <c r="B1171" s="1">
        <f>DATE(2011,12,2) + TIME(7,19,17)</f>
        <v>40879.30505787037</v>
      </c>
      <c r="C1171">
        <v>80</v>
      </c>
      <c r="D1171">
        <v>77.064399718999994</v>
      </c>
      <c r="E1171">
        <v>40</v>
      </c>
      <c r="F1171">
        <v>39.975067138999997</v>
      </c>
      <c r="G1171">
        <v>1328.9281006000001</v>
      </c>
      <c r="H1171">
        <v>1327.7802733999999</v>
      </c>
      <c r="I1171">
        <v>1335.8870850000001</v>
      </c>
      <c r="J1171">
        <v>1334.0059814000001</v>
      </c>
      <c r="K1171">
        <v>0</v>
      </c>
      <c r="L1171">
        <v>1650</v>
      </c>
      <c r="M1171">
        <v>1650</v>
      </c>
      <c r="N1171">
        <v>0</v>
      </c>
    </row>
    <row r="1172" spans="1:14" x14ac:dyDescent="0.25">
      <c r="A1172">
        <v>581.66376600000001</v>
      </c>
      <c r="B1172" s="1">
        <f>DATE(2011,12,3) + TIME(15,55,49)</f>
        <v>40880.663761574076</v>
      </c>
      <c r="C1172">
        <v>80</v>
      </c>
      <c r="D1172">
        <v>76.946754455999994</v>
      </c>
      <c r="E1172">
        <v>40</v>
      </c>
      <c r="F1172">
        <v>39.975067138999997</v>
      </c>
      <c r="G1172">
        <v>1328.8918457</v>
      </c>
      <c r="H1172">
        <v>1327.7325439000001</v>
      </c>
      <c r="I1172">
        <v>1335.8847656</v>
      </c>
      <c r="J1172">
        <v>1334.0050048999999</v>
      </c>
      <c r="K1172">
        <v>0</v>
      </c>
      <c r="L1172">
        <v>1650</v>
      </c>
      <c r="M1172">
        <v>1650</v>
      </c>
      <c r="N1172">
        <v>0</v>
      </c>
    </row>
    <row r="1173" spans="1:14" x14ac:dyDescent="0.25">
      <c r="A1173">
        <v>583.04742499999998</v>
      </c>
      <c r="B1173" s="1">
        <f>DATE(2011,12,5) + TIME(1,8,17)</f>
        <v>40882.047418981485</v>
      </c>
      <c r="C1173">
        <v>80</v>
      </c>
      <c r="D1173">
        <v>76.820686339999995</v>
      </c>
      <c r="E1173">
        <v>40</v>
      </c>
      <c r="F1173">
        <v>39.975063323999997</v>
      </c>
      <c r="G1173">
        <v>1328.8537598</v>
      </c>
      <c r="H1173">
        <v>1327.6820068</v>
      </c>
      <c r="I1173">
        <v>1335.8824463000001</v>
      </c>
      <c r="J1173">
        <v>1334.0040283000001</v>
      </c>
      <c r="K1173">
        <v>0</v>
      </c>
      <c r="L1173">
        <v>1650</v>
      </c>
      <c r="M1173">
        <v>1650</v>
      </c>
      <c r="N1173">
        <v>0</v>
      </c>
    </row>
    <row r="1174" spans="1:14" x14ac:dyDescent="0.25">
      <c r="A1174">
        <v>584.46739600000001</v>
      </c>
      <c r="B1174" s="1">
        <f>DATE(2011,12,6) + TIME(11,13,3)</f>
        <v>40883.467395833337</v>
      </c>
      <c r="C1174">
        <v>80</v>
      </c>
      <c r="D1174">
        <v>76.688446045000006</v>
      </c>
      <c r="E1174">
        <v>40</v>
      </c>
      <c r="F1174">
        <v>39.975059508999998</v>
      </c>
      <c r="G1174">
        <v>1328.8151855000001</v>
      </c>
      <c r="H1174">
        <v>1327.6304932</v>
      </c>
      <c r="I1174">
        <v>1335.880249</v>
      </c>
      <c r="J1174">
        <v>1334.0031738</v>
      </c>
      <c r="K1174">
        <v>0</v>
      </c>
      <c r="L1174">
        <v>1650</v>
      </c>
      <c r="M1174">
        <v>1650</v>
      </c>
      <c r="N1174">
        <v>0</v>
      </c>
    </row>
    <row r="1175" spans="1:14" x14ac:dyDescent="0.25">
      <c r="A1175">
        <v>585.93569500000001</v>
      </c>
      <c r="B1175" s="1">
        <f>DATE(2011,12,7) + TIME(22,27,24)</f>
        <v>40884.935694444444</v>
      </c>
      <c r="C1175">
        <v>80</v>
      </c>
      <c r="D1175">
        <v>76.550262450999995</v>
      </c>
      <c r="E1175">
        <v>40</v>
      </c>
      <c r="F1175">
        <v>39.975055695000002</v>
      </c>
      <c r="G1175">
        <v>1328.7761230000001</v>
      </c>
      <c r="H1175">
        <v>1327.5784911999999</v>
      </c>
      <c r="I1175">
        <v>1335.8780518000001</v>
      </c>
      <c r="J1175">
        <v>1334.0023193</v>
      </c>
      <c r="K1175">
        <v>0</v>
      </c>
      <c r="L1175">
        <v>1650</v>
      </c>
      <c r="M1175">
        <v>1650</v>
      </c>
      <c r="N1175">
        <v>0</v>
      </c>
    </row>
    <row r="1176" spans="1:14" x14ac:dyDescent="0.25">
      <c r="A1176">
        <v>587.46589900000004</v>
      </c>
      <c r="B1176" s="1">
        <f>DATE(2011,12,9) + TIME(11,10,53)</f>
        <v>40886.465891203705</v>
      </c>
      <c r="C1176">
        <v>80</v>
      </c>
      <c r="D1176">
        <v>76.405426024999997</v>
      </c>
      <c r="E1176">
        <v>40</v>
      </c>
      <c r="F1176">
        <v>39.975051880000002</v>
      </c>
      <c r="G1176">
        <v>1328.7368164</v>
      </c>
      <c r="H1176">
        <v>1327.526001</v>
      </c>
      <c r="I1176">
        <v>1335.8759766000001</v>
      </c>
      <c r="J1176">
        <v>1334.0015868999999</v>
      </c>
      <c r="K1176">
        <v>0</v>
      </c>
      <c r="L1176">
        <v>1650</v>
      </c>
      <c r="M1176">
        <v>1650</v>
      </c>
      <c r="N1176">
        <v>0</v>
      </c>
    </row>
    <row r="1177" spans="1:14" x14ac:dyDescent="0.25">
      <c r="A1177">
        <v>589.06338700000003</v>
      </c>
      <c r="B1177" s="1">
        <f>DATE(2011,12,11) + TIME(1,31,16)</f>
        <v>40888.063379629632</v>
      </c>
      <c r="C1177">
        <v>80</v>
      </c>
      <c r="D1177">
        <v>76.253044127999999</v>
      </c>
      <c r="E1177">
        <v>40</v>
      </c>
      <c r="F1177">
        <v>39.975048065000003</v>
      </c>
      <c r="G1177">
        <v>1328.6968993999999</v>
      </c>
      <c r="H1177">
        <v>1327.4729004000001</v>
      </c>
      <c r="I1177">
        <v>1335.8737793</v>
      </c>
      <c r="J1177">
        <v>1334.0008545000001</v>
      </c>
      <c r="K1177">
        <v>0</v>
      </c>
      <c r="L1177">
        <v>1650</v>
      </c>
      <c r="M1177">
        <v>1650</v>
      </c>
      <c r="N1177">
        <v>0</v>
      </c>
    </row>
    <row r="1178" spans="1:14" x14ac:dyDescent="0.25">
      <c r="A1178">
        <v>590.68214899999998</v>
      </c>
      <c r="B1178" s="1">
        <f>DATE(2011,12,12) + TIME(16,22,17)</f>
        <v>40889.682141203702</v>
      </c>
      <c r="C1178">
        <v>80</v>
      </c>
      <c r="D1178">
        <v>76.094085692999997</v>
      </c>
      <c r="E1178">
        <v>40</v>
      </c>
      <c r="F1178">
        <v>39.975048065000003</v>
      </c>
      <c r="G1178">
        <v>1328.6563721</v>
      </c>
      <c r="H1178">
        <v>1327.4191894999999</v>
      </c>
      <c r="I1178">
        <v>1335.871582</v>
      </c>
      <c r="J1178">
        <v>1334.0001221</v>
      </c>
      <c r="K1178">
        <v>0</v>
      </c>
      <c r="L1178">
        <v>1650</v>
      </c>
      <c r="M1178">
        <v>1650</v>
      </c>
      <c r="N1178">
        <v>0</v>
      </c>
    </row>
    <row r="1179" spans="1:14" x14ac:dyDescent="0.25">
      <c r="A1179">
        <v>592.33399499999996</v>
      </c>
      <c r="B1179" s="1">
        <f>DATE(2011,12,14) + TIME(8,0,57)</f>
        <v>40891.333993055552</v>
      </c>
      <c r="C1179">
        <v>80</v>
      </c>
      <c r="D1179">
        <v>75.929878235000004</v>
      </c>
      <c r="E1179">
        <v>40</v>
      </c>
      <c r="F1179">
        <v>39.975044250000003</v>
      </c>
      <c r="G1179">
        <v>1328.6158447</v>
      </c>
      <c r="H1179">
        <v>1327.3654785000001</v>
      </c>
      <c r="I1179">
        <v>1335.8695068</v>
      </c>
      <c r="J1179">
        <v>1333.9995117000001</v>
      </c>
      <c r="K1179">
        <v>0</v>
      </c>
      <c r="L1179">
        <v>1650</v>
      </c>
      <c r="M1179">
        <v>1650</v>
      </c>
      <c r="N1179">
        <v>0</v>
      </c>
    </row>
    <row r="1180" spans="1:14" x14ac:dyDescent="0.25">
      <c r="A1180">
        <v>594.03146700000002</v>
      </c>
      <c r="B1180" s="1">
        <f>DATE(2011,12,16) + TIME(0,45,18)</f>
        <v>40893.031458333331</v>
      </c>
      <c r="C1180">
        <v>80</v>
      </c>
      <c r="D1180">
        <v>75.760086060000006</v>
      </c>
      <c r="E1180">
        <v>40</v>
      </c>
      <c r="F1180">
        <v>39.975040436</v>
      </c>
      <c r="G1180">
        <v>1328.5755615</v>
      </c>
      <c r="H1180">
        <v>1327.3118896000001</v>
      </c>
      <c r="I1180">
        <v>1335.8674315999999</v>
      </c>
      <c r="J1180">
        <v>1333.9989014</v>
      </c>
      <c r="K1180">
        <v>0</v>
      </c>
      <c r="L1180">
        <v>1650</v>
      </c>
      <c r="M1180">
        <v>1650</v>
      </c>
      <c r="N1180">
        <v>0</v>
      </c>
    </row>
    <row r="1181" spans="1:14" x14ac:dyDescent="0.25">
      <c r="A1181">
        <v>595.78441399999997</v>
      </c>
      <c r="B1181" s="1">
        <f>DATE(2011,12,17) + TIME(18,49,33)</f>
        <v>40894.784409722219</v>
      </c>
      <c r="C1181">
        <v>80</v>
      </c>
      <c r="D1181">
        <v>75.583862304999997</v>
      </c>
      <c r="E1181">
        <v>40</v>
      </c>
      <c r="F1181">
        <v>39.975040436</v>
      </c>
      <c r="G1181">
        <v>1328.5352783000001</v>
      </c>
      <c r="H1181">
        <v>1327.2585449000001</v>
      </c>
      <c r="I1181">
        <v>1335.8654785000001</v>
      </c>
      <c r="J1181">
        <v>1333.9984131000001</v>
      </c>
      <c r="K1181">
        <v>0</v>
      </c>
      <c r="L1181">
        <v>1650</v>
      </c>
      <c r="M1181">
        <v>1650</v>
      </c>
      <c r="N1181">
        <v>0</v>
      </c>
    </row>
    <row r="1182" spans="1:14" x14ac:dyDescent="0.25">
      <c r="A1182">
        <v>597.56522900000004</v>
      </c>
      <c r="B1182" s="1">
        <f>DATE(2011,12,19) + TIME(13,33,55)</f>
        <v>40896.56521990741</v>
      </c>
      <c r="C1182">
        <v>80</v>
      </c>
      <c r="D1182">
        <v>75.401435852000006</v>
      </c>
      <c r="E1182">
        <v>40</v>
      </c>
      <c r="F1182">
        <v>39.975036621000001</v>
      </c>
      <c r="G1182">
        <v>1328.494751</v>
      </c>
      <c r="H1182">
        <v>1327.2050781</v>
      </c>
      <c r="I1182">
        <v>1335.8634033000001</v>
      </c>
      <c r="J1182">
        <v>1333.9979248</v>
      </c>
      <c r="K1182">
        <v>0</v>
      </c>
      <c r="L1182">
        <v>1650</v>
      </c>
      <c r="M1182">
        <v>1650</v>
      </c>
      <c r="N1182">
        <v>0</v>
      </c>
    </row>
    <row r="1183" spans="1:14" x14ac:dyDescent="0.25">
      <c r="A1183">
        <v>599.38863500000002</v>
      </c>
      <c r="B1183" s="1">
        <f>DATE(2011,12,21) + TIME(9,19,38)</f>
        <v>40898.38863425926</v>
      </c>
      <c r="C1183">
        <v>80</v>
      </c>
      <c r="D1183">
        <v>75.213462829999997</v>
      </c>
      <c r="E1183">
        <v>40</v>
      </c>
      <c r="F1183">
        <v>39.975032806000002</v>
      </c>
      <c r="G1183">
        <v>1328.4544678</v>
      </c>
      <c r="H1183">
        <v>1327.1518555</v>
      </c>
      <c r="I1183">
        <v>1335.8614502</v>
      </c>
      <c r="J1183">
        <v>1333.9974365</v>
      </c>
      <c r="K1183">
        <v>0</v>
      </c>
      <c r="L1183">
        <v>1650</v>
      </c>
      <c r="M1183">
        <v>1650</v>
      </c>
      <c r="N1183">
        <v>0</v>
      </c>
    </row>
    <row r="1184" spans="1:14" x14ac:dyDescent="0.25">
      <c r="A1184">
        <v>601.27042900000004</v>
      </c>
      <c r="B1184" s="1">
        <f>DATE(2011,12,23) + TIME(6,29,25)</f>
        <v>40900.270428240743</v>
      </c>
      <c r="C1184">
        <v>80</v>
      </c>
      <c r="D1184">
        <v>75.019134520999998</v>
      </c>
      <c r="E1184">
        <v>40</v>
      </c>
      <c r="F1184">
        <v>39.975032806000002</v>
      </c>
      <c r="G1184">
        <v>1328.4143065999999</v>
      </c>
      <c r="H1184">
        <v>1327.0988769999999</v>
      </c>
      <c r="I1184">
        <v>1335.8594971</v>
      </c>
      <c r="J1184">
        <v>1333.9970702999999</v>
      </c>
      <c r="K1184">
        <v>0</v>
      </c>
      <c r="L1184">
        <v>1650</v>
      </c>
      <c r="M1184">
        <v>1650</v>
      </c>
      <c r="N1184">
        <v>0</v>
      </c>
    </row>
    <row r="1185" spans="1:14" x14ac:dyDescent="0.25">
      <c r="A1185">
        <v>603.22811999999999</v>
      </c>
      <c r="B1185" s="1">
        <f>DATE(2011,12,25) + TIME(5,28,29)</f>
        <v>40902.228113425925</v>
      </c>
      <c r="C1185">
        <v>80</v>
      </c>
      <c r="D1185">
        <v>74.816787719999994</v>
      </c>
      <c r="E1185">
        <v>40</v>
      </c>
      <c r="F1185">
        <v>39.975028991999999</v>
      </c>
      <c r="G1185">
        <v>1328.3739014</v>
      </c>
      <c r="H1185">
        <v>1327.0457764</v>
      </c>
      <c r="I1185">
        <v>1335.8574219</v>
      </c>
      <c r="J1185">
        <v>1333.9968262</v>
      </c>
      <c r="K1185">
        <v>0</v>
      </c>
      <c r="L1185">
        <v>1650</v>
      </c>
      <c r="M1185">
        <v>1650</v>
      </c>
      <c r="N1185">
        <v>0</v>
      </c>
    </row>
    <row r="1186" spans="1:14" x14ac:dyDescent="0.25">
      <c r="A1186">
        <v>605.23625600000003</v>
      </c>
      <c r="B1186" s="1">
        <f>DATE(2011,12,27) + TIME(5,40,12)</f>
        <v>40904.236250000002</v>
      </c>
      <c r="C1186">
        <v>80</v>
      </c>
      <c r="D1186">
        <v>74.60609436</v>
      </c>
      <c r="E1186">
        <v>40</v>
      </c>
      <c r="F1186">
        <v>39.975028991999999</v>
      </c>
      <c r="G1186">
        <v>1328.3332519999999</v>
      </c>
      <c r="H1186">
        <v>1326.9923096</v>
      </c>
      <c r="I1186">
        <v>1335.8554687999999</v>
      </c>
      <c r="J1186">
        <v>1333.9964600000001</v>
      </c>
      <c r="K1186">
        <v>0</v>
      </c>
      <c r="L1186">
        <v>1650</v>
      </c>
      <c r="M1186">
        <v>1650</v>
      </c>
      <c r="N1186">
        <v>0</v>
      </c>
    </row>
    <row r="1187" spans="1:14" x14ac:dyDescent="0.25">
      <c r="A1187">
        <v>607.26703499999996</v>
      </c>
      <c r="B1187" s="1">
        <f>DATE(2011,12,29) + TIME(6,24,31)</f>
        <v>40906.267025462963</v>
      </c>
      <c r="C1187">
        <v>80</v>
      </c>
      <c r="D1187">
        <v>74.388961792000003</v>
      </c>
      <c r="E1187">
        <v>40</v>
      </c>
      <c r="F1187">
        <v>39.975025176999999</v>
      </c>
      <c r="G1187">
        <v>1328.2924805</v>
      </c>
      <c r="H1187">
        <v>1326.9388428</v>
      </c>
      <c r="I1187">
        <v>1335.8535156</v>
      </c>
      <c r="J1187">
        <v>1333.9962158000001</v>
      </c>
      <c r="K1187">
        <v>0</v>
      </c>
      <c r="L1187">
        <v>1650</v>
      </c>
      <c r="M1187">
        <v>1650</v>
      </c>
      <c r="N1187">
        <v>0</v>
      </c>
    </row>
    <row r="1188" spans="1:14" x14ac:dyDescent="0.25">
      <c r="A1188">
        <v>609.33595200000002</v>
      </c>
      <c r="B1188" s="1">
        <f>DATE(2011,12,31) + TIME(8,3,46)</f>
        <v>40908.335949074077</v>
      </c>
      <c r="C1188">
        <v>80</v>
      </c>
      <c r="D1188">
        <v>74.166801453000005</v>
      </c>
      <c r="E1188">
        <v>40</v>
      </c>
      <c r="F1188">
        <v>39.975021362</v>
      </c>
      <c r="G1188">
        <v>1328.2520752</v>
      </c>
      <c r="H1188">
        <v>1326.8857422000001</v>
      </c>
      <c r="I1188">
        <v>1335.8515625</v>
      </c>
      <c r="J1188">
        <v>1333.9959716999999</v>
      </c>
      <c r="K1188">
        <v>0</v>
      </c>
      <c r="L1188">
        <v>1650</v>
      </c>
      <c r="M1188">
        <v>1650</v>
      </c>
      <c r="N1188">
        <v>0</v>
      </c>
    </row>
    <row r="1189" spans="1:14" x14ac:dyDescent="0.25">
      <c r="A1189">
        <v>610</v>
      </c>
      <c r="B1189" s="1">
        <f>DATE(2012,1,1) + TIME(0,0,0)</f>
        <v>40909</v>
      </c>
      <c r="C1189">
        <v>80</v>
      </c>
      <c r="D1189">
        <v>74.024833678999997</v>
      </c>
      <c r="E1189">
        <v>40</v>
      </c>
      <c r="F1189">
        <v>39.975017547999997</v>
      </c>
      <c r="G1189">
        <v>1328.2130127</v>
      </c>
      <c r="H1189">
        <v>1326.8364257999999</v>
      </c>
      <c r="I1189">
        <v>1335.8496094</v>
      </c>
      <c r="J1189">
        <v>1333.9957274999999</v>
      </c>
      <c r="K1189">
        <v>0</v>
      </c>
      <c r="L1189">
        <v>1650</v>
      </c>
      <c r="M1189">
        <v>1650</v>
      </c>
      <c r="N1189">
        <v>0</v>
      </c>
    </row>
    <row r="1190" spans="1:14" x14ac:dyDescent="0.25">
      <c r="A1190">
        <v>612.12363400000004</v>
      </c>
      <c r="B1190" s="1">
        <f>DATE(2012,1,3) + TIME(2,58,1)</f>
        <v>40911.123622685183</v>
      </c>
      <c r="C1190">
        <v>80</v>
      </c>
      <c r="D1190">
        <v>73.846328735</v>
      </c>
      <c r="E1190">
        <v>40</v>
      </c>
      <c r="F1190">
        <v>39.975017547999997</v>
      </c>
      <c r="G1190">
        <v>1328.1940918</v>
      </c>
      <c r="H1190">
        <v>1326.8068848</v>
      </c>
      <c r="I1190">
        <v>1335.8491211</v>
      </c>
      <c r="J1190">
        <v>1333.9957274999999</v>
      </c>
      <c r="K1190">
        <v>0</v>
      </c>
      <c r="L1190">
        <v>1650</v>
      </c>
      <c r="M1190">
        <v>1650</v>
      </c>
      <c r="N1190">
        <v>0</v>
      </c>
    </row>
    <row r="1191" spans="1:14" x14ac:dyDescent="0.25">
      <c r="A1191">
        <v>614.31928600000003</v>
      </c>
      <c r="B1191" s="1">
        <f>DATE(2012,1,5) + TIME(7,39,46)</f>
        <v>40913.319282407407</v>
      </c>
      <c r="C1191">
        <v>80</v>
      </c>
      <c r="D1191">
        <v>73.624252318999993</v>
      </c>
      <c r="E1191">
        <v>40</v>
      </c>
      <c r="F1191">
        <v>39.975017547999997</v>
      </c>
      <c r="G1191">
        <v>1328.1580810999999</v>
      </c>
      <c r="H1191">
        <v>1326.7615966999999</v>
      </c>
      <c r="I1191">
        <v>1335.847168</v>
      </c>
      <c r="J1191">
        <v>1333.9956055</v>
      </c>
      <c r="K1191">
        <v>0</v>
      </c>
      <c r="L1191">
        <v>1650</v>
      </c>
      <c r="M1191">
        <v>1650</v>
      </c>
      <c r="N1191">
        <v>0</v>
      </c>
    </row>
    <row r="1192" spans="1:14" x14ac:dyDescent="0.25">
      <c r="A1192">
        <v>616.567677</v>
      </c>
      <c r="B1192" s="1">
        <f>DATE(2012,1,7) + TIME(13,37,27)</f>
        <v>40915.567673611113</v>
      </c>
      <c r="C1192">
        <v>80</v>
      </c>
      <c r="D1192">
        <v>73.384353637999993</v>
      </c>
      <c r="E1192">
        <v>40</v>
      </c>
      <c r="F1192">
        <v>39.975017547999997</v>
      </c>
      <c r="G1192">
        <v>1328.1192627</v>
      </c>
      <c r="H1192">
        <v>1326.7115478999999</v>
      </c>
      <c r="I1192">
        <v>1335.8453368999999</v>
      </c>
      <c r="J1192">
        <v>1333.9954834</v>
      </c>
      <c r="K1192">
        <v>0</v>
      </c>
      <c r="L1192">
        <v>1650</v>
      </c>
      <c r="M1192">
        <v>1650</v>
      </c>
      <c r="N1192">
        <v>0</v>
      </c>
    </row>
    <row r="1193" spans="1:14" x14ac:dyDescent="0.25">
      <c r="A1193">
        <v>618.88961400000005</v>
      </c>
      <c r="B1193" s="1">
        <f>DATE(2012,1,9) + TIME(21,21,2)</f>
        <v>40917.889606481483</v>
      </c>
      <c r="C1193">
        <v>80</v>
      </c>
      <c r="D1193">
        <v>73.134155273000005</v>
      </c>
      <c r="E1193">
        <v>40</v>
      </c>
      <c r="F1193">
        <v>39.975017547999997</v>
      </c>
      <c r="G1193">
        <v>1328.0798339999999</v>
      </c>
      <c r="H1193">
        <v>1326.6601562000001</v>
      </c>
      <c r="I1193">
        <v>1335.8433838000001</v>
      </c>
      <c r="J1193">
        <v>1333.9954834</v>
      </c>
      <c r="K1193">
        <v>0</v>
      </c>
      <c r="L1193">
        <v>1650</v>
      </c>
      <c r="M1193">
        <v>1650</v>
      </c>
      <c r="N1193">
        <v>0</v>
      </c>
    </row>
    <row r="1194" spans="1:14" x14ac:dyDescent="0.25">
      <c r="A1194">
        <v>621.297867</v>
      </c>
      <c r="B1194" s="1">
        <f>DATE(2012,1,12) + TIME(7,8,55)</f>
        <v>40920.297858796293</v>
      </c>
      <c r="C1194">
        <v>80</v>
      </c>
      <c r="D1194">
        <v>72.874237061000002</v>
      </c>
      <c r="E1194">
        <v>40</v>
      </c>
      <c r="F1194">
        <v>39.975013732999997</v>
      </c>
      <c r="G1194">
        <v>1328.0401611</v>
      </c>
      <c r="H1194">
        <v>1326.6083983999999</v>
      </c>
      <c r="I1194">
        <v>1335.8414307</v>
      </c>
      <c r="J1194">
        <v>1333.9953613</v>
      </c>
      <c r="K1194">
        <v>0</v>
      </c>
      <c r="L1194">
        <v>1650</v>
      </c>
      <c r="M1194">
        <v>1650</v>
      </c>
      <c r="N1194">
        <v>0</v>
      </c>
    </row>
    <row r="1195" spans="1:14" x14ac:dyDescent="0.25">
      <c r="A1195">
        <v>623.721363</v>
      </c>
      <c r="B1195" s="1">
        <f>DATE(2012,1,14) + TIME(17,18,45)</f>
        <v>40922.721354166664</v>
      </c>
      <c r="C1195">
        <v>80</v>
      </c>
      <c r="D1195">
        <v>72.605995178000001</v>
      </c>
      <c r="E1195">
        <v>40</v>
      </c>
      <c r="F1195">
        <v>39.975013732999997</v>
      </c>
      <c r="G1195">
        <v>1328</v>
      </c>
      <c r="H1195">
        <v>1326.5561522999999</v>
      </c>
      <c r="I1195">
        <v>1335.8394774999999</v>
      </c>
      <c r="J1195">
        <v>1333.9953613</v>
      </c>
      <c r="K1195">
        <v>0</v>
      </c>
      <c r="L1195">
        <v>1650</v>
      </c>
      <c r="M1195">
        <v>1650</v>
      </c>
      <c r="N1195">
        <v>0</v>
      </c>
    </row>
    <row r="1196" spans="1:14" x14ac:dyDescent="0.25">
      <c r="A1196">
        <v>626.17912999999999</v>
      </c>
      <c r="B1196" s="1">
        <f>DATE(2012,1,17) + TIME(4,17,56)</f>
        <v>40925.179120370369</v>
      </c>
      <c r="C1196">
        <v>80</v>
      </c>
      <c r="D1196">
        <v>72.333396911999998</v>
      </c>
      <c r="E1196">
        <v>40</v>
      </c>
      <c r="F1196">
        <v>39.975013732999997</v>
      </c>
      <c r="G1196">
        <v>1327.9603271000001</v>
      </c>
      <c r="H1196">
        <v>1326.5043945</v>
      </c>
      <c r="I1196">
        <v>1335.8376464999999</v>
      </c>
      <c r="J1196">
        <v>1333.9953613</v>
      </c>
      <c r="K1196">
        <v>0</v>
      </c>
      <c r="L1196">
        <v>1650</v>
      </c>
      <c r="M1196">
        <v>1650</v>
      </c>
      <c r="N1196">
        <v>0</v>
      </c>
    </row>
    <row r="1197" spans="1:14" x14ac:dyDescent="0.25">
      <c r="A1197">
        <v>628.69161599999995</v>
      </c>
      <c r="B1197" s="1">
        <f>DATE(2012,1,19) + TIME(16,35,55)</f>
        <v>40927.691608796296</v>
      </c>
      <c r="C1197">
        <v>80</v>
      </c>
      <c r="D1197">
        <v>72.055870056000003</v>
      </c>
      <c r="E1197">
        <v>40</v>
      </c>
      <c r="F1197">
        <v>39.975013732999997</v>
      </c>
      <c r="G1197">
        <v>1327.9211425999999</v>
      </c>
      <c r="H1197">
        <v>1326.4533690999999</v>
      </c>
      <c r="I1197">
        <v>1335.8356934000001</v>
      </c>
      <c r="J1197">
        <v>1333.9953613</v>
      </c>
      <c r="K1197">
        <v>0</v>
      </c>
      <c r="L1197">
        <v>1650</v>
      </c>
      <c r="M1197">
        <v>1650</v>
      </c>
      <c r="N1197">
        <v>0</v>
      </c>
    </row>
    <row r="1198" spans="1:14" x14ac:dyDescent="0.25">
      <c r="A1198">
        <v>631.28105200000005</v>
      </c>
      <c r="B1198" s="1">
        <f>DATE(2012,1,22) + TIME(6,44,42)</f>
        <v>40930.281041666669</v>
      </c>
      <c r="C1198">
        <v>80</v>
      </c>
      <c r="D1198">
        <v>71.771583557</v>
      </c>
      <c r="E1198">
        <v>40</v>
      </c>
      <c r="F1198">
        <v>39.975013732999997</v>
      </c>
      <c r="G1198">
        <v>1327.8822021000001</v>
      </c>
      <c r="H1198">
        <v>1326.4027100000001</v>
      </c>
      <c r="I1198">
        <v>1335.8337402</v>
      </c>
      <c r="J1198">
        <v>1333.9954834</v>
      </c>
      <c r="K1198">
        <v>0</v>
      </c>
      <c r="L1198">
        <v>1650</v>
      </c>
      <c r="M1198">
        <v>1650</v>
      </c>
      <c r="N1198">
        <v>0</v>
      </c>
    </row>
    <row r="1199" spans="1:14" x14ac:dyDescent="0.25">
      <c r="A1199">
        <v>633.937772</v>
      </c>
      <c r="B1199" s="1">
        <f>DATE(2012,1,24) + TIME(22,30,23)</f>
        <v>40932.9377662037</v>
      </c>
      <c r="C1199">
        <v>80</v>
      </c>
      <c r="D1199">
        <v>71.479087829999997</v>
      </c>
      <c r="E1199">
        <v>40</v>
      </c>
      <c r="F1199">
        <v>39.975013732999997</v>
      </c>
      <c r="G1199">
        <v>1327.8433838000001</v>
      </c>
      <c r="H1199">
        <v>1326.3521728999999</v>
      </c>
      <c r="I1199">
        <v>1335.8317870999999</v>
      </c>
      <c r="J1199">
        <v>1333.9954834</v>
      </c>
      <c r="K1199">
        <v>0</v>
      </c>
      <c r="L1199">
        <v>1650</v>
      </c>
      <c r="M1199">
        <v>1650</v>
      </c>
      <c r="N1199">
        <v>0</v>
      </c>
    </row>
    <row r="1200" spans="1:14" x14ac:dyDescent="0.25">
      <c r="A1200">
        <v>636.67597499999999</v>
      </c>
      <c r="B1200" s="1">
        <f>DATE(2012,1,27) + TIME(16,13,24)</f>
        <v>40935.67597222222</v>
      </c>
      <c r="C1200">
        <v>80</v>
      </c>
      <c r="D1200">
        <v>71.178359985</v>
      </c>
      <c r="E1200">
        <v>40</v>
      </c>
      <c r="F1200">
        <v>39.975013732999997</v>
      </c>
      <c r="G1200">
        <v>1327.8045654</v>
      </c>
      <c r="H1200">
        <v>1326.3016356999999</v>
      </c>
      <c r="I1200">
        <v>1335.8298339999999</v>
      </c>
      <c r="J1200">
        <v>1333.9956055</v>
      </c>
      <c r="K1200">
        <v>0</v>
      </c>
      <c r="L1200">
        <v>1650</v>
      </c>
      <c r="M1200">
        <v>1650</v>
      </c>
      <c r="N1200">
        <v>0</v>
      </c>
    </row>
    <row r="1201" spans="1:14" x14ac:dyDescent="0.25">
      <c r="A1201">
        <v>639.49881600000003</v>
      </c>
      <c r="B1201" s="1">
        <f>DATE(2012,1,30) + TIME(11,58,17)</f>
        <v>40938.498807870368</v>
      </c>
      <c r="C1201">
        <v>80</v>
      </c>
      <c r="D1201">
        <v>70.868499756000006</v>
      </c>
      <c r="E1201">
        <v>40</v>
      </c>
      <c r="F1201">
        <v>39.975013732999997</v>
      </c>
      <c r="G1201">
        <v>1327.765625</v>
      </c>
      <c r="H1201">
        <v>1326.2512207</v>
      </c>
      <c r="I1201">
        <v>1335.8278809000001</v>
      </c>
      <c r="J1201">
        <v>1333.9956055</v>
      </c>
      <c r="K1201">
        <v>0</v>
      </c>
      <c r="L1201">
        <v>1650</v>
      </c>
      <c r="M1201">
        <v>1650</v>
      </c>
      <c r="N1201">
        <v>0</v>
      </c>
    </row>
    <row r="1202" spans="1:14" x14ac:dyDescent="0.25">
      <c r="A1202">
        <v>641</v>
      </c>
      <c r="B1202" s="1">
        <f>DATE(2012,2,1) + TIME(0,0,0)</f>
        <v>40940</v>
      </c>
      <c r="C1202">
        <v>80</v>
      </c>
      <c r="D1202">
        <v>70.601188660000005</v>
      </c>
      <c r="E1202">
        <v>40</v>
      </c>
      <c r="F1202">
        <v>39.975006104000002</v>
      </c>
      <c r="G1202">
        <v>1327.7269286999999</v>
      </c>
      <c r="H1202">
        <v>1326.2021483999999</v>
      </c>
      <c r="I1202">
        <v>1335.8258057</v>
      </c>
      <c r="J1202">
        <v>1333.9956055</v>
      </c>
      <c r="K1202">
        <v>0</v>
      </c>
      <c r="L1202">
        <v>1650</v>
      </c>
      <c r="M1202">
        <v>1650</v>
      </c>
      <c r="N1202">
        <v>0</v>
      </c>
    </row>
    <row r="1203" spans="1:14" x14ac:dyDescent="0.25">
      <c r="A1203">
        <v>643.84326899999996</v>
      </c>
      <c r="B1203" s="1">
        <f>DATE(2012,2,3) + TIME(20,14,18)</f>
        <v>40942.843263888892</v>
      </c>
      <c r="C1203">
        <v>80</v>
      </c>
      <c r="D1203">
        <v>70.359886169000006</v>
      </c>
      <c r="E1203">
        <v>40</v>
      </c>
      <c r="F1203">
        <v>39.975013732999997</v>
      </c>
      <c r="G1203">
        <v>1327.7014160000001</v>
      </c>
      <c r="H1203">
        <v>1326.1649170000001</v>
      </c>
      <c r="I1203">
        <v>1335.8248291</v>
      </c>
      <c r="J1203">
        <v>1333.9957274999999</v>
      </c>
      <c r="K1203">
        <v>0</v>
      </c>
      <c r="L1203">
        <v>1650</v>
      </c>
      <c r="M1203">
        <v>1650</v>
      </c>
      <c r="N1203">
        <v>0</v>
      </c>
    </row>
    <row r="1204" spans="1:14" x14ac:dyDescent="0.25">
      <c r="A1204">
        <v>646.76798699999995</v>
      </c>
      <c r="B1204" s="1">
        <f>DATE(2012,2,6) + TIME(18,25,54)</f>
        <v>40945.76798611111</v>
      </c>
      <c r="C1204">
        <v>80</v>
      </c>
      <c r="D1204">
        <v>70.052848815999994</v>
      </c>
      <c r="E1204">
        <v>40</v>
      </c>
      <c r="F1204">
        <v>39.975017547999997</v>
      </c>
      <c r="G1204">
        <v>1327.6669922000001</v>
      </c>
      <c r="H1204">
        <v>1326.1224365</v>
      </c>
      <c r="I1204">
        <v>1335.822876</v>
      </c>
      <c r="J1204">
        <v>1333.9958495999999</v>
      </c>
      <c r="K1204">
        <v>0</v>
      </c>
      <c r="L1204">
        <v>1650</v>
      </c>
      <c r="M1204">
        <v>1650</v>
      </c>
      <c r="N1204">
        <v>0</v>
      </c>
    </row>
    <row r="1205" spans="1:14" x14ac:dyDescent="0.25">
      <c r="A1205">
        <v>649.77853400000004</v>
      </c>
      <c r="B1205" s="1">
        <f>DATE(2012,2,9) + TIME(18,41,5)</f>
        <v>40948.77853009259</v>
      </c>
      <c r="C1205">
        <v>80</v>
      </c>
      <c r="D1205">
        <v>69.725387573000006</v>
      </c>
      <c r="E1205">
        <v>40</v>
      </c>
      <c r="F1205">
        <v>39.975021362</v>
      </c>
      <c r="G1205">
        <v>1327.6301269999999</v>
      </c>
      <c r="H1205">
        <v>1326.0749512</v>
      </c>
      <c r="I1205">
        <v>1335.8208007999999</v>
      </c>
      <c r="J1205">
        <v>1333.9958495999999</v>
      </c>
      <c r="K1205">
        <v>0</v>
      </c>
      <c r="L1205">
        <v>1650</v>
      </c>
      <c r="M1205">
        <v>1650</v>
      </c>
      <c r="N1205">
        <v>0</v>
      </c>
    </row>
    <row r="1206" spans="1:14" x14ac:dyDescent="0.25">
      <c r="A1206">
        <v>652.89771699999994</v>
      </c>
      <c r="B1206" s="1">
        <f>DATE(2012,2,12) + TIME(21,32,42)</f>
        <v>40951.89770833333</v>
      </c>
      <c r="C1206">
        <v>80</v>
      </c>
      <c r="D1206">
        <v>69.385673522999994</v>
      </c>
      <c r="E1206">
        <v>40</v>
      </c>
      <c r="F1206">
        <v>39.975025176999999</v>
      </c>
      <c r="G1206">
        <v>1327.5925293</v>
      </c>
      <c r="H1206">
        <v>1326.0264893000001</v>
      </c>
      <c r="I1206">
        <v>1335.8187256000001</v>
      </c>
      <c r="J1206">
        <v>1333.9959716999999</v>
      </c>
      <c r="K1206">
        <v>0</v>
      </c>
      <c r="L1206">
        <v>1650</v>
      </c>
      <c r="M1206">
        <v>1650</v>
      </c>
      <c r="N1206">
        <v>0</v>
      </c>
    </row>
    <row r="1207" spans="1:14" x14ac:dyDescent="0.25">
      <c r="A1207">
        <v>656.10499800000002</v>
      </c>
      <c r="B1207" s="1">
        <f>DATE(2012,2,16) + TIME(2,31,11)</f>
        <v>40955.104988425926</v>
      </c>
      <c r="C1207">
        <v>80</v>
      </c>
      <c r="D1207">
        <v>69.034629821999999</v>
      </c>
      <c r="E1207">
        <v>40</v>
      </c>
      <c r="F1207">
        <v>39.975028991999999</v>
      </c>
      <c r="G1207">
        <v>1327.5546875</v>
      </c>
      <c r="H1207">
        <v>1325.9775391000001</v>
      </c>
      <c r="I1207">
        <v>1335.8166504000001</v>
      </c>
      <c r="J1207">
        <v>1333.9960937999999</v>
      </c>
      <c r="K1207">
        <v>0</v>
      </c>
      <c r="L1207">
        <v>1650</v>
      </c>
      <c r="M1207">
        <v>1650</v>
      </c>
      <c r="N1207">
        <v>0</v>
      </c>
    </row>
    <row r="1208" spans="1:14" x14ac:dyDescent="0.25">
      <c r="A1208">
        <v>659.34479199999998</v>
      </c>
      <c r="B1208" s="1">
        <f>DATE(2012,2,19) + TIME(8,16,30)</f>
        <v>40958.34479166667</v>
      </c>
      <c r="C1208">
        <v>80</v>
      </c>
      <c r="D1208">
        <v>68.675102233999993</v>
      </c>
      <c r="E1208">
        <v>40</v>
      </c>
      <c r="F1208">
        <v>39.975032806000002</v>
      </c>
      <c r="G1208">
        <v>1327.5167236</v>
      </c>
      <c r="H1208">
        <v>1325.9283447</v>
      </c>
      <c r="I1208">
        <v>1335.8145752</v>
      </c>
      <c r="J1208">
        <v>1333.9960937999999</v>
      </c>
      <c r="K1208">
        <v>0</v>
      </c>
      <c r="L1208">
        <v>1650</v>
      </c>
      <c r="M1208">
        <v>1650</v>
      </c>
      <c r="N1208">
        <v>0</v>
      </c>
    </row>
    <row r="1209" spans="1:14" x14ac:dyDescent="0.25">
      <c r="A1209">
        <v>662.64194399999997</v>
      </c>
      <c r="B1209" s="1">
        <f>DATE(2012,2,22) + TIME(15,24,23)</f>
        <v>40961.641932870371</v>
      </c>
      <c r="C1209">
        <v>80</v>
      </c>
      <c r="D1209">
        <v>68.311058044000006</v>
      </c>
      <c r="E1209">
        <v>40</v>
      </c>
      <c r="F1209">
        <v>39.975036621000001</v>
      </c>
      <c r="G1209">
        <v>1327.4792480000001</v>
      </c>
      <c r="H1209">
        <v>1325.8797606999999</v>
      </c>
      <c r="I1209">
        <v>1335.8123779</v>
      </c>
      <c r="J1209">
        <v>1333.9962158000001</v>
      </c>
      <c r="K1209">
        <v>0</v>
      </c>
      <c r="L1209">
        <v>1650</v>
      </c>
      <c r="M1209">
        <v>1650</v>
      </c>
      <c r="N1209">
        <v>0</v>
      </c>
    </row>
    <row r="1210" spans="1:14" x14ac:dyDescent="0.25">
      <c r="A1210">
        <v>666.02443900000003</v>
      </c>
      <c r="B1210" s="1">
        <f>DATE(2012,2,26) + TIME(0,35,11)</f>
        <v>40965.02443287037</v>
      </c>
      <c r="C1210">
        <v>80</v>
      </c>
      <c r="D1210">
        <v>67.941032410000005</v>
      </c>
      <c r="E1210">
        <v>40</v>
      </c>
      <c r="F1210">
        <v>39.975040436</v>
      </c>
      <c r="G1210">
        <v>1327.4422606999999</v>
      </c>
      <c r="H1210">
        <v>1325.8316649999999</v>
      </c>
      <c r="I1210">
        <v>1335.8101807</v>
      </c>
      <c r="J1210">
        <v>1333.9962158000001</v>
      </c>
      <c r="K1210">
        <v>0</v>
      </c>
      <c r="L1210">
        <v>1650</v>
      </c>
      <c r="M1210">
        <v>1650</v>
      </c>
      <c r="N1210">
        <v>0</v>
      </c>
    </row>
    <row r="1211" spans="1:14" x14ac:dyDescent="0.25">
      <c r="A1211">
        <v>669.52283899999998</v>
      </c>
      <c r="B1211" s="1">
        <f>DATE(2012,2,29) + TIME(12,32,53)</f>
        <v>40968.522835648146</v>
      </c>
      <c r="C1211">
        <v>80</v>
      </c>
      <c r="D1211">
        <v>67.562355041999993</v>
      </c>
      <c r="E1211">
        <v>40</v>
      </c>
      <c r="F1211">
        <v>39.975048065000003</v>
      </c>
      <c r="G1211">
        <v>1327.4053954999999</v>
      </c>
      <c r="H1211">
        <v>1325.7839355000001</v>
      </c>
      <c r="I1211">
        <v>1335.8079834</v>
      </c>
      <c r="J1211">
        <v>1333.9962158000001</v>
      </c>
      <c r="K1211">
        <v>0</v>
      </c>
      <c r="L1211">
        <v>1650</v>
      </c>
      <c r="M1211">
        <v>1650</v>
      </c>
      <c r="N1211">
        <v>0</v>
      </c>
    </row>
    <row r="1212" spans="1:14" x14ac:dyDescent="0.25">
      <c r="A1212">
        <v>670</v>
      </c>
      <c r="B1212" s="1">
        <f>DATE(2012,3,1) + TIME(0,0,0)</f>
        <v>40969</v>
      </c>
      <c r="C1212">
        <v>80</v>
      </c>
      <c r="D1212">
        <v>67.378524780000006</v>
      </c>
      <c r="E1212">
        <v>40</v>
      </c>
      <c r="F1212">
        <v>39.975040436</v>
      </c>
      <c r="G1212">
        <v>1327.3685303</v>
      </c>
      <c r="H1212">
        <v>1325.7404785000001</v>
      </c>
      <c r="I1212">
        <v>1335.8056641000001</v>
      </c>
      <c r="J1212">
        <v>1333.9960937999999</v>
      </c>
      <c r="K1212">
        <v>0</v>
      </c>
      <c r="L1212">
        <v>1650</v>
      </c>
      <c r="M1212">
        <v>1650</v>
      </c>
      <c r="N1212">
        <v>0</v>
      </c>
    </row>
    <row r="1213" spans="1:14" x14ac:dyDescent="0.25">
      <c r="A1213">
        <v>673.59999700000003</v>
      </c>
      <c r="B1213" s="1">
        <f>DATE(2012,3,4) + TIME(14,23,59)</f>
        <v>40972.599988425929</v>
      </c>
      <c r="C1213">
        <v>80</v>
      </c>
      <c r="D1213">
        <v>67.096748352000006</v>
      </c>
      <c r="E1213">
        <v>40</v>
      </c>
      <c r="F1213">
        <v>39.975051880000002</v>
      </c>
      <c r="G1213">
        <v>1327.3591309000001</v>
      </c>
      <c r="H1213">
        <v>1325.7208252</v>
      </c>
      <c r="I1213">
        <v>1335.8054199000001</v>
      </c>
      <c r="J1213">
        <v>1333.9962158000001</v>
      </c>
      <c r="K1213">
        <v>0</v>
      </c>
      <c r="L1213">
        <v>1650</v>
      </c>
      <c r="M1213">
        <v>1650</v>
      </c>
      <c r="N1213">
        <v>0</v>
      </c>
    </row>
    <row r="1214" spans="1:14" x14ac:dyDescent="0.25">
      <c r="A1214">
        <v>677.25199299999997</v>
      </c>
      <c r="B1214" s="1">
        <f>DATE(2012,3,8) + TIME(6,2,52)</f>
        <v>40976.25199074074</v>
      </c>
      <c r="C1214">
        <v>80</v>
      </c>
      <c r="D1214">
        <v>66.715148925999998</v>
      </c>
      <c r="E1214">
        <v>40</v>
      </c>
      <c r="F1214">
        <v>39.975063323999997</v>
      </c>
      <c r="G1214">
        <v>1327.3259277</v>
      </c>
      <c r="H1214">
        <v>1325.6802978999999</v>
      </c>
      <c r="I1214">
        <v>1335.8031006000001</v>
      </c>
      <c r="J1214">
        <v>1333.9962158000001</v>
      </c>
      <c r="K1214">
        <v>0</v>
      </c>
      <c r="L1214">
        <v>1650</v>
      </c>
      <c r="M1214">
        <v>1650</v>
      </c>
      <c r="N1214">
        <v>0</v>
      </c>
    </row>
    <row r="1215" spans="1:14" x14ac:dyDescent="0.25">
      <c r="A1215">
        <v>680.98015699999996</v>
      </c>
      <c r="B1215" s="1">
        <f>DATE(2012,3,11) + TIME(23,31,25)</f>
        <v>40979.980150462965</v>
      </c>
      <c r="C1215">
        <v>80</v>
      </c>
      <c r="D1215">
        <v>66.314765929999993</v>
      </c>
      <c r="E1215">
        <v>40</v>
      </c>
      <c r="F1215">
        <v>39.975070952999999</v>
      </c>
      <c r="G1215">
        <v>1327.2902832</v>
      </c>
      <c r="H1215">
        <v>1325.6342772999999</v>
      </c>
      <c r="I1215">
        <v>1335.8007812000001</v>
      </c>
      <c r="J1215">
        <v>1333.9962158000001</v>
      </c>
      <c r="K1215">
        <v>0</v>
      </c>
      <c r="L1215">
        <v>1650</v>
      </c>
      <c r="M1215">
        <v>1650</v>
      </c>
      <c r="N1215">
        <v>0</v>
      </c>
    </row>
    <row r="1216" spans="1:14" x14ac:dyDescent="0.25">
      <c r="A1216">
        <v>684.81619899999998</v>
      </c>
      <c r="B1216" s="1">
        <f>DATE(2012,3,15) + TIME(19,35,19)</f>
        <v>40983.816192129627</v>
      </c>
      <c r="C1216">
        <v>80</v>
      </c>
      <c r="D1216">
        <v>65.903984070000007</v>
      </c>
      <c r="E1216">
        <v>40</v>
      </c>
      <c r="F1216">
        <v>39.975078582999998</v>
      </c>
      <c r="G1216">
        <v>1327.2545166</v>
      </c>
      <c r="H1216">
        <v>1325.5880127</v>
      </c>
      <c r="I1216">
        <v>1335.7984618999999</v>
      </c>
      <c r="J1216">
        <v>1333.9960937999999</v>
      </c>
      <c r="K1216">
        <v>0</v>
      </c>
      <c r="L1216">
        <v>1650</v>
      </c>
      <c r="M1216">
        <v>1650</v>
      </c>
      <c r="N1216">
        <v>0</v>
      </c>
    </row>
    <row r="1217" spans="1:14" x14ac:dyDescent="0.25">
      <c r="A1217">
        <v>688.80010200000004</v>
      </c>
      <c r="B1217" s="1">
        <f>DATE(2012,3,19) + TIME(19,12,8)</f>
        <v>40987.800092592595</v>
      </c>
      <c r="C1217">
        <v>80</v>
      </c>
      <c r="D1217">
        <v>65.482788085999999</v>
      </c>
      <c r="E1217">
        <v>40</v>
      </c>
      <c r="F1217">
        <v>39.975090027</v>
      </c>
      <c r="G1217">
        <v>1327.2188721</v>
      </c>
      <c r="H1217">
        <v>1325.541626</v>
      </c>
      <c r="I1217">
        <v>1335.7960204999999</v>
      </c>
      <c r="J1217">
        <v>1333.9959716999999</v>
      </c>
      <c r="K1217">
        <v>0</v>
      </c>
      <c r="L1217">
        <v>1650</v>
      </c>
      <c r="M1217">
        <v>1650</v>
      </c>
      <c r="N1217">
        <v>0</v>
      </c>
    </row>
    <row r="1218" spans="1:14" x14ac:dyDescent="0.25">
      <c r="A1218">
        <v>692.83498399999996</v>
      </c>
      <c r="B1218" s="1">
        <f>DATE(2012,3,23) + TIME(20,2,22)</f>
        <v>40991.834976851853</v>
      </c>
      <c r="C1218">
        <v>80</v>
      </c>
      <c r="D1218">
        <v>65.049156189000001</v>
      </c>
      <c r="E1218">
        <v>40</v>
      </c>
      <c r="F1218">
        <v>39.975101471000002</v>
      </c>
      <c r="G1218">
        <v>1327.1831055</v>
      </c>
      <c r="H1218">
        <v>1325.4952393000001</v>
      </c>
      <c r="I1218">
        <v>1335.7935791</v>
      </c>
      <c r="J1218">
        <v>1333.9958495999999</v>
      </c>
      <c r="K1218">
        <v>0</v>
      </c>
      <c r="L1218">
        <v>1650</v>
      </c>
      <c r="M1218">
        <v>1650</v>
      </c>
      <c r="N1218">
        <v>0</v>
      </c>
    </row>
    <row r="1219" spans="1:14" x14ac:dyDescent="0.25">
      <c r="A1219">
        <v>696.95261000000005</v>
      </c>
      <c r="B1219" s="1">
        <f>DATE(2012,3,27) + TIME(22,51,45)</f>
        <v>40995.952604166669</v>
      </c>
      <c r="C1219">
        <v>80</v>
      </c>
      <c r="D1219">
        <v>64.610572814999998</v>
      </c>
      <c r="E1219">
        <v>40</v>
      </c>
      <c r="F1219">
        <v>39.975112914999997</v>
      </c>
      <c r="G1219">
        <v>1327.1477050999999</v>
      </c>
      <c r="H1219">
        <v>1325.4490966999999</v>
      </c>
      <c r="I1219">
        <v>1335.7910156</v>
      </c>
      <c r="J1219">
        <v>1333.9956055</v>
      </c>
      <c r="K1219">
        <v>0</v>
      </c>
      <c r="L1219">
        <v>1650</v>
      </c>
      <c r="M1219">
        <v>1650</v>
      </c>
      <c r="N1219">
        <v>0</v>
      </c>
    </row>
    <row r="1220" spans="1:14" x14ac:dyDescent="0.25">
      <c r="A1220">
        <v>701</v>
      </c>
      <c r="B1220" s="1">
        <f>DATE(2012,4,1) + TIME(0,0,0)</f>
        <v>41000</v>
      </c>
      <c r="C1220">
        <v>80</v>
      </c>
      <c r="D1220">
        <v>64.167556762999993</v>
      </c>
      <c r="E1220">
        <v>40</v>
      </c>
      <c r="F1220">
        <v>39.975124358999999</v>
      </c>
      <c r="G1220">
        <v>1327.112793</v>
      </c>
      <c r="H1220">
        <v>1325.4036865</v>
      </c>
      <c r="I1220">
        <v>1335.7884521000001</v>
      </c>
      <c r="J1220">
        <v>1333.9953613</v>
      </c>
      <c r="K1220">
        <v>0</v>
      </c>
      <c r="L1220">
        <v>1650</v>
      </c>
      <c r="M1220">
        <v>1650</v>
      </c>
      <c r="N1220">
        <v>0</v>
      </c>
    </row>
    <row r="1221" spans="1:14" x14ac:dyDescent="0.25">
      <c r="A1221">
        <v>705.23575900000003</v>
      </c>
      <c r="B1221" s="1">
        <f>DATE(2012,4,5) + TIME(5,39,29)</f>
        <v>41004.235752314817</v>
      </c>
      <c r="C1221">
        <v>80</v>
      </c>
      <c r="D1221">
        <v>63.728027343999997</v>
      </c>
      <c r="E1221">
        <v>40</v>
      </c>
      <c r="F1221">
        <v>39.975139618</v>
      </c>
      <c r="G1221">
        <v>1327.0791016000001</v>
      </c>
      <c r="H1221">
        <v>1325.3594971</v>
      </c>
      <c r="I1221">
        <v>1335.7858887</v>
      </c>
      <c r="J1221">
        <v>1333.9951172000001</v>
      </c>
      <c r="K1221">
        <v>0</v>
      </c>
      <c r="L1221">
        <v>1650</v>
      </c>
      <c r="M1221">
        <v>1650</v>
      </c>
      <c r="N1221">
        <v>0</v>
      </c>
    </row>
    <row r="1222" spans="1:14" x14ac:dyDescent="0.25">
      <c r="A1222">
        <v>709.68763100000001</v>
      </c>
      <c r="B1222" s="1">
        <f>DATE(2012,4,9) + TIME(16,30,11)</f>
        <v>41008.687627314815</v>
      </c>
      <c r="C1222">
        <v>80</v>
      </c>
      <c r="D1222">
        <v>63.272827147999998</v>
      </c>
      <c r="E1222">
        <v>40</v>
      </c>
      <c r="F1222">
        <v>39.975154877000001</v>
      </c>
      <c r="G1222">
        <v>1327.0457764</v>
      </c>
      <c r="H1222">
        <v>1325.3160399999999</v>
      </c>
      <c r="I1222">
        <v>1335.7833252</v>
      </c>
      <c r="J1222">
        <v>1333.994751</v>
      </c>
      <c r="K1222">
        <v>0</v>
      </c>
      <c r="L1222">
        <v>1650</v>
      </c>
      <c r="M1222">
        <v>1650</v>
      </c>
      <c r="N1222">
        <v>0</v>
      </c>
    </row>
    <row r="1223" spans="1:14" x14ac:dyDescent="0.25">
      <c r="A1223">
        <v>714.24549400000001</v>
      </c>
      <c r="B1223" s="1">
        <f>DATE(2012,4,14) + TIME(5,53,30)</f>
        <v>41013.245486111111</v>
      </c>
      <c r="C1223">
        <v>80</v>
      </c>
      <c r="D1223">
        <v>62.799396514999998</v>
      </c>
      <c r="E1223">
        <v>40</v>
      </c>
      <c r="F1223">
        <v>39.975173949999999</v>
      </c>
      <c r="G1223">
        <v>1327.0120850000001</v>
      </c>
      <c r="H1223">
        <v>1325.2722168</v>
      </c>
      <c r="I1223">
        <v>1335.7806396000001</v>
      </c>
      <c r="J1223">
        <v>1333.9943848</v>
      </c>
      <c r="K1223">
        <v>0</v>
      </c>
      <c r="L1223">
        <v>1650</v>
      </c>
      <c r="M1223">
        <v>1650</v>
      </c>
      <c r="N1223">
        <v>0</v>
      </c>
    </row>
    <row r="1224" spans="1:14" x14ac:dyDescent="0.25">
      <c r="A1224">
        <v>718.95372999999995</v>
      </c>
      <c r="B1224" s="1">
        <f>DATE(2012,4,18) + TIME(22,53,22)</f>
        <v>41017.953726851854</v>
      </c>
      <c r="C1224">
        <v>80</v>
      </c>
      <c r="D1224">
        <v>62.315540314000003</v>
      </c>
      <c r="E1224">
        <v>40</v>
      </c>
      <c r="F1224">
        <v>39.975189209</v>
      </c>
      <c r="G1224">
        <v>1326.9785156</v>
      </c>
      <c r="H1224">
        <v>1325.2285156</v>
      </c>
      <c r="I1224">
        <v>1335.777832</v>
      </c>
      <c r="J1224">
        <v>1333.9938964999999</v>
      </c>
      <c r="K1224">
        <v>0</v>
      </c>
      <c r="L1224">
        <v>1650</v>
      </c>
      <c r="M1224">
        <v>1650</v>
      </c>
      <c r="N1224">
        <v>0</v>
      </c>
    </row>
    <row r="1225" spans="1:14" x14ac:dyDescent="0.25">
      <c r="A1225">
        <v>723.78198199999997</v>
      </c>
      <c r="B1225" s="1">
        <f>DATE(2012,4,23) + TIME(18,46,3)</f>
        <v>41022.78197916667</v>
      </c>
      <c r="C1225">
        <v>80</v>
      </c>
      <c r="D1225">
        <v>61.819644928000002</v>
      </c>
      <c r="E1225">
        <v>40</v>
      </c>
      <c r="F1225">
        <v>39.975212096999996</v>
      </c>
      <c r="G1225">
        <v>1326.9451904</v>
      </c>
      <c r="H1225">
        <v>1325.1850586</v>
      </c>
      <c r="I1225">
        <v>1335.7749022999999</v>
      </c>
      <c r="J1225">
        <v>1333.9934082</v>
      </c>
      <c r="K1225">
        <v>0</v>
      </c>
      <c r="L1225">
        <v>1650</v>
      </c>
      <c r="M1225">
        <v>1650</v>
      </c>
      <c r="N1225">
        <v>0</v>
      </c>
    </row>
    <row r="1226" spans="1:14" x14ac:dyDescent="0.25">
      <c r="A1226">
        <v>728.72384099999999</v>
      </c>
      <c r="B1226" s="1">
        <f>DATE(2012,4,28) + TIME(17,22,19)</f>
        <v>41027.72383101852</v>
      </c>
      <c r="C1226">
        <v>80</v>
      </c>
      <c r="D1226">
        <v>61.313854218000003</v>
      </c>
      <c r="E1226">
        <v>40</v>
      </c>
      <c r="F1226">
        <v>39.975231170999997</v>
      </c>
      <c r="G1226">
        <v>1326.9123535000001</v>
      </c>
      <c r="H1226">
        <v>1325.1420897999999</v>
      </c>
      <c r="I1226">
        <v>1335.7719727000001</v>
      </c>
      <c r="J1226">
        <v>1333.9927978999999</v>
      </c>
      <c r="K1226">
        <v>0</v>
      </c>
      <c r="L1226">
        <v>1650</v>
      </c>
      <c r="M1226">
        <v>1650</v>
      </c>
      <c r="N1226">
        <v>0</v>
      </c>
    </row>
    <row r="1227" spans="1:14" x14ac:dyDescent="0.25">
      <c r="A1227">
        <v>731</v>
      </c>
      <c r="B1227" s="1">
        <f>DATE(2012,5,1) + TIME(0,0,0)</f>
        <v>41030</v>
      </c>
      <c r="C1227">
        <v>80</v>
      </c>
      <c r="D1227">
        <v>60.868507385000001</v>
      </c>
      <c r="E1227">
        <v>40</v>
      </c>
      <c r="F1227">
        <v>39.975227355999998</v>
      </c>
      <c r="G1227">
        <v>1326.8796387</v>
      </c>
      <c r="H1227">
        <v>1325.1008300999999</v>
      </c>
      <c r="I1227">
        <v>1335.7689209</v>
      </c>
      <c r="J1227">
        <v>1333.9921875</v>
      </c>
      <c r="K1227">
        <v>0</v>
      </c>
      <c r="L1227">
        <v>1650</v>
      </c>
      <c r="M1227">
        <v>1650</v>
      </c>
      <c r="N1227">
        <v>0</v>
      </c>
    </row>
    <row r="1228" spans="1:14" x14ac:dyDescent="0.25">
      <c r="A1228">
        <v>731.000001</v>
      </c>
      <c r="B1228" s="1">
        <f>DATE(2012,5,1) + TIME(0,0,0)</f>
        <v>41030</v>
      </c>
      <c r="C1228">
        <v>80</v>
      </c>
      <c r="D1228">
        <v>60.868621826000002</v>
      </c>
      <c r="E1228">
        <v>40</v>
      </c>
      <c r="F1228">
        <v>39.975173949999999</v>
      </c>
      <c r="G1228">
        <v>1329.324707</v>
      </c>
      <c r="H1228">
        <v>1327.5648193</v>
      </c>
      <c r="I1228">
        <v>1333.5249022999999</v>
      </c>
      <c r="J1228">
        <v>1332.1689452999999</v>
      </c>
      <c r="K1228">
        <v>1650</v>
      </c>
      <c r="L1228">
        <v>0</v>
      </c>
      <c r="M1228">
        <v>0</v>
      </c>
      <c r="N1228">
        <v>1650</v>
      </c>
    </row>
    <row r="1229" spans="1:14" x14ac:dyDescent="0.25">
      <c r="A1229">
        <v>731.00000399999999</v>
      </c>
      <c r="B1229" s="1">
        <f>DATE(2012,5,1) + TIME(0,0,0)</f>
        <v>41030</v>
      </c>
      <c r="C1229">
        <v>80</v>
      </c>
      <c r="D1229">
        <v>60.868820190000001</v>
      </c>
      <c r="E1229">
        <v>40</v>
      </c>
      <c r="F1229">
        <v>39.975078582999998</v>
      </c>
      <c r="G1229">
        <v>1330.1929932</v>
      </c>
      <c r="H1229">
        <v>1328.5307617000001</v>
      </c>
      <c r="I1229">
        <v>1332.7474365</v>
      </c>
      <c r="J1229">
        <v>1331.3916016000001</v>
      </c>
      <c r="K1229">
        <v>1650</v>
      </c>
      <c r="L1229">
        <v>0</v>
      </c>
      <c r="M1229">
        <v>0</v>
      </c>
      <c r="N1229">
        <v>1650</v>
      </c>
    </row>
    <row r="1230" spans="1:14" x14ac:dyDescent="0.25">
      <c r="A1230">
        <v>731.00001299999997</v>
      </c>
      <c r="B1230" s="1">
        <f>DATE(2012,5,1) + TIME(0,0,1)</f>
        <v>41030.000011574077</v>
      </c>
      <c r="C1230">
        <v>80</v>
      </c>
      <c r="D1230">
        <v>60.869174956999998</v>
      </c>
      <c r="E1230">
        <v>40</v>
      </c>
      <c r="F1230">
        <v>39.974967956999997</v>
      </c>
      <c r="G1230">
        <v>1331.2694091999999</v>
      </c>
      <c r="H1230">
        <v>1329.5865478999999</v>
      </c>
      <c r="I1230">
        <v>1331.8189697</v>
      </c>
      <c r="J1230">
        <v>1330.463501</v>
      </c>
      <c r="K1230">
        <v>1650</v>
      </c>
      <c r="L1230">
        <v>0</v>
      </c>
      <c r="M1230">
        <v>0</v>
      </c>
      <c r="N1230">
        <v>1650</v>
      </c>
    </row>
    <row r="1231" spans="1:14" x14ac:dyDescent="0.25">
      <c r="A1231">
        <v>731.00004000000001</v>
      </c>
      <c r="B1231" s="1">
        <f>DATE(2012,5,1) + TIME(0,0,3)</f>
        <v>41030.000034722223</v>
      </c>
      <c r="C1231">
        <v>80</v>
      </c>
      <c r="D1231">
        <v>60.869979858000001</v>
      </c>
      <c r="E1231">
        <v>40</v>
      </c>
      <c r="F1231">
        <v>39.974853516000003</v>
      </c>
      <c r="G1231">
        <v>1332.3719481999999</v>
      </c>
      <c r="H1231">
        <v>1330.6368408000001</v>
      </c>
      <c r="I1231">
        <v>1330.8927002</v>
      </c>
      <c r="J1231">
        <v>1329.5373535000001</v>
      </c>
      <c r="K1231">
        <v>1650</v>
      </c>
      <c r="L1231">
        <v>0</v>
      </c>
      <c r="M1231">
        <v>0</v>
      </c>
      <c r="N1231">
        <v>1650</v>
      </c>
    </row>
    <row r="1232" spans="1:14" x14ac:dyDescent="0.25">
      <c r="A1232">
        <v>731.00012100000004</v>
      </c>
      <c r="B1232" s="1">
        <f>DATE(2012,5,1) + TIME(0,0,10)</f>
        <v>41030.000115740739</v>
      </c>
      <c r="C1232">
        <v>80</v>
      </c>
      <c r="D1232">
        <v>60.872173308999997</v>
      </c>
      <c r="E1232">
        <v>40</v>
      </c>
      <c r="F1232">
        <v>39.974739075000002</v>
      </c>
      <c r="G1232">
        <v>1333.4533690999999</v>
      </c>
      <c r="H1232">
        <v>1331.6699219</v>
      </c>
      <c r="I1232">
        <v>1329.9820557</v>
      </c>
      <c r="J1232">
        <v>1328.6225586</v>
      </c>
      <c r="K1232">
        <v>1650</v>
      </c>
      <c r="L1232">
        <v>0</v>
      </c>
      <c r="M1232">
        <v>0</v>
      </c>
      <c r="N1232">
        <v>1650</v>
      </c>
    </row>
    <row r="1233" spans="1:14" x14ac:dyDescent="0.25">
      <c r="A1233">
        <v>731.00036399999999</v>
      </c>
      <c r="B1233" s="1">
        <f>DATE(2012,5,1) + TIME(0,0,31)</f>
        <v>41030.000358796293</v>
      </c>
      <c r="C1233">
        <v>80</v>
      </c>
      <c r="D1233">
        <v>60.878639221</v>
      </c>
      <c r="E1233">
        <v>40</v>
      </c>
      <c r="F1233">
        <v>39.974613189999999</v>
      </c>
      <c r="G1233">
        <v>1334.4981689000001</v>
      </c>
      <c r="H1233">
        <v>1332.6678466999999</v>
      </c>
      <c r="I1233">
        <v>1329.0762939000001</v>
      </c>
      <c r="J1233">
        <v>1327.6986084</v>
      </c>
      <c r="K1233">
        <v>1650</v>
      </c>
      <c r="L1233">
        <v>0</v>
      </c>
      <c r="M1233">
        <v>0</v>
      </c>
      <c r="N1233">
        <v>1650</v>
      </c>
    </row>
    <row r="1234" spans="1:14" x14ac:dyDescent="0.25">
      <c r="A1234">
        <v>731.00109299999997</v>
      </c>
      <c r="B1234" s="1">
        <f>DATE(2012,5,1) + TIME(0,1,34)</f>
        <v>41030.001087962963</v>
      </c>
      <c r="C1234">
        <v>80</v>
      </c>
      <c r="D1234">
        <v>60.898155211999999</v>
      </c>
      <c r="E1234">
        <v>40</v>
      </c>
      <c r="F1234">
        <v>39.974456787000001</v>
      </c>
      <c r="G1234">
        <v>1335.3869629000001</v>
      </c>
      <c r="H1234">
        <v>1333.5158690999999</v>
      </c>
      <c r="I1234">
        <v>1328.2475586</v>
      </c>
      <c r="J1234">
        <v>1326.8427733999999</v>
      </c>
      <c r="K1234">
        <v>1650</v>
      </c>
      <c r="L1234">
        <v>0</v>
      </c>
      <c r="M1234">
        <v>0</v>
      </c>
      <c r="N1234">
        <v>1650</v>
      </c>
    </row>
    <row r="1235" spans="1:14" x14ac:dyDescent="0.25">
      <c r="A1235">
        <v>731.00328000000002</v>
      </c>
      <c r="B1235" s="1">
        <f>DATE(2012,5,1) + TIME(0,4,43)</f>
        <v>41030.003275462965</v>
      </c>
      <c r="C1235">
        <v>80</v>
      </c>
      <c r="D1235">
        <v>60.956977844000001</v>
      </c>
      <c r="E1235">
        <v>40</v>
      </c>
      <c r="F1235">
        <v>39.974216460999997</v>
      </c>
      <c r="G1235">
        <v>1335.9691161999999</v>
      </c>
      <c r="H1235">
        <v>1334.0761719</v>
      </c>
      <c r="I1235">
        <v>1327.6451416</v>
      </c>
      <c r="J1235">
        <v>1326.2232666</v>
      </c>
      <c r="K1235">
        <v>1650</v>
      </c>
      <c r="L1235">
        <v>0</v>
      </c>
      <c r="M1235">
        <v>0</v>
      </c>
      <c r="N1235">
        <v>1650</v>
      </c>
    </row>
    <row r="1236" spans="1:14" x14ac:dyDescent="0.25">
      <c r="A1236">
        <v>731.00984100000005</v>
      </c>
      <c r="B1236" s="1">
        <f>DATE(2012,5,1) + TIME(0,14,10)</f>
        <v>41030.009837962964</v>
      </c>
      <c r="C1236">
        <v>80</v>
      </c>
      <c r="D1236">
        <v>61.132236481</v>
      </c>
      <c r="E1236">
        <v>40</v>
      </c>
      <c r="F1236">
        <v>39.973678589000002</v>
      </c>
      <c r="G1236">
        <v>1336.2408447</v>
      </c>
      <c r="H1236">
        <v>1334.3461914</v>
      </c>
      <c r="I1236">
        <v>1327.3493652</v>
      </c>
      <c r="J1236">
        <v>1325.9217529</v>
      </c>
      <c r="K1236">
        <v>1650</v>
      </c>
      <c r="L1236">
        <v>0</v>
      </c>
      <c r="M1236">
        <v>0</v>
      </c>
      <c r="N1236">
        <v>1650</v>
      </c>
    </row>
    <row r="1237" spans="1:14" x14ac:dyDescent="0.25">
      <c r="A1237">
        <v>731.02952400000004</v>
      </c>
      <c r="B1237" s="1">
        <f>DATE(2012,5,1) + TIME(0,42,30)</f>
        <v>41030.029513888891</v>
      </c>
      <c r="C1237">
        <v>80</v>
      </c>
      <c r="D1237">
        <v>61.643371582</v>
      </c>
      <c r="E1237">
        <v>40</v>
      </c>
      <c r="F1237">
        <v>39.972183227999999</v>
      </c>
      <c r="G1237">
        <v>1336.3024902</v>
      </c>
      <c r="H1237">
        <v>1334.4223632999999</v>
      </c>
      <c r="I1237">
        <v>1327.2786865</v>
      </c>
      <c r="J1237">
        <v>1325.8499756000001</v>
      </c>
      <c r="K1237">
        <v>1650</v>
      </c>
      <c r="L1237">
        <v>0</v>
      </c>
      <c r="M1237">
        <v>0</v>
      </c>
      <c r="N1237">
        <v>1650</v>
      </c>
    </row>
    <row r="1238" spans="1:14" x14ac:dyDescent="0.25">
      <c r="A1238">
        <v>731.05563600000005</v>
      </c>
      <c r="B1238" s="1">
        <f>DATE(2012,5,1) + TIME(1,20,6)</f>
        <v>41030.055625000001</v>
      </c>
      <c r="C1238">
        <v>80</v>
      </c>
      <c r="D1238">
        <v>62.299991607999999</v>
      </c>
      <c r="E1238">
        <v>40</v>
      </c>
      <c r="F1238">
        <v>39.970226287999999</v>
      </c>
      <c r="G1238">
        <v>1336.309082</v>
      </c>
      <c r="H1238">
        <v>1334.4385986</v>
      </c>
      <c r="I1238">
        <v>1327.2741699000001</v>
      </c>
      <c r="J1238">
        <v>1325.8453368999999</v>
      </c>
      <c r="K1238">
        <v>1650</v>
      </c>
      <c r="L1238">
        <v>0</v>
      </c>
      <c r="M1238">
        <v>0</v>
      </c>
      <c r="N1238">
        <v>1650</v>
      </c>
    </row>
    <row r="1239" spans="1:14" x14ac:dyDescent="0.25">
      <c r="A1239">
        <v>731.08225800000002</v>
      </c>
      <c r="B1239" s="1">
        <f>DATE(2012,5,1) + TIME(1,58,27)</f>
        <v>41030.082256944443</v>
      </c>
      <c r="C1239">
        <v>80</v>
      </c>
      <c r="D1239">
        <v>62.949748993</v>
      </c>
      <c r="E1239">
        <v>40</v>
      </c>
      <c r="F1239">
        <v>39.968246460000003</v>
      </c>
      <c r="G1239">
        <v>1336.3201904</v>
      </c>
      <c r="H1239">
        <v>1334.4528809000001</v>
      </c>
      <c r="I1239">
        <v>1327.2745361</v>
      </c>
      <c r="J1239">
        <v>1325.8454589999999</v>
      </c>
      <c r="K1239">
        <v>1650</v>
      </c>
      <c r="L1239">
        <v>0</v>
      </c>
      <c r="M1239">
        <v>0</v>
      </c>
      <c r="N1239">
        <v>1650</v>
      </c>
    </row>
    <row r="1240" spans="1:14" x14ac:dyDescent="0.25">
      <c r="A1240">
        <v>731.10940800000003</v>
      </c>
      <c r="B1240" s="1">
        <f>DATE(2012,5,1) + TIME(2,37,32)</f>
        <v>41030.109398148146</v>
      </c>
      <c r="C1240">
        <v>80</v>
      </c>
      <c r="D1240">
        <v>63.592533111999998</v>
      </c>
      <c r="E1240">
        <v>40</v>
      </c>
      <c r="F1240">
        <v>39.966239928999997</v>
      </c>
      <c r="G1240">
        <v>1336.3321533000001</v>
      </c>
      <c r="H1240">
        <v>1334.4671631000001</v>
      </c>
      <c r="I1240">
        <v>1327.2747803</v>
      </c>
      <c r="J1240">
        <v>1325.8457031</v>
      </c>
      <c r="K1240">
        <v>1650</v>
      </c>
      <c r="L1240">
        <v>0</v>
      </c>
      <c r="M1240">
        <v>0</v>
      </c>
      <c r="N1240">
        <v>1650</v>
      </c>
    </row>
    <row r="1241" spans="1:14" x14ac:dyDescent="0.25">
      <c r="A1241">
        <v>731.13710800000001</v>
      </c>
      <c r="B1241" s="1">
        <f>DATE(2012,5,1) + TIME(3,17,26)</f>
        <v>41030.137106481481</v>
      </c>
      <c r="C1241">
        <v>80</v>
      </c>
      <c r="D1241">
        <v>64.228218079000001</v>
      </c>
      <c r="E1241">
        <v>40</v>
      </c>
      <c r="F1241">
        <v>39.964202880999999</v>
      </c>
      <c r="G1241">
        <v>1336.3463135</v>
      </c>
      <c r="H1241">
        <v>1334.4824219</v>
      </c>
      <c r="I1241">
        <v>1327.2750243999999</v>
      </c>
      <c r="J1241">
        <v>1325.8457031</v>
      </c>
      <c r="K1241">
        <v>1650</v>
      </c>
      <c r="L1241">
        <v>0</v>
      </c>
      <c r="M1241">
        <v>0</v>
      </c>
      <c r="N1241">
        <v>1650</v>
      </c>
    </row>
    <row r="1242" spans="1:14" x14ac:dyDescent="0.25">
      <c r="A1242">
        <v>731.16538300000002</v>
      </c>
      <c r="B1242" s="1">
        <f>DATE(2012,5,1) + TIME(3,58,9)</f>
        <v>41030.165381944447</v>
      </c>
      <c r="C1242">
        <v>80</v>
      </c>
      <c r="D1242">
        <v>64.856620789000004</v>
      </c>
      <c r="E1242">
        <v>40</v>
      </c>
      <c r="F1242">
        <v>39.962142944</v>
      </c>
      <c r="G1242">
        <v>1336.362793</v>
      </c>
      <c r="H1242">
        <v>1334.4991454999999</v>
      </c>
      <c r="I1242">
        <v>1327.2751464999999</v>
      </c>
      <c r="J1242">
        <v>1325.8458252</v>
      </c>
      <c r="K1242">
        <v>1650</v>
      </c>
      <c r="L1242">
        <v>0</v>
      </c>
      <c r="M1242">
        <v>0</v>
      </c>
      <c r="N1242">
        <v>1650</v>
      </c>
    </row>
    <row r="1243" spans="1:14" x14ac:dyDescent="0.25">
      <c r="A1243">
        <v>731.194254</v>
      </c>
      <c r="B1243" s="1">
        <f>DATE(2012,5,1) + TIME(4,39,43)</f>
        <v>41030.194247685184</v>
      </c>
      <c r="C1243">
        <v>80</v>
      </c>
      <c r="D1243">
        <v>65.477661132999998</v>
      </c>
      <c r="E1243">
        <v>40</v>
      </c>
      <c r="F1243">
        <v>39.960052490000002</v>
      </c>
      <c r="G1243">
        <v>1336.3813477000001</v>
      </c>
      <c r="H1243">
        <v>1334.5169678</v>
      </c>
      <c r="I1243">
        <v>1327.2752685999999</v>
      </c>
      <c r="J1243">
        <v>1325.8458252</v>
      </c>
      <c r="K1243">
        <v>1650</v>
      </c>
      <c r="L1243">
        <v>0</v>
      </c>
      <c r="M1243">
        <v>0</v>
      </c>
      <c r="N1243">
        <v>1650</v>
      </c>
    </row>
    <row r="1244" spans="1:14" x14ac:dyDescent="0.25">
      <c r="A1244">
        <v>731.223748</v>
      </c>
      <c r="B1244" s="1">
        <f>DATE(2012,5,1) + TIME(5,22,11)</f>
        <v>41030.223738425928</v>
      </c>
      <c r="C1244">
        <v>80</v>
      </c>
      <c r="D1244">
        <v>66.090988159000005</v>
      </c>
      <c r="E1244">
        <v>40</v>
      </c>
      <c r="F1244">
        <v>39.957927703999999</v>
      </c>
      <c r="G1244">
        <v>1336.4020995999999</v>
      </c>
      <c r="H1244">
        <v>1334.5361327999999</v>
      </c>
      <c r="I1244">
        <v>1327.2753906</v>
      </c>
      <c r="J1244">
        <v>1325.8457031</v>
      </c>
      <c r="K1244">
        <v>1650</v>
      </c>
      <c r="L1244">
        <v>0</v>
      </c>
      <c r="M1244">
        <v>0</v>
      </c>
      <c r="N1244">
        <v>1650</v>
      </c>
    </row>
    <row r="1245" spans="1:14" x14ac:dyDescent="0.25">
      <c r="A1245">
        <v>731.25388699999996</v>
      </c>
      <c r="B1245" s="1">
        <f>DATE(2012,5,1) + TIME(6,5,35)</f>
        <v>41030.253877314812</v>
      </c>
      <c r="C1245">
        <v>80</v>
      </c>
      <c r="D1245">
        <v>66.696197510000005</v>
      </c>
      <c r="E1245">
        <v>40</v>
      </c>
      <c r="F1245">
        <v>39.955776215</v>
      </c>
      <c r="G1245">
        <v>1336.4248047000001</v>
      </c>
      <c r="H1245">
        <v>1334.5565185999999</v>
      </c>
      <c r="I1245">
        <v>1327.2755127</v>
      </c>
      <c r="J1245">
        <v>1325.8457031</v>
      </c>
      <c r="K1245">
        <v>1650</v>
      </c>
      <c r="L1245">
        <v>0</v>
      </c>
      <c r="M1245">
        <v>0</v>
      </c>
      <c r="N1245">
        <v>1650</v>
      </c>
    </row>
    <row r="1246" spans="1:14" x14ac:dyDescent="0.25">
      <c r="A1246">
        <v>731.28470500000003</v>
      </c>
      <c r="B1246" s="1">
        <f>DATE(2012,5,1) + TIME(6,49,58)</f>
        <v>41030.284699074073</v>
      </c>
      <c r="C1246">
        <v>80</v>
      </c>
      <c r="D1246">
        <v>67.293106078999998</v>
      </c>
      <c r="E1246">
        <v>40</v>
      </c>
      <c r="F1246">
        <v>39.953590392999999</v>
      </c>
      <c r="G1246">
        <v>1336.4494629000001</v>
      </c>
      <c r="H1246">
        <v>1334.5778809000001</v>
      </c>
      <c r="I1246">
        <v>1327.2756348</v>
      </c>
      <c r="J1246">
        <v>1325.8457031</v>
      </c>
      <c r="K1246">
        <v>1650</v>
      </c>
      <c r="L1246">
        <v>0</v>
      </c>
      <c r="M1246">
        <v>0</v>
      </c>
      <c r="N1246">
        <v>1650</v>
      </c>
    </row>
    <row r="1247" spans="1:14" x14ac:dyDescent="0.25">
      <c r="A1247">
        <v>731.31623400000001</v>
      </c>
      <c r="B1247" s="1">
        <f>DATE(2012,5,1) + TIME(7,35,22)</f>
        <v>41030.31622685185</v>
      </c>
      <c r="C1247">
        <v>80</v>
      </c>
      <c r="D1247">
        <v>67.881370544000006</v>
      </c>
      <c r="E1247">
        <v>40</v>
      </c>
      <c r="F1247">
        <v>39.951370238999999</v>
      </c>
      <c r="G1247">
        <v>1336.4760742000001</v>
      </c>
      <c r="H1247">
        <v>1334.6004639</v>
      </c>
      <c r="I1247">
        <v>1327.2757568</v>
      </c>
      <c r="J1247">
        <v>1325.8455810999999</v>
      </c>
      <c r="K1247">
        <v>1650</v>
      </c>
      <c r="L1247">
        <v>0</v>
      </c>
      <c r="M1247">
        <v>0</v>
      </c>
      <c r="N1247">
        <v>1650</v>
      </c>
    </row>
    <row r="1248" spans="1:14" x14ac:dyDescent="0.25">
      <c r="A1248">
        <v>731.34850900000004</v>
      </c>
      <c r="B1248" s="1">
        <f>DATE(2012,5,1) + TIME(8,21,51)</f>
        <v>41030.348506944443</v>
      </c>
      <c r="C1248">
        <v>80</v>
      </c>
      <c r="D1248">
        <v>68.460655212000006</v>
      </c>
      <c r="E1248">
        <v>40</v>
      </c>
      <c r="F1248">
        <v>39.949111938000001</v>
      </c>
      <c r="G1248">
        <v>1336.5045166</v>
      </c>
      <c r="H1248">
        <v>1334.6240233999999</v>
      </c>
      <c r="I1248">
        <v>1327.2758789</v>
      </c>
      <c r="J1248">
        <v>1325.8455810999999</v>
      </c>
      <c r="K1248">
        <v>1650</v>
      </c>
      <c r="L1248">
        <v>0</v>
      </c>
      <c r="M1248">
        <v>0</v>
      </c>
      <c r="N1248">
        <v>1650</v>
      </c>
    </row>
    <row r="1249" spans="1:14" x14ac:dyDescent="0.25">
      <c r="A1249">
        <v>731.38156700000002</v>
      </c>
      <c r="B1249" s="1">
        <f>DATE(2012,5,1) + TIME(9,9,27)</f>
        <v>41030.381562499999</v>
      </c>
      <c r="C1249">
        <v>80</v>
      </c>
      <c r="D1249">
        <v>69.030570983999993</v>
      </c>
      <c r="E1249">
        <v>40</v>
      </c>
      <c r="F1249">
        <v>39.946815491000002</v>
      </c>
      <c r="G1249">
        <v>1336.5345459</v>
      </c>
      <c r="H1249">
        <v>1334.6486815999999</v>
      </c>
      <c r="I1249">
        <v>1327.2758789</v>
      </c>
      <c r="J1249">
        <v>1325.8454589999999</v>
      </c>
      <c r="K1249">
        <v>1650</v>
      </c>
      <c r="L1249">
        <v>0</v>
      </c>
      <c r="M1249">
        <v>0</v>
      </c>
      <c r="N1249">
        <v>1650</v>
      </c>
    </row>
    <row r="1250" spans="1:14" x14ac:dyDescent="0.25">
      <c r="A1250">
        <v>731.41544799999997</v>
      </c>
      <c r="B1250" s="1">
        <f>DATE(2012,5,1) + TIME(9,58,14)</f>
        <v>41030.415439814817</v>
      </c>
      <c r="C1250">
        <v>80</v>
      </c>
      <c r="D1250">
        <v>69.590713500999996</v>
      </c>
      <c r="E1250">
        <v>40</v>
      </c>
      <c r="F1250">
        <v>39.944480896000002</v>
      </c>
      <c r="G1250">
        <v>1336.5662841999999</v>
      </c>
      <c r="H1250">
        <v>1334.6741943</v>
      </c>
      <c r="I1250">
        <v>1327.276001</v>
      </c>
      <c r="J1250">
        <v>1325.8453368999999</v>
      </c>
      <c r="K1250">
        <v>1650</v>
      </c>
      <c r="L1250">
        <v>0</v>
      </c>
      <c r="M1250">
        <v>0</v>
      </c>
      <c r="N1250">
        <v>1650</v>
      </c>
    </row>
    <row r="1251" spans="1:14" x14ac:dyDescent="0.25">
      <c r="A1251">
        <v>731.45019600000001</v>
      </c>
      <c r="B1251" s="1">
        <f>DATE(2012,5,1) + TIME(10,48,16)</f>
        <v>41030.450185185182</v>
      </c>
      <c r="C1251">
        <v>80</v>
      </c>
      <c r="D1251">
        <v>70.140571593999994</v>
      </c>
      <c r="E1251">
        <v>40</v>
      </c>
      <c r="F1251">
        <v>39.94210434</v>
      </c>
      <c r="G1251">
        <v>1336.5996094</v>
      </c>
      <c r="H1251">
        <v>1334.7006836</v>
      </c>
      <c r="I1251">
        <v>1327.2761230000001</v>
      </c>
      <c r="J1251">
        <v>1325.8452147999999</v>
      </c>
      <c r="K1251">
        <v>1650</v>
      </c>
      <c r="L1251">
        <v>0</v>
      </c>
      <c r="M1251">
        <v>0</v>
      </c>
      <c r="N1251">
        <v>1650</v>
      </c>
    </row>
    <row r="1252" spans="1:14" x14ac:dyDescent="0.25">
      <c r="A1252">
        <v>731.48585800000001</v>
      </c>
      <c r="B1252" s="1">
        <f>DATE(2012,5,1) + TIME(11,39,38)</f>
        <v>41030.485856481479</v>
      </c>
      <c r="C1252">
        <v>80</v>
      </c>
      <c r="D1252">
        <v>70.679481506000002</v>
      </c>
      <c r="E1252">
        <v>40</v>
      </c>
      <c r="F1252">
        <v>39.939682007000002</v>
      </c>
      <c r="G1252">
        <v>1336.6343993999999</v>
      </c>
      <c r="H1252">
        <v>1334.7280272999999</v>
      </c>
      <c r="I1252">
        <v>1327.2761230000001</v>
      </c>
      <c r="J1252">
        <v>1325.8450928</v>
      </c>
      <c r="K1252">
        <v>1650</v>
      </c>
      <c r="L1252">
        <v>0</v>
      </c>
      <c r="M1252">
        <v>0</v>
      </c>
      <c r="N1252">
        <v>1650</v>
      </c>
    </row>
    <row r="1253" spans="1:14" x14ac:dyDescent="0.25">
      <c r="A1253">
        <v>731.52248599999996</v>
      </c>
      <c r="B1253" s="1">
        <f>DATE(2012,5,1) + TIME(12,32,22)</f>
        <v>41030.522476851853</v>
      </c>
      <c r="C1253">
        <v>80</v>
      </c>
      <c r="D1253">
        <v>71.207267760999997</v>
      </c>
      <c r="E1253">
        <v>40</v>
      </c>
      <c r="F1253">
        <v>39.937213898000003</v>
      </c>
      <c r="G1253">
        <v>1336.6705322</v>
      </c>
      <c r="H1253">
        <v>1334.7562256000001</v>
      </c>
      <c r="I1253">
        <v>1327.2761230000001</v>
      </c>
      <c r="J1253">
        <v>1325.8448486</v>
      </c>
      <c r="K1253">
        <v>1650</v>
      </c>
      <c r="L1253">
        <v>0</v>
      </c>
      <c r="M1253">
        <v>0</v>
      </c>
      <c r="N1253">
        <v>1650</v>
      </c>
    </row>
    <row r="1254" spans="1:14" x14ac:dyDescent="0.25">
      <c r="A1254">
        <v>731.56013499999995</v>
      </c>
      <c r="B1254" s="1">
        <f>DATE(2012,5,1) + TIME(13,26,35)</f>
        <v>41030.560127314813</v>
      </c>
      <c r="C1254">
        <v>80</v>
      </c>
      <c r="D1254">
        <v>71.723472595000004</v>
      </c>
      <c r="E1254">
        <v>40</v>
      </c>
      <c r="F1254">
        <v>39.934696197999997</v>
      </c>
      <c r="G1254">
        <v>1336.7081298999999</v>
      </c>
      <c r="H1254">
        <v>1334.7851562000001</v>
      </c>
      <c r="I1254">
        <v>1327.2762451000001</v>
      </c>
      <c r="J1254">
        <v>1325.8447266000001</v>
      </c>
      <c r="K1254">
        <v>1650</v>
      </c>
      <c r="L1254">
        <v>0</v>
      </c>
      <c r="M1254">
        <v>0</v>
      </c>
      <c r="N1254">
        <v>1650</v>
      </c>
    </row>
    <row r="1255" spans="1:14" x14ac:dyDescent="0.25">
      <c r="A1255">
        <v>731.598885</v>
      </c>
      <c r="B1255" s="1">
        <f>DATE(2012,5,1) + TIME(14,22,23)</f>
        <v>41030.598877314813</v>
      </c>
      <c r="C1255">
        <v>80</v>
      </c>
      <c r="D1255">
        <v>72.227790833</v>
      </c>
      <c r="E1255">
        <v>40</v>
      </c>
      <c r="F1255">
        <v>39.932125092</v>
      </c>
      <c r="G1255">
        <v>1336.7468262</v>
      </c>
      <c r="H1255">
        <v>1334.8146973</v>
      </c>
      <c r="I1255">
        <v>1327.2762451000001</v>
      </c>
      <c r="J1255">
        <v>1325.8446045000001</v>
      </c>
      <c r="K1255">
        <v>1650</v>
      </c>
      <c r="L1255">
        <v>0</v>
      </c>
      <c r="M1255">
        <v>0</v>
      </c>
      <c r="N1255">
        <v>1650</v>
      </c>
    </row>
    <row r="1256" spans="1:14" x14ac:dyDescent="0.25">
      <c r="A1256">
        <v>731.63872800000001</v>
      </c>
      <c r="B1256" s="1">
        <f>DATE(2012,5,1) + TIME(15,19,46)</f>
        <v>41030.638726851852</v>
      </c>
      <c r="C1256">
        <v>80</v>
      </c>
      <c r="D1256">
        <v>72.718841553000004</v>
      </c>
      <c r="E1256">
        <v>40</v>
      </c>
      <c r="F1256">
        <v>39.929504395000002</v>
      </c>
      <c r="G1256">
        <v>1336.7867432</v>
      </c>
      <c r="H1256">
        <v>1334.8450928</v>
      </c>
      <c r="I1256">
        <v>1327.2762451000001</v>
      </c>
      <c r="J1256">
        <v>1325.8443603999999</v>
      </c>
      <c r="K1256">
        <v>1650</v>
      </c>
      <c r="L1256">
        <v>0</v>
      </c>
      <c r="M1256">
        <v>0</v>
      </c>
      <c r="N1256">
        <v>1650</v>
      </c>
    </row>
    <row r="1257" spans="1:14" x14ac:dyDescent="0.25">
      <c r="A1257">
        <v>731.67970200000002</v>
      </c>
      <c r="B1257" s="1">
        <f>DATE(2012,5,1) + TIME(16,18,46)</f>
        <v>41030.679699074077</v>
      </c>
      <c r="C1257">
        <v>80</v>
      </c>
      <c r="D1257">
        <v>73.195838928000001</v>
      </c>
      <c r="E1257">
        <v>40</v>
      </c>
      <c r="F1257">
        <v>39.926830291999998</v>
      </c>
      <c r="G1257">
        <v>1336.8277588000001</v>
      </c>
      <c r="H1257">
        <v>1334.8759766000001</v>
      </c>
      <c r="I1257">
        <v>1327.2762451000001</v>
      </c>
      <c r="J1257">
        <v>1325.8441161999999</v>
      </c>
      <c r="K1257">
        <v>1650</v>
      </c>
      <c r="L1257">
        <v>0</v>
      </c>
      <c r="M1257">
        <v>0</v>
      </c>
      <c r="N1257">
        <v>1650</v>
      </c>
    </row>
    <row r="1258" spans="1:14" x14ac:dyDescent="0.25">
      <c r="A1258">
        <v>731.72186999999997</v>
      </c>
      <c r="B1258" s="1">
        <f>DATE(2012,5,1) + TIME(17,19,29)</f>
        <v>41030.721863425926</v>
      </c>
      <c r="C1258">
        <v>80</v>
      </c>
      <c r="D1258">
        <v>73.658287048000005</v>
      </c>
      <c r="E1258">
        <v>40</v>
      </c>
      <c r="F1258">
        <v>39.924098968999999</v>
      </c>
      <c r="G1258">
        <v>1336.869751</v>
      </c>
      <c r="H1258">
        <v>1334.9073486</v>
      </c>
      <c r="I1258">
        <v>1327.2763672000001</v>
      </c>
      <c r="J1258">
        <v>1325.8439940999999</v>
      </c>
      <c r="K1258">
        <v>1650</v>
      </c>
      <c r="L1258">
        <v>0</v>
      </c>
      <c r="M1258">
        <v>0</v>
      </c>
      <c r="N1258">
        <v>1650</v>
      </c>
    </row>
    <row r="1259" spans="1:14" x14ac:dyDescent="0.25">
      <c r="A1259">
        <v>731.76530200000002</v>
      </c>
      <c r="B1259" s="1">
        <f>DATE(2012,5,1) + TIME(18,22,2)</f>
        <v>41030.765300925923</v>
      </c>
      <c r="C1259">
        <v>80</v>
      </c>
      <c r="D1259">
        <v>74.105667113999999</v>
      </c>
      <c r="E1259">
        <v>40</v>
      </c>
      <c r="F1259">
        <v>39.921306610000002</v>
      </c>
      <c r="G1259">
        <v>1336.9124756000001</v>
      </c>
      <c r="H1259">
        <v>1334.9390868999999</v>
      </c>
      <c r="I1259">
        <v>1327.2763672000001</v>
      </c>
      <c r="J1259">
        <v>1325.84375</v>
      </c>
      <c r="K1259">
        <v>1650</v>
      </c>
      <c r="L1259">
        <v>0</v>
      </c>
      <c r="M1259">
        <v>0</v>
      </c>
      <c r="N1259">
        <v>1650</v>
      </c>
    </row>
    <row r="1260" spans="1:14" x14ac:dyDescent="0.25">
      <c r="A1260">
        <v>731.81007199999999</v>
      </c>
      <c r="B1260" s="1">
        <f>DATE(2012,5,1) + TIME(19,26,30)</f>
        <v>41030.810069444444</v>
      </c>
      <c r="C1260">
        <v>80</v>
      </c>
      <c r="D1260">
        <v>74.537506104000002</v>
      </c>
      <c r="E1260">
        <v>40</v>
      </c>
      <c r="F1260">
        <v>39.918457031000003</v>
      </c>
      <c r="G1260">
        <v>1336.9559326000001</v>
      </c>
      <c r="H1260">
        <v>1334.9713135</v>
      </c>
      <c r="I1260">
        <v>1327.2763672000001</v>
      </c>
      <c r="J1260">
        <v>1325.8435059000001</v>
      </c>
      <c r="K1260">
        <v>1650</v>
      </c>
      <c r="L1260">
        <v>0</v>
      </c>
      <c r="M1260">
        <v>0</v>
      </c>
      <c r="N1260">
        <v>1650</v>
      </c>
    </row>
    <row r="1261" spans="1:14" x14ac:dyDescent="0.25">
      <c r="A1261">
        <v>731.85626100000002</v>
      </c>
      <c r="B1261" s="1">
        <f>DATE(2012,5,1) + TIME(20,33,0)</f>
        <v>41030.856249999997</v>
      </c>
      <c r="C1261">
        <v>80</v>
      </c>
      <c r="D1261">
        <v>74.953323363999999</v>
      </c>
      <c r="E1261">
        <v>40</v>
      </c>
      <c r="F1261">
        <v>39.915538787999999</v>
      </c>
      <c r="G1261">
        <v>1337.0001221</v>
      </c>
      <c r="H1261">
        <v>1335.0037841999999</v>
      </c>
      <c r="I1261">
        <v>1327.2762451000001</v>
      </c>
      <c r="J1261">
        <v>1325.8432617000001</v>
      </c>
      <c r="K1261">
        <v>1650</v>
      </c>
      <c r="L1261">
        <v>0</v>
      </c>
      <c r="M1261">
        <v>0</v>
      </c>
      <c r="N1261">
        <v>1650</v>
      </c>
    </row>
    <row r="1262" spans="1:14" x14ac:dyDescent="0.25">
      <c r="A1262">
        <v>731.903955</v>
      </c>
      <c r="B1262" s="1">
        <f>DATE(2012,5,1) + TIME(21,41,41)</f>
        <v>41030.903946759259</v>
      </c>
      <c r="C1262">
        <v>80</v>
      </c>
      <c r="D1262">
        <v>75.352424622000001</v>
      </c>
      <c r="E1262">
        <v>40</v>
      </c>
      <c r="F1262">
        <v>39.912548065000003</v>
      </c>
      <c r="G1262">
        <v>1337.0447998</v>
      </c>
      <c r="H1262">
        <v>1335.036499</v>
      </c>
      <c r="I1262">
        <v>1327.2762451000001</v>
      </c>
      <c r="J1262">
        <v>1325.8428954999999</v>
      </c>
      <c r="K1262">
        <v>1650</v>
      </c>
      <c r="L1262">
        <v>0</v>
      </c>
      <c r="M1262">
        <v>0</v>
      </c>
      <c r="N1262">
        <v>1650</v>
      </c>
    </row>
    <row r="1263" spans="1:14" x14ac:dyDescent="0.25">
      <c r="A1263">
        <v>731.95327199999997</v>
      </c>
      <c r="B1263" s="1">
        <f>DATE(2012,5,1) + TIME(22,52,42)</f>
        <v>41030.953263888892</v>
      </c>
      <c r="C1263">
        <v>80</v>
      </c>
      <c r="D1263">
        <v>75.734764099000003</v>
      </c>
      <c r="E1263">
        <v>40</v>
      </c>
      <c r="F1263">
        <v>39.909488678000002</v>
      </c>
      <c r="G1263">
        <v>1337.0898437999999</v>
      </c>
      <c r="H1263">
        <v>1335.0693358999999</v>
      </c>
      <c r="I1263">
        <v>1327.2762451000001</v>
      </c>
      <c r="J1263">
        <v>1325.8426514</v>
      </c>
      <c r="K1263">
        <v>1650</v>
      </c>
      <c r="L1263">
        <v>0</v>
      </c>
      <c r="M1263">
        <v>0</v>
      </c>
      <c r="N1263">
        <v>1650</v>
      </c>
    </row>
    <row r="1264" spans="1:14" x14ac:dyDescent="0.25">
      <c r="A1264">
        <v>732.00430100000005</v>
      </c>
      <c r="B1264" s="1">
        <f>DATE(2012,5,2) + TIME(0,6,11)</f>
        <v>41031.004293981481</v>
      </c>
      <c r="C1264">
        <v>80</v>
      </c>
      <c r="D1264">
        <v>76.099899292000003</v>
      </c>
      <c r="E1264">
        <v>40</v>
      </c>
      <c r="F1264">
        <v>39.906345367</v>
      </c>
      <c r="G1264">
        <v>1337.1352539</v>
      </c>
      <c r="H1264">
        <v>1335.1024170000001</v>
      </c>
      <c r="I1264">
        <v>1327.2762451000001</v>
      </c>
      <c r="J1264">
        <v>1325.8424072</v>
      </c>
      <c r="K1264">
        <v>1650</v>
      </c>
      <c r="L1264">
        <v>0</v>
      </c>
      <c r="M1264">
        <v>0</v>
      </c>
      <c r="N1264">
        <v>1650</v>
      </c>
    </row>
    <row r="1265" spans="1:14" x14ac:dyDescent="0.25">
      <c r="A1265">
        <v>732.05715399999997</v>
      </c>
      <c r="B1265" s="1">
        <f>DATE(2012,5,2) + TIME(1,22,18)</f>
        <v>41031.057152777779</v>
      </c>
      <c r="C1265">
        <v>80</v>
      </c>
      <c r="D1265">
        <v>76.447486877000003</v>
      </c>
      <c r="E1265">
        <v>40</v>
      </c>
      <c r="F1265">
        <v>39.903121947999999</v>
      </c>
      <c r="G1265">
        <v>1337.1810303</v>
      </c>
      <c r="H1265">
        <v>1335.1354980000001</v>
      </c>
      <c r="I1265">
        <v>1327.2762451000001</v>
      </c>
      <c r="J1265">
        <v>1325.8421631000001</v>
      </c>
      <c r="K1265">
        <v>1650</v>
      </c>
      <c r="L1265">
        <v>0</v>
      </c>
      <c r="M1265">
        <v>0</v>
      </c>
      <c r="N1265">
        <v>1650</v>
      </c>
    </row>
    <row r="1266" spans="1:14" x14ac:dyDescent="0.25">
      <c r="A1266">
        <v>732.11195799999996</v>
      </c>
      <c r="B1266" s="1">
        <f>DATE(2012,5,2) + TIME(2,41,13)</f>
        <v>41031.111956018518</v>
      </c>
      <c r="C1266">
        <v>80</v>
      </c>
      <c r="D1266">
        <v>76.777275084999999</v>
      </c>
      <c r="E1266">
        <v>40</v>
      </c>
      <c r="F1266">
        <v>39.899810791</v>
      </c>
      <c r="G1266">
        <v>1337.2269286999999</v>
      </c>
      <c r="H1266">
        <v>1335.1685791</v>
      </c>
      <c r="I1266">
        <v>1327.2761230000001</v>
      </c>
      <c r="J1266">
        <v>1325.8417969</v>
      </c>
      <c r="K1266">
        <v>1650</v>
      </c>
      <c r="L1266">
        <v>0</v>
      </c>
      <c r="M1266">
        <v>0</v>
      </c>
      <c r="N1266">
        <v>1650</v>
      </c>
    </row>
    <row r="1267" spans="1:14" x14ac:dyDescent="0.25">
      <c r="A1267">
        <v>732.16885300000001</v>
      </c>
      <c r="B1267" s="1">
        <f>DATE(2012,5,2) + TIME(4,3,8)</f>
        <v>41031.168842592589</v>
      </c>
      <c r="C1267">
        <v>80</v>
      </c>
      <c r="D1267">
        <v>77.089057921999995</v>
      </c>
      <c r="E1267">
        <v>40</v>
      </c>
      <c r="F1267">
        <v>39.896400452000002</v>
      </c>
      <c r="G1267">
        <v>1337.2728271000001</v>
      </c>
      <c r="H1267">
        <v>1335.2015381000001</v>
      </c>
      <c r="I1267">
        <v>1327.2761230000001</v>
      </c>
      <c r="J1267">
        <v>1325.8415527</v>
      </c>
      <c r="K1267">
        <v>1650</v>
      </c>
      <c r="L1267">
        <v>0</v>
      </c>
      <c r="M1267">
        <v>0</v>
      </c>
      <c r="N1267">
        <v>1650</v>
      </c>
    </row>
    <row r="1268" spans="1:14" x14ac:dyDescent="0.25">
      <c r="A1268">
        <v>732.22799399999997</v>
      </c>
      <c r="B1268" s="1">
        <f>DATE(2012,5,2) + TIME(5,28,18)</f>
        <v>41031.227986111109</v>
      </c>
      <c r="C1268">
        <v>80</v>
      </c>
      <c r="D1268">
        <v>77.382705688000001</v>
      </c>
      <c r="E1268">
        <v>40</v>
      </c>
      <c r="F1268">
        <v>39.89289093</v>
      </c>
      <c r="G1268">
        <v>1337.3187256000001</v>
      </c>
      <c r="H1268">
        <v>1335.234375</v>
      </c>
      <c r="I1268">
        <v>1327.2761230000001</v>
      </c>
      <c r="J1268">
        <v>1325.8411865</v>
      </c>
      <c r="K1268">
        <v>1650</v>
      </c>
      <c r="L1268">
        <v>0</v>
      </c>
      <c r="M1268">
        <v>0</v>
      </c>
      <c r="N1268">
        <v>1650</v>
      </c>
    </row>
    <row r="1269" spans="1:14" x14ac:dyDescent="0.25">
      <c r="A1269">
        <v>732.28955499999995</v>
      </c>
      <c r="B1269" s="1">
        <f>DATE(2012,5,2) + TIME(6,56,57)</f>
        <v>41031.289548611108</v>
      </c>
      <c r="C1269">
        <v>80</v>
      </c>
      <c r="D1269">
        <v>77.658164978000002</v>
      </c>
      <c r="E1269">
        <v>40</v>
      </c>
      <c r="F1269">
        <v>39.889274596999996</v>
      </c>
      <c r="G1269">
        <v>1337.3643798999999</v>
      </c>
      <c r="H1269">
        <v>1335.2669678</v>
      </c>
      <c r="I1269">
        <v>1327.276001</v>
      </c>
      <c r="J1269">
        <v>1325.8408202999999</v>
      </c>
      <c r="K1269">
        <v>1650</v>
      </c>
      <c r="L1269">
        <v>0</v>
      </c>
      <c r="M1269">
        <v>0</v>
      </c>
      <c r="N1269">
        <v>1650</v>
      </c>
    </row>
    <row r="1270" spans="1:14" x14ac:dyDescent="0.25">
      <c r="A1270">
        <v>732.35372900000004</v>
      </c>
      <c r="B1270" s="1">
        <f>DATE(2012,5,2) + TIME(8,29,22)</f>
        <v>41031.353726851848</v>
      </c>
      <c r="C1270">
        <v>80</v>
      </c>
      <c r="D1270">
        <v>77.915451050000001</v>
      </c>
      <c r="E1270">
        <v>40</v>
      </c>
      <c r="F1270">
        <v>39.885540009000003</v>
      </c>
      <c r="G1270">
        <v>1337.4099120999999</v>
      </c>
      <c r="H1270">
        <v>1335.2994385</v>
      </c>
      <c r="I1270">
        <v>1327.276001</v>
      </c>
      <c r="J1270">
        <v>1325.8404541</v>
      </c>
      <c r="K1270">
        <v>1650</v>
      </c>
      <c r="L1270">
        <v>0</v>
      </c>
      <c r="M1270">
        <v>0</v>
      </c>
      <c r="N1270">
        <v>1650</v>
      </c>
    </row>
    <row r="1271" spans="1:14" x14ac:dyDescent="0.25">
      <c r="A1271">
        <v>732.42073300000004</v>
      </c>
      <c r="B1271" s="1">
        <f>DATE(2012,5,2) + TIME(10,5,51)</f>
        <v>41031.420729166668</v>
      </c>
      <c r="C1271">
        <v>80</v>
      </c>
      <c r="D1271">
        <v>78.154663085999999</v>
      </c>
      <c r="E1271">
        <v>40</v>
      </c>
      <c r="F1271">
        <v>39.881675719999997</v>
      </c>
      <c r="G1271">
        <v>1337.4549560999999</v>
      </c>
      <c r="H1271">
        <v>1335.3314209</v>
      </c>
      <c r="I1271">
        <v>1327.2758789</v>
      </c>
      <c r="J1271">
        <v>1325.8402100000001</v>
      </c>
      <c r="K1271">
        <v>1650</v>
      </c>
      <c r="L1271">
        <v>0</v>
      </c>
      <c r="M1271">
        <v>0</v>
      </c>
      <c r="N1271">
        <v>1650</v>
      </c>
    </row>
    <row r="1272" spans="1:14" x14ac:dyDescent="0.25">
      <c r="A1272">
        <v>732.490815</v>
      </c>
      <c r="B1272" s="1">
        <f>DATE(2012,5,2) + TIME(11,46,46)</f>
        <v>41031.490810185183</v>
      </c>
      <c r="C1272">
        <v>80</v>
      </c>
      <c r="D1272">
        <v>78.375976562000005</v>
      </c>
      <c r="E1272">
        <v>40</v>
      </c>
      <c r="F1272">
        <v>39.877677917</v>
      </c>
      <c r="G1272">
        <v>1337.4997559000001</v>
      </c>
      <c r="H1272">
        <v>1335.3631591999999</v>
      </c>
      <c r="I1272">
        <v>1327.2757568</v>
      </c>
      <c r="J1272">
        <v>1325.8398437999999</v>
      </c>
      <c r="K1272">
        <v>1650</v>
      </c>
      <c r="L1272">
        <v>0</v>
      </c>
      <c r="M1272">
        <v>0</v>
      </c>
      <c r="N1272">
        <v>1650</v>
      </c>
    </row>
    <row r="1273" spans="1:14" x14ac:dyDescent="0.25">
      <c r="A1273">
        <v>732.56427799999994</v>
      </c>
      <c r="B1273" s="1">
        <f>DATE(2012,5,2) + TIME(13,32,33)</f>
        <v>41031.564270833333</v>
      </c>
      <c r="C1273">
        <v>80</v>
      </c>
      <c r="D1273">
        <v>78.579711914000001</v>
      </c>
      <c r="E1273">
        <v>40</v>
      </c>
      <c r="F1273">
        <v>39.873531342</v>
      </c>
      <c r="G1273">
        <v>1337.5438231999999</v>
      </c>
      <c r="H1273">
        <v>1335.3944091999999</v>
      </c>
      <c r="I1273">
        <v>1327.2757568</v>
      </c>
      <c r="J1273">
        <v>1325.8394774999999</v>
      </c>
      <c r="K1273">
        <v>1650</v>
      </c>
      <c r="L1273">
        <v>0</v>
      </c>
      <c r="M1273">
        <v>0</v>
      </c>
      <c r="N1273">
        <v>1650</v>
      </c>
    </row>
    <row r="1274" spans="1:14" x14ac:dyDescent="0.25">
      <c r="A1274">
        <v>732.64145499999995</v>
      </c>
      <c r="B1274" s="1">
        <f>DATE(2012,5,2) + TIME(15,23,41)</f>
        <v>41031.641446759262</v>
      </c>
      <c r="C1274">
        <v>80</v>
      </c>
      <c r="D1274">
        <v>78.766227721999996</v>
      </c>
      <c r="E1274">
        <v>40</v>
      </c>
      <c r="F1274">
        <v>39.869220734000002</v>
      </c>
      <c r="G1274">
        <v>1337.5874022999999</v>
      </c>
      <c r="H1274">
        <v>1335.4250488</v>
      </c>
      <c r="I1274">
        <v>1327.2756348</v>
      </c>
      <c r="J1274">
        <v>1325.8391113</v>
      </c>
      <c r="K1274">
        <v>1650</v>
      </c>
      <c r="L1274">
        <v>0</v>
      </c>
      <c r="M1274">
        <v>0</v>
      </c>
      <c r="N1274">
        <v>1650</v>
      </c>
    </row>
    <row r="1275" spans="1:14" x14ac:dyDescent="0.25">
      <c r="A1275">
        <v>732.72268899999995</v>
      </c>
      <c r="B1275" s="1">
        <f>DATE(2012,5,2) + TIME(17,20,40)</f>
        <v>41031.722685185188</v>
      </c>
      <c r="C1275">
        <v>80</v>
      </c>
      <c r="D1275">
        <v>78.935874939000001</v>
      </c>
      <c r="E1275">
        <v>40</v>
      </c>
      <c r="F1275">
        <v>39.864730835000003</v>
      </c>
      <c r="G1275">
        <v>1337.630249</v>
      </c>
      <c r="H1275">
        <v>1335.4553223</v>
      </c>
      <c r="I1275">
        <v>1327.2755127</v>
      </c>
      <c r="J1275">
        <v>1325.8386230000001</v>
      </c>
      <c r="K1275">
        <v>1650</v>
      </c>
      <c r="L1275">
        <v>0</v>
      </c>
      <c r="M1275">
        <v>0</v>
      </c>
      <c r="N1275">
        <v>1650</v>
      </c>
    </row>
    <row r="1276" spans="1:14" x14ac:dyDescent="0.25">
      <c r="A1276">
        <v>732.80841099999998</v>
      </c>
      <c r="B1276" s="1">
        <f>DATE(2012,5,2) + TIME(19,24,6)</f>
        <v>41031.80840277778</v>
      </c>
      <c r="C1276">
        <v>80</v>
      </c>
      <c r="D1276">
        <v>79.089164733999993</v>
      </c>
      <c r="E1276">
        <v>40</v>
      </c>
      <c r="F1276">
        <v>39.860046386999997</v>
      </c>
      <c r="G1276">
        <v>1337.6722411999999</v>
      </c>
      <c r="H1276">
        <v>1335.4849853999999</v>
      </c>
      <c r="I1276">
        <v>1327.2753906</v>
      </c>
      <c r="J1276">
        <v>1325.8382568</v>
      </c>
      <c r="K1276">
        <v>1650</v>
      </c>
      <c r="L1276">
        <v>0</v>
      </c>
      <c r="M1276">
        <v>0</v>
      </c>
      <c r="N1276">
        <v>1650</v>
      </c>
    </row>
    <row r="1277" spans="1:14" x14ac:dyDescent="0.25">
      <c r="A1277">
        <v>732.89912800000002</v>
      </c>
      <c r="B1277" s="1">
        <f>DATE(2012,5,2) + TIME(21,34,44)</f>
        <v>41031.89912037037</v>
      </c>
      <c r="C1277">
        <v>80</v>
      </c>
      <c r="D1277">
        <v>79.226684570000003</v>
      </c>
      <c r="E1277">
        <v>40</v>
      </c>
      <c r="F1277">
        <v>39.855144500999998</v>
      </c>
      <c r="G1277">
        <v>1337.7132568</v>
      </c>
      <c r="H1277">
        <v>1335.5137939000001</v>
      </c>
      <c r="I1277">
        <v>1327.2752685999999</v>
      </c>
      <c r="J1277">
        <v>1325.8378906</v>
      </c>
      <c r="K1277">
        <v>1650</v>
      </c>
      <c r="L1277">
        <v>0</v>
      </c>
      <c r="M1277">
        <v>0</v>
      </c>
      <c r="N1277">
        <v>1650</v>
      </c>
    </row>
    <row r="1278" spans="1:14" x14ac:dyDescent="0.25">
      <c r="A1278">
        <v>732.99543500000004</v>
      </c>
      <c r="B1278" s="1">
        <f>DATE(2012,5,2) + TIME(23,53,25)</f>
        <v>41031.995428240742</v>
      </c>
      <c r="C1278">
        <v>80</v>
      </c>
      <c r="D1278">
        <v>79.349121093999997</v>
      </c>
      <c r="E1278">
        <v>40</v>
      </c>
      <c r="F1278">
        <v>39.850002289000003</v>
      </c>
      <c r="G1278">
        <v>1337.7531738</v>
      </c>
      <c r="H1278">
        <v>1335.5419922000001</v>
      </c>
      <c r="I1278">
        <v>1327.2751464999999</v>
      </c>
      <c r="J1278">
        <v>1325.8374022999999</v>
      </c>
      <c r="K1278">
        <v>1650</v>
      </c>
      <c r="L1278">
        <v>0</v>
      </c>
      <c r="M1278">
        <v>0</v>
      </c>
      <c r="N1278">
        <v>1650</v>
      </c>
    </row>
    <row r="1279" spans="1:14" x14ac:dyDescent="0.25">
      <c r="A1279">
        <v>733.04434500000002</v>
      </c>
      <c r="B1279" s="1">
        <f>DATE(2012,5,3) + TIME(1,3,51)</f>
        <v>41032.044340277775</v>
      </c>
      <c r="C1279">
        <v>80</v>
      </c>
      <c r="D1279">
        <v>79.405944824000002</v>
      </c>
      <c r="E1279">
        <v>40</v>
      </c>
      <c r="F1279">
        <v>39.847324370999999</v>
      </c>
      <c r="G1279">
        <v>1337.7965088000001</v>
      </c>
      <c r="H1279">
        <v>1335.5710449000001</v>
      </c>
      <c r="I1279">
        <v>1327.2750243999999</v>
      </c>
      <c r="J1279">
        <v>1325.8369141000001</v>
      </c>
      <c r="K1279">
        <v>1650</v>
      </c>
      <c r="L1279">
        <v>0</v>
      </c>
      <c r="M1279">
        <v>0</v>
      </c>
      <c r="N1279">
        <v>1650</v>
      </c>
    </row>
    <row r="1280" spans="1:14" x14ac:dyDescent="0.25">
      <c r="A1280">
        <v>733.14216499999998</v>
      </c>
      <c r="B1280" s="1">
        <f>DATE(2012,5,3) + TIME(3,24,43)</f>
        <v>41032.142164351855</v>
      </c>
      <c r="C1280">
        <v>80</v>
      </c>
      <c r="D1280">
        <v>79.500427246000001</v>
      </c>
      <c r="E1280">
        <v>40</v>
      </c>
      <c r="F1280">
        <v>39.842174530000001</v>
      </c>
      <c r="G1280">
        <v>1337.8114014</v>
      </c>
      <c r="H1280">
        <v>1335.5828856999999</v>
      </c>
      <c r="I1280">
        <v>1327.2749022999999</v>
      </c>
      <c r="J1280">
        <v>1325.8366699000001</v>
      </c>
      <c r="K1280">
        <v>1650</v>
      </c>
      <c r="L1280">
        <v>0</v>
      </c>
      <c r="M1280">
        <v>0</v>
      </c>
      <c r="N1280">
        <v>1650</v>
      </c>
    </row>
    <row r="1281" spans="1:14" x14ac:dyDescent="0.25">
      <c r="A1281">
        <v>733.240003</v>
      </c>
      <c r="B1281" s="1">
        <f>DATE(2012,5,3) + TIME(5,45,36)</f>
        <v>41032.239999999998</v>
      </c>
      <c r="C1281">
        <v>80</v>
      </c>
      <c r="D1281">
        <v>79.579223632999998</v>
      </c>
      <c r="E1281">
        <v>40</v>
      </c>
      <c r="F1281">
        <v>39.837062836000001</v>
      </c>
      <c r="G1281">
        <v>1337.8459473</v>
      </c>
      <c r="H1281">
        <v>1335.6072998</v>
      </c>
      <c r="I1281">
        <v>1327.2747803</v>
      </c>
      <c r="J1281">
        <v>1325.8363036999999</v>
      </c>
      <c r="K1281">
        <v>1650</v>
      </c>
      <c r="L1281">
        <v>0</v>
      </c>
      <c r="M1281">
        <v>0</v>
      </c>
      <c r="N1281">
        <v>1650</v>
      </c>
    </row>
    <row r="1282" spans="1:14" x14ac:dyDescent="0.25">
      <c r="A1282">
        <v>733.338302</v>
      </c>
      <c r="B1282" s="1">
        <f>DATE(2012,5,3) + TIME(8,7,9)</f>
        <v>41032.33829861111</v>
      </c>
      <c r="C1282">
        <v>80</v>
      </c>
      <c r="D1282">
        <v>79.645080566000004</v>
      </c>
      <c r="E1282">
        <v>40</v>
      </c>
      <c r="F1282">
        <v>39.831966399999999</v>
      </c>
      <c r="G1282">
        <v>1337.8751221</v>
      </c>
      <c r="H1282">
        <v>1335.6279297000001</v>
      </c>
      <c r="I1282">
        <v>1327.2745361</v>
      </c>
      <c r="J1282">
        <v>1325.8358154</v>
      </c>
      <c r="K1282">
        <v>1650</v>
      </c>
      <c r="L1282">
        <v>0</v>
      </c>
      <c r="M1282">
        <v>0</v>
      </c>
      <c r="N1282">
        <v>1650</v>
      </c>
    </row>
    <row r="1283" spans="1:14" x14ac:dyDescent="0.25">
      <c r="A1283">
        <v>733.43738900000005</v>
      </c>
      <c r="B1283" s="1">
        <f>DATE(2012,5,3) + TIME(10,29,50)</f>
        <v>41032.437384259261</v>
      </c>
      <c r="C1283">
        <v>80</v>
      </c>
      <c r="D1283">
        <v>79.700172424000002</v>
      </c>
      <c r="E1283">
        <v>40</v>
      </c>
      <c r="F1283">
        <v>39.826869965</v>
      </c>
      <c r="G1283">
        <v>1337.9005127</v>
      </c>
      <c r="H1283">
        <v>1335.6461182</v>
      </c>
      <c r="I1283">
        <v>1327.2744141000001</v>
      </c>
      <c r="J1283">
        <v>1325.8354492000001</v>
      </c>
      <c r="K1283">
        <v>1650</v>
      </c>
      <c r="L1283">
        <v>0</v>
      </c>
      <c r="M1283">
        <v>0</v>
      </c>
      <c r="N1283">
        <v>1650</v>
      </c>
    </row>
    <row r="1284" spans="1:14" x14ac:dyDescent="0.25">
      <c r="A1284">
        <v>733.53754000000004</v>
      </c>
      <c r="B1284" s="1">
        <f>DATE(2012,5,3) + TIME(12,54,3)</f>
        <v>41032.537534722222</v>
      </c>
      <c r="C1284">
        <v>80</v>
      </c>
      <c r="D1284">
        <v>79.746269225999995</v>
      </c>
      <c r="E1284">
        <v>40</v>
      </c>
      <c r="F1284">
        <v>39.821754456000001</v>
      </c>
      <c r="G1284">
        <v>1337.9238281</v>
      </c>
      <c r="H1284">
        <v>1335.6627197</v>
      </c>
      <c r="I1284">
        <v>1327.2741699000001</v>
      </c>
      <c r="J1284">
        <v>1325.8349608999999</v>
      </c>
      <c r="K1284">
        <v>1650</v>
      </c>
      <c r="L1284">
        <v>0</v>
      </c>
      <c r="M1284">
        <v>0</v>
      </c>
      <c r="N1284">
        <v>1650</v>
      </c>
    </row>
    <row r="1285" spans="1:14" x14ac:dyDescent="0.25">
      <c r="A1285">
        <v>733.63898099999994</v>
      </c>
      <c r="B1285" s="1">
        <f>DATE(2012,5,3) + TIME(15,20,7)</f>
        <v>41032.638969907406</v>
      </c>
      <c r="C1285">
        <v>80</v>
      </c>
      <c r="D1285">
        <v>79.784820557000003</v>
      </c>
      <c r="E1285">
        <v>40</v>
      </c>
      <c r="F1285">
        <v>39.816612243999998</v>
      </c>
      <c r="G1285">
        <v>1337.9449463000001</v>
      </c>
      <c r="H1285">
        <v>1335.6779785000001</v>
      </c>
      <c r="I1285">
        <v>1327.2740478999999</v>
      </c>
      <c r="J1285">
        <v>1325.8345947</v>
      </c>
      <c r="K1285">
        <v>1650</v>
      </c>
      <c r="L1285">
        <v>0</v>
      </c>
      <c r="M1285">
        <v>0</v>
      </c>
      <c r="N1285">
        <v>1650</v>
      </c>
    </row>
    <row r="1286" spans="1:14" x14ac:dyDescent="0.25">
      <c r="A1286">
        <v>733.74196800000004</v>
      </c>
      <c r="B1286" s="1">
        <f>DATE(2012,5,3) + TIME(17,48,25)</f>
        <v>41032.741956018515</v>
      </c>
      <c r="C1286">
        <v>80</v>
      </c>
      <c r="D1286">
        <v>79.817024231000005</v>
      </c>
      <c r="E1286">
        <v>40</v>
      </c>
      <c r="F1286">
        <v>39.811431884999998</v>
      </c>
      <c r="G1286">
        <v>1337.9642334</v>
      </c>
      <c r="H1286">
        <v>1335.6921387</v>
      </c>
      <c r="I1286">
        <v>1327.2738036999999</v>
      </c>
      <c r="J1286">
        <v>1325.8341064000001</v>
      </c>
      <c r="K1286">
        <v>1650</v>
      </c>
      <c r="L1286">
        <v>0</v>
      </c>
      <c r="M1286">
        <v>0</v>
      </c>
      <c r="N1286">
        <v>1650</v>
      </c>
    </row>
    <row r="1287" spans="1:14" x14ac:dyDescent="0.25">
      <c r="A1287">
        <v>733.846765</v>
      </c>
      <c r="B1287" s="1">
        <f>DATE(2012,5,3) + TIME(20,19,20)</f>
        <v>41032.846759259257</v>
      </c>
      <c r="C1287">
        <v>80</v>
      </c>
      <c r="D1287">
        <v>79.843902588000006</v>
      </c>
      <c r="E1287">
        <v>40</v>
      </c>
      <c r="F1287">
        <v>39.806201934999997</v>
      </c>
      <c r="G1287">
        <v>1337.980957</v>
      </c>
      <c r="H1287">
        <v>1335.7044678</v>
      </c>
      <c r="I1287">
        <v>1327.2736815999999</v>
      </c>
      <c r="J1287">
        <v>1325.8337402</v>
      </c>
      <c r="K1287">
        <v>1650</v>
      </c>
      <c r="L1287">
        <v>0</v>
      </c>
      <c r="M1287">
        <v>0</v>
      </c>
      <c r="N1287">
        <v>1650</v>
      </c>
    </row>
    <row r="1288" spans="1:14" x14ac:dyDescent="0.25">
      <c r="A1288">
        <v>733.95367499999998</v>
      </c>
      <c r="B1288" s="1">
        <f>DATE(2012,5,3) + TIME(22,53,17)</f>
        <v>41032.953668981485</v>
      </c>
      <c r="C1288">
        <v>80</v>
      </c>
      <c r="D1288">
        <v>79.866302489999995</v>
      </c>
      <c r="E1288">
        <v>40</v>
      </c>
      <c r="F1288">
        <v>39.800903320000003</v>
      </c>
      <c r="G1288">
        <v>1337.9934082</v>
      </c>
      <c r="H1288">
        <v>1335.7139893000001</v>
      </c>
      <c r="I1288">
        <v>1327.2734375</v>
      </c>
      <c r="J1288">
        <v>1325.833374</v>
      </c>
      <c r="K1288">
        <v>1650</v>
      </c>
      <c r="L1288">
        <v>0</v>
      </c>
      <c r="M1288">
        <v>0</v>
      </c>
      <c r="N1288">
        <v>1650</v>
      </c>
    </row>
    <row r="1289" spans="1:14" x14ac:dyDescent="0.25">
      <c r="A1289">
        <v>734.06306700000005</v>
      </c>
      <c r="B1289" s="1">
        <f>DATE(2012,5,4) + TIME(1,30,49)</f>
        <v>41033.063067129631</v>
      </c>
      <c r="C1289">
        <v>80</v>
      </c>
      <c r="D1289">
        <v>79.884941100999995</v>
      </c>
      <c r="E1289">
        <v>40</v>
      </c>
      <c r="F1289">
        <v>39.795524596999996</v>
      </c>
      <c r="G1289">
        <v>1338.0046387</v>
      </c>
      <c r="H1289">
        <v>1335.7226562000001</v>
      </c>
      <c r="I1289">
        <v>1327.2731934000001</v>
      </c>
      <c r="J1289">
        <v>1325.8328856999999</v>
      </c>
      <c r="K1289">
        <v>1650</v>
      </c>
      <c r="L1289">
        <v>0</v>
      </c>
      <c r="M1289">
        <v>0</v>
      </c>
      <c r="N1289">
        <v>1650</v>
      </c>
    </row>
    <row r="1290" spans="1:14" x14ac:dyDescent="0.25">
      <c r="A1290">
        <v>734.17525699999999</v>
      </c>
      <c r="B1290" s="1">
        <f>DATE(2012,5,4) + TIME(4,12,22)</f>
        <v>41033.175254629627</v>
      </c>
      <c r="C1290">
        <v>80</v>
      </c>
      <c r="D1290">
        <v>79.900421143000003</v>
      </c>
      <c r="E1290">
        <v>40</v>
      </c>
      <c r="F1290">
        <v>39.790050506999997</v>
      </c>
      <c r="G1290">
        <v>1338.0146483999999</v>
      </c>
      <c r="H1290">
        <v>1335.7305908000001</v>
      </c>
      <c r="I1290">
        <v>1327.2729492000001</v>
      </c>
      <c r="J1290">
        <v>1325.8325195</v>
      </c>
      <c r="K1290">
        <v>1650</v>
      </c>
      <c r="L1290">
        <v>0</v>
      </c>
      <c r="M1290">
        <v>0</v>
      </c>
      <c r="N1290">
        <v>1650</v>
      </c>
    </row>
    <row r="1291" spans="1:14" x14ac:dyDescent="0.25">
      <c r="A1291">
        <v>734.29079100000001</v>
      </c>
      <c r="B1291" s="1">
        <f>DATE(2012,5,4) + TIME(6,58,44)</f>
        <v>41033.29078703704</v>
      </c>
      <c r="C1291">
        <v>80</v>
      </c>
      <c r="D1291">
        <v>79.913261414000004</v>
      </c>
      <c r="E1291">
        <v>40</v>
      </c>
      <c r="F1291">
        <v>39.78445816</v>
      </c>
      <c r="G1291">
        <v>1338.0235596</v>
      </c>
      <c r="H1291">
        <v>1335.737793</v>
      </c>
      <c r="I1291">
        <v>1327.2727050999999</v>
      </c>
      <c r="J1291">
        <v>1325.8321533000001</v>
      </c>
      <c r="K1291">
        <v>1650</v>
      </c>
      <c r="L1291">
        <v>0</v>
      </c>
      <c r="M1291">
        <v>0</v>
      </c>
      <c r="N1291">
        <v>1650</v>
      </c>
    </row>
    <row r="1292" spans="1:14" x14ac:dyDescent="0.25">
      <c r="A1292">
        <v>734.410123</v>
      </c>
      <c r="B1292" s="1">
        <f>DATE(2012,5,4) + TIME(9,50,34)</f>
        <v>41033.410115740742</v>
      </c>
      <c r="C1292">
        <v>80</v>
      </c>
      <c r="D1292">
        <v>79.923881531000006</v>
      </c>
      <c r="E1292">
        <v>40</v>
      </c>
      <c r="F1292">
        <v>39.778728485000002</v>
      </c>
      <c r="G1292">
        <v>1338.0314940999999</v>
      </c>
      <c r="H1292">
        <v>1335.7443848</v>
      </c>
      <c r="I1292">
        <v>1327.2724608999999</v>
      </c>
      <c r="J1292">
        <v>1325.8316649999999</v>
      </c>
      <c r="K1292">
        <v>1650</v>
      </c>
      <c r="L1292">
        <v>0</v>
      </c>
      <c r="M1292">
        <v>0</v>
      </c>
      <c r="N1292">
        <v>1650</v>
      </c>
    </row>
    <row r="1293" spans="1:14" x14ac:dyDescent="0.25">
      <c r="A1293">
        <v>734.53375900000003</v>
      </c>
      <c r="B1293" s="1">
        <f>DATE(2012,5,4) + TIME(12,48,36)</f>
        <v>41033.533750000002</v>
      </c>
      <c r="C1293">
        <v>80</v>
      </c>
      <c r="D1293">
        <v>79.932640075999998</v>
      </c>
      <c r="E1293">
        <v>40</v>
      </c>
      <c r="F1293">
        <v>39.772842406999999</v>
      </c>
      <c r="G1293">
        <v>1338.0383300999999</v>
      </c>
      <c r="H1293">
        <v>1335.7503661999999</v>
      </c>
      <c r="I1293">
        <v>1327.2722168</v>
      </c>
      <c r="J1293">
        <v>1325.8312988</v>
      </c>
      <c r="K1293">
        <v>1650</v>
      </c>
      <c r="L1293">
        <v>0</v>
      </c>
      <c r="M1293">
        <v>0</v>
      </c>
      <c r="N1293">
        <v>1650</v>
      </c>
    </row>
    <row r="1294" spans="1:14" x14ac:dyDescent="0.25">
      <c r="A1294">
        <v>734.66229199999998</v>
      </c>
      <c r="B1294" s="1">
        <f>DATE(2012,5,4) + TIME(15,53,42)</f>
        <v>41033.662291666667</v>
      </c>
      <c r="C1294">
        <v>80</v>
      </c>
      <c r="D1294">
        <v>79.939834594999994</v>
      </c>
      <c r="E1294">
        <v>40</v>
      </c>
      <c r="F1294">
        <v>39.766773223999998</v>
      </c>
      <c r="G1294">
        <v>1338.0444336</v>
      </c>
      <c r="H1294">
        <v>1335.7558594</v>
      </c>
      <c r="I1294">
        <v>1327.2719727000001</v>
      </c>
      <c r="J1294">
        <v>1325.8308105000001</v>
      </c>
      <c r="K1294">
        <v>1650</v>
      </c>
      <c r="L1294">
        <v>0</v>
      </c>
      <c r="M1294">
        <v>0</v>
      </c>
      <c r="N1294">
        <v>1650</v>
      </c>
    </row>
    <row r="1295" spans="1:14" x14ac:dyDescent="0.25">
      <c r="A1295">
        <v>734.79520500000001</v>
      </c>
      <c r="B1295" s="1">
        <f>DATE(2012,5,4) + TIME(19,5,5)</f>
        <v>41033.79519675926</v>
      </c>
      <c r="C1295">
        <v>80</v>
      </c>
      <c r="D1295">
        <v>79.945678710999999</v>
      </c>
      <c r="E1295">
        <v>40</v>
      </c>
      <c r="F1295">
        <v>39.760547637999998</v>
      </c>
      <c r="G1295">
        <v>1338.0495605000001</v>
      </c>
      <c r="H1295">
        <v>1335.7608643000001</v>
      </c>
      <c r="I1295">
        <v>1327.2717285000001</v>
      </c>
      <c r="J1295">
        <v>1325.8303223</v>
      </c>
      <c r="K1295">
        <v>1650</v>
      </c>
      <c r="L1295">
        <v>0</v>
      </c>
      <c r="M1295">
        <v>0</v>
      </c>
      <c r="N1295">
        <v>1650</v>
      </c>
    </row>
    <row r="1296" spans="1:14" x14ac:dyDescent="0.25">
      <c r="A1296">
        <v>734.93038899999999</v>
      </c>
      <c r="B1296" s="1">
        <f>DATE(2012,5,4) + TIME(22,19,45)</f>
        <v>41033.930381944447</v>
      </c>
      <c r="C1296">
        <v>80</v>
      </c>
      <c r="D1296">
        <v>79.950340271000002</v>
      </c>
      <c r="E1296">
        <v>40</v>
      </c>
      <c r="F1296">
        <v>39.754257201999998</v>
      </c>
      <c r="G1296">
        <v>1338.0539550999999</v>
      </c>
      <c r="H1296">
        <v>1335.7653809000001</v>
      </c>
      <c r="I1296">
        <v>1327.2713623</v>
      </c>
      <c r="J1296">
        <v>1325.8298339999999</v>
      </c>
      <c r="K1296">
        <v>1650</v>
      </c>
      <c r="L1296">
        <v>0</v>
      </c>
      <c r="M1296">
        <v>0</v>
      </c>
      <c r="N1296">
        <v>1650</v>
      </c>
    </row>
    <row r="1297" spans="1:14" x14ac:dyDescent="0.25">
      <c r="A1297">
        <v>735.06819299999995</v>
      </c>
      <c r="B1297" s="1">
        <f>DATE(2012,5,5) + TIME(1,38,11)</f>
        <v>41034.068182870367</v>
      </c>
      <c r="C1297">
        <v>80</v>
      </c>
      <c r="D1297">
        <v>79.954055785999998</v>
      </c>
      <c r="E1297">
        <v>40</v>
      </c>
      <c r="F1297">
        <v>39.747882842999999</v>
      </c>
      <c r="G1297">
        <v>1338.0556641000001</v>
      </c>
      <c r="H1297">
        <v>1335.7681885</v>
      </c>
      <c r="I1297">
        <v>1327.2711182</v>
      </c>
      <c r="J1297">
        <v>1325.8293457</v>
      </c>
      <c r="K1297">
        <v>1650</v>
      </c>
      <c r="L1297">
        <v>0</v>
      </c>
      <c r="M1297">
        <v>0</v>
      </c>
      <c r="N1297">
        <v>1650</v>
      </c>
    </row>
    <row r="1298" spans="1:14" x14ac:dyDescent="0.25">
      <c r="A1298">
        <v>735.20895199999995</v>
      </c>
      <c r="B1298" s="1">
        <f>DATE(2012,5,5) + TIME(5,0,53)</f>
        <v>41034.20894675926</v>
      </c>
      <c r="C1298">
        <v>80</v>
      </c>
      <c r="D1298">
        <v>79.957008361999996</v>
      </c>
      <c r="E1298">
        <v>40</v>
      </c>
      <c r="F1298">
        <v>39.741416931000003</v>
      </c>
      <c r="G1298">
        <v>1338.0556641000001</v>
      </c>
      <c r="H1298">
        <v>1335.7698975000001</v>
      </c>
      <c r="I1298">
        <v>1327.2707519999999</v>
      </c>
      <c r="J1298">
        <v>1325.8288574000001</v>
      </c>
      <c r="K1298">
        <v>1650</v>
      </c>
      <c r="L1298">
        <v>0</v>
      </c>
      <c r="M1298">
        <v>0</v>
      </c>
      <c r="N1298">
        <v>1650</v>
      </c>
    </row>
    <row r="1299" spans="1:14" x14ac:dyDescent="0.25">
      <c r="A1299">
        <v>735.35301100000004</v>
      </c>
      <c r="B1299" s="1">
        <f>DATE(2012,5,5) + TIME(8,28,20)</f>
        <v>41034.353009259263</v>
      </c>
      <c r="C1299">
        <v>80</v>
      </c>
      <c r="D1299">
        <v>79.959358214999995</v>
      </c>
      <c r="E1299">
        <v>40</v>
      </c>
      <c r="F1299">
        <v>39.734844207999998</v>
      </c>
      <c r="G1299">
        <v>1338.0552978999999</v>
      </c>
      <c r="H1299">
        <v>1335.7712402</v>
      </c>
      <c r="I1299">
        <v>1327.2705077999999</v>
      </c>
      <c r="J1299">
        <v>1325.8283690999999</v>
      </c>
      <c r="K1299">
        <v>1650</v>
      </c>
      <c r="L1299">
        <v>0</v>
      </c>
      <c r="M1299">
        <v>0</v>
      </c>
      <c r="N1299">
        <v>1650</v>
      </c>
    </row>
    <row r="1300" spans="1:14" x14ac:dyDescent="0.25">
      <c r="A1300">
        <v>735.50068399999998</v>
      </c>
      <c r="B1300" s="1">
        <f>DATE(2012,5,5) + TIME(12,0,59)</f>
        <v>41034.50068287037</v>
      </c>
      <c r="C1300">
        <v>80</v>
      </c>
      <c r="D1300">
        <v>79.961227417000003</v>
      </c>
      <c r="E1300">
        <v>40</v>
      </c>
      <c r="F1300">
        <v>39.728149414000001</v>
      </c>
      <c r="G1300">
        <v>1338.0543213000001</v>
      </c>
      <c r="H1300">
        <v>1335.7724608999999</v>
      </c>
      <c r="I1300">
        <v>1327.2701416</v>
      </c>
      <c r="J1300">
        <v>1325.8278809000001</v>
      </c>
      <c r="K1300">
        <v>1650</v>
      </c>
      <c r="L1300">
        <v>0</v>
      </c>
      <c r="M1300">
        <v>0</v>
      </c>
      <c r="N1300">
        <v>1650</v>
      </c>
    </row>
    <row r="1301" spans="1:14" x14ac:dyDescent="0.25">
      <c r="A1301">
        <v>735.65231500000004</v>
      </c>
      <c r="B1301" s="1">
        <f>DATE(2012,5,5) + TIME(15,39,20)</f>
        <v>41034.652314814812</v>
      </c>
      <c r="C1301">
        <v>80</v>
      </c>
      <c r="D1301">
        <v>79.962699889999996</v>
      </c>
      <c r="E1301">
        <v>40</v>
      </c>
      <c r="F1301">
        <v>39.721321105999998</v>
      </c>
      <c r="G1301">
        <v>1338.0528564000001</v>
      </c>
      <c r="H1301">
        <v>1335.7733154</v>
      </c>
      <c r="I1301">
        <v>1327.2697754000001</v>
      </c>
      <c r="J1301">
        <v>1325.8273925999999</v>
      </c>
      <c r="K1301">
        <v>1650</v>
      </c>
      <c r="L1301">
        <v>0</v>
      </c>
      <c r="M1301">
        <v>0</v>
      </c>
      <c r="N1301">
        <v>1650</v>
      </c>
    </row>
    <row r="1302" spans="1:14" x14ac:dyDescent="0.25">
      <c r="A1302">
        <v>735.80828499999996</v>
      </c>
      <c r="B1302" s="1">
        <f>DATE(2012,5,5) + TIME(19,23,55)</f>
        <v>41034.808275462965</v>
      </c>
      <c r="C1302">
        <v>80</v>
      </c>
      <c r="D1302">
        <v>79.963867187999995</v>
      </c>
      <c r="E1302">
        <v>40</v>
      </c>
      <c r="F1302">
        <v>39.714347838999998</v>
      </c>
      <c r="G1302">
        <v>1338.0510254000001</v>
      </c>
      <c r="H1302">
        <v>1335.7739257999999</v>
      </c>
      <c r="I1302">
        <v>1327.2695312000001</v>
      </c>
      <c r="J1302">
        <v>1325.8269043</v>
      </c>
      <c r="K1302">
        <v>1650</v>
      </c>
      <c r="L1302">
        <v>0</v>
      </c>
      <c r="M1302">
        <v>0</v>
      </c>
      <c r="N1302">
        <v>1650</v>
      </c>
    </row>
    <row r="1303" spans="1:14" x14ac:dyDescent="0.25">
      <c r="A1303">
        <v>735.969019</v>
      </c>
      <c r="B1303" s="1">
        <f>DATE(2012,5,5) + TIME(23,15,23)</f>
        <v>41034.9690162037</v>
      </c>
      <c r="C1303">
        <v>80</v>
      </c>
      <c r="D1303">
        <v>79.964790343999994</v>
      </c>
      <c r="E1303">
        <v>40</v>
      </c>
      <c r="F1303">
        <v>39.707210541000002</v>
      </c>
      <c r="G1303">
        <v>1338.0488281</v>
      </c>
      <c r="H1303">
        <v>1335.7744141000001</v>
      </c>
      <c r="I1303">
        <v>1327.2691649999999</v>
      </c>
      <c r="J1303">
        <v>1325.8262939000001</v>
      </c>
      <c r="K1303">
        <v>1650</v>
      </c>
      <c r="L1303">
        <v>0</v>
      </c>
      <c r="M1303">
        <v>0</v>
      </c>
      <c r="N1303">
        <v>1650</v>
      </c>
    </row>
    <row r="1304" spans="1:14" x14ac:dyDescent="0.25">
      <c r="A1304">
        <v>736.13498600000003</v>
      </c>
      <c r="B1304" s="1">
        <f>DATE(2012,5,6) + TIME(3,14,22)</f>
        <v>41035.134976851848</v>
      </c>
      <c r="C1304">
        <v>80</v>
      </c>
      <c r="D1304">
        <v>79.965522766000007</v>
      </c>
      <c r="E1304">
        <v>40</v>
      </c>
      <c r="F1304">
        <v>39.699893951</v>
      </c>
      <c r="G1304">
        <v>1338.0461425999999</v>
      </c>
      <c r="H1304">
        <v>1335.7745361</v>
      </c>
      <c r="I1304">
        <v>1327.2687988</v>
      </c>
      <c r="J1304">
        <v>1325.8256836</v>
      </c>
      <c r="K1304">
        <v>1650</v>
      </c>
      <c r="L1304">
        <v>0</v>
      </c>
      <c r="M1304">
        <v>0</v>
      </c>
      <c r="N1304">
        <v>1650</v>
      </c>
    </row>
    <row r="1305" spans="1:14" x14ac:dyDescent="0.25">
      <c r="A1305">
        <v>736.30671400000006</v>
      </c>
      <c r="B1305" s="1">
        <f>DATE(2012,5,6) + TIME(7,21,40)</f>
        <v>41035.306712962964</v>
      </c>
      <c r="C1305">
        <v>80</v>
      </c>
      <c r="D1305">
        <v>79.966094971000004</v>
      </c>
      <c r="E1305">
        <v>40</v>
      </c>
      <c r="F1305">
        <v>39.692382811999998</v>
      </c>
      <c r="G1305">
        <v>1338.0432129000001</v>
      </c>
      <c r="H1305">
        <v>1335.7746582</v>
      </c>
      <c r="I1305">
        <v>1327.2683105000001</v>
      </c>
      <c r="J1305">
        <v>1325.8251952999999</v>
      </c>
      <c r="K1305">
        <v>1650</v>
      </c>
      <c r="L1305">
        <v>0</v>
      </c>
      <c r="M1305">
        <v>0</v>
      </c>
      <c r="N1305">
        <v>1650</v>
      </c>
    </row>
    <row r="1306" spans="1:14" x14ac:dyDescent="0.25">
      <c r="A1306">
        <v>736.485367</v>
      </c>
      <c r="B1306" s="1">
        <f>DATE(2012,5,6) + TIME(11,38,55)</f>
        <v>41035.485358796293</v>
      </c>
      <c r="C1306">
        <v>80</v>
      </c>
      <c r="D1306">
        <v>79.966537475999999</v>
      </c>
      <c r="E1306">
        <v>40</v>
      </c>
      <c r="F1306">
        <v>39.684627532999997</v>
      </c>
      <c r="G1306">
        <v>1338.0397949000001</v>
      </c>
      <c r="H1306">
        <v>1335.7744141000001</v>
      </c>
      <c r="I1306">
        <v>1327.2679443</v>
      </c>
      <c r="J1306">
        <v>1325.8245850000001</v>
      </c>
      <c r="K1306">
        <v>1650</v>
      </c>
      <c r="L1306">
        <v>0</v>
      </c>
      <c r="M1306">
        <v>0</v>
      </c>
      <c r="N1306">
        <v>1650</v>
      </c>
    </row>
    <row r="1307" spans="1:14" x14ac:dyDescent="0.25">
      <c r="A1307">
        <v>736.66928399999995</v>
      </c>
      <c r="B1307" s="1">
        <f>DATE(2012,5,6) + TIME(16,3,46)</f>
        <v>41035.669282407405</v>
      </c>
      <c r="C1307">
        <v>80</v>
      </c>
      <c r="D1307">
        <v>79.966880798000005</v>
      </c>
      <c r="E1307">
        <v>40</v>
      </c>
      <c r="F1307">
        <v>39.676696776999997</v>
      </c>
      <c r="G1307">
        <v>1338.0361327999999</v>
      </c>
      <c r="H1307">
        <v>1335.7741699000001</v>
      </c>
      <c r="I1307">
        <v>1327.2675781</v>
      </c>
      <c r="J1307">
        <v>1325.8239745999999</v>
      </c>
      <c r="K1307">
        <v>1650</v>
      </c>
      <c r="L1307">
        <v>0</v>
      </c>
      <c r="M1307">
        <v>0</v>
      </c>
      <c r="N1307">
        <v>1650</v>
      </c>
    </row>
    <row r="1308" spans="1:14" x14ac:dyDescent="0.25">
      <c r="A1308">
        <v>736.85859000000005</v>
      </c>
      <c r="B1308" s="1">
        <f>DATE(2012,5,6) + TIME(20,36,22)</f>
        <v>41035.858587962961</v>
      </c>
      <c r="C1308">
        <v>80</v>
      </c>
      <c r="D1308">
        <v>79.967147827000005</v>
      </c>
      <c r="E1308">
        <v>40</v>
      </c>
      <c r="F1308">
        <v>39.668586730999998</v>
      </c>
      <c r="G1308">
        <v>1338.0321045000001</v>
      </c>
      <c r="H1308">
        <v>1335.7736815999999</v>
      </c>
      <c r="I1308">
        <v>1327.2670897999999</v>
      </c>
      <c r="J1308">
        <v>1325.8232422000001</v>
      </c>
      <c r="K1308">
        <v>1650</v>
      </c>
      <c r="L1308">
        <v>0</v>
      </c>
      <c r="M1308">
        <v>0</v>
      </c>
      <c r="N1308">
        <v>1650</v>
      </c>
    </row>
    <row r="1309" spans="1:14" x14ac:dyDescent="0.25">
      <c r="A1309">
        <v>737.05148899999995</v>
      </c>
      <c r="B1309" s="1">
        <f>DATE(2012,5,7) + TIME(1,14,8)</f>
        <v>41036.051481481481</v>
      </c>
      <c r="C1309">
        <v>80</v>
      </c>
      <c r="D1309">
        <v>79.967346191000004</v>
      </c>
      <c r="E1309">
        <v>40</v>
      </c>
      <c r="F1309">
        <v>39.660366058000001</v>
      </c>
      <c r="G1309">
        <v>1338.027832</v>
      </c>
      <c r="H1309">
        <v>1335.7730713000001</v>
      </c>
      <c r="I1309">
        <v>1327.2666016000001</v>
      </c>
      <c r="J1309">
        <v>1325.8226318</v>
      </c>
      <c r="K1309">
        <v>1650</v>
      </c>
      <c r="L1309">
        <v>0</v>
      </c>
      <c r="M1309">
        <v>0</v>
      </c>
      <c r="N1309">
        <v>1650</v>
      </c>
    </row>
    <row r="1310" spans="1:14" x14ac:dyDescent="0.25">
      <c r="A1310">
        <v>737.247075</v>
      </c>
      <c r="B1310" s="1">
        <f>DATE(2012,5,7) + TIME(5,55,47)</f>
        <v>41036.247071759259</v>
      </c>
      <c r="C1310">
        <v>80</v>
      </c>
      <c r="D1310">
        <v>79.967498778999996</v>
      </c>
      <c r="E1310">
        <v>40</v>
      </c>
      <c r="F1310">
        <v>39.652072906000001</v>
      </c>
      <c r="G1310">
        <v>1338.0233154</v>
      </c>
      <c r="H1310">
        <v>1335.7723389</v>
      </c>
      <c r="I1310">
        <v>1327.2662353999999</v>
      </c>
      <c r="J1310">
        <v>1325.8218993999999</v>
      </c>
      <c r="K1310">
        <v>1650</v>
      </c>
      <c r="L1310">
        <v>0</v>
      </c>
      <c r="M1310">
        <v>0</v>
      </c>
      <c r="N1310">
        <v>1650</v>
      </c>
    </row>
    <row r="1311" spans="1:14" x14ac:dyDescent="0.25">
      <c r="A1311">
        <v>737.44592899999998</v>
      </c>
      <c r="B1311" s="1">
        <f>DATE(2012,5,7) + TIME(10,42,8)</f>
        <v>41036.445925925924</v>
      </c>
      <c r="C1311">
        <v>80</v>
      </c>
      <c r="D1311">
        <v>79.967605590999995</v>
      </c>
      <c r="E1311">
        <v>40</v>
      </c>
      <c r="F1311">
        <v>39.643680572999997</v>
      </c>
      <c r="G1311">
        <v>1338.0185547000001</v>
      </c>
      <c r="H1311">
        <v>1335.7716064000001</v>
      </c>
      <c r="I1311">
        <v>1327.2657471</v>
      </c>
      <c r="J1311">
        <v>1325.8211670000001</v>
      </c>
      <c r="K1311">
        <v>1650</v>
      </c>
      <c r="L1311">
        <v>0</v>
      </c>
      <c r="M1311">
        <v>0</v>
      </c>
      <c r="N1311">
        <v>1650</v>
      </c>
    </row>
    <row r="1312" spans="1:14" x14ac:dyDescent="0.25">
      <c r="A1312">
        <v>737.64863600000001</v>
      </c>
      <c r="B1312" s="1">
        <f>DATE(2012,5,7) + TIME(15,34,2)</f>
        <v>41036.648634259262</v>
      </c>
      <c r="C1312">
        <v>80</v>
      </c>
      <c r="D1312">
        <v>79.967681885000005</v>
      </c>
      <c r="E1312">
        <v>40</v>
      </c>
      <c r="F1312">
        <v>39.635177612</v>
      </c>
      <c r="G1312">
        <v>1338.0136719</v>
      </c>
      <c r="H1312">
        <v>1335.7706298999999</v>
      </c>
      <c r="I1312">
        <v>1327.2652588000001</v>
      </c>
      <c r="J1312">
        <v>1325.8204346</v>
      </c>
      <c r="K1312">
        <v>1650</v>
      </c>
      <c r="L1312">
        <v>0</v>
      </c>
      <c r="M1312">
        <v>0</v>
      </c>
      <c r="N1312">
        <v>1650</v>
      </c>
    </row>
    <row r="1313" spans="1:14" x14ac:dyDescent="0.25">
      <c r="A1313">
        <v>737.85581300000001</v>
      </c>
      <c r="B1313" s="1">
        <f>DATE(2012,5,7) + TIME(20,32,22)</f>
        <v>41036.855810185189</v>
      </c>
      <c r="C1313">
        <v>80</v>
      </c>
      <c r="D1313">
        <v>79.967735290999997</v>
      </c>
      <c r="E1313">
        <v>40</v>
      </c>
      <c r="F1313">
        <v>39.626537323000001</v>
      </c>
      <c r="G1313">
        <v>1338.0086670000001</v>
      </c>
      <c r="H1313">
        <v>1335.7696533000001</v>
      </c>
      <c r="I1313">
        <v>1327.2646483999999</v>
      </c>
      <c r="J1313">
        <v>1325.8197021000001</v>
      </c>
      <c r="K1313">
        <v>1650</v>
      </c>
      <c r="L1313">
        <v>0</v>
      </c>
      <c r="M1313">
        <v>0</v>
      </c>
      <c r="N1313">
        <v>1650</v>
      </c>
    </row>
    <row r="1314" spans="1:14" x14ac:dyDescent="0.25">
      <c r="A1314">
        <v>738.06812500000001</v>
      </c>
      <c r="B1314" s="1">
        <f>DATE(2012,5,8) + TIME(1,38,6)</f>
        <v>41037.068124999998</v>
      </c>
      <c r="C1314">
        <v>80</v>
      </c>
      <c r="D1314">
        <v>79.967765807999996</v>
      </c>
      <c r="E1314">
        <v>40</v>
      </c>
      <c r="F1314">
        <v>39.617740630999997</v>
      </c>
      <c r="G1314">
        <v>1338.0035399999999</v>
      </c>
      <c r="H1314">
        <v>1335.7685547000001</v>
      </c>
      <c r="I1314">
        <v>1327.2641602000001</v>
      </c>
      <c r="J1314">
        <v>1325.8189697</v>
      </c>
      <c r="K1314">
        <v>1650</v>
      </c>
      <c r="L1314">
        <v>0</v>
      </c>
      <c r="M1314">
        <v>0</v>
      </c>
      <c r="N1314">
        <v>1650</v>
      </c>
    </row>
    <row r="1315" spans="1:14" x14ac:dyDescent="0.25">
      <c r="A1315">
        <v>738.28688099999999</v>
      </c>
      <c r="B1315" s="1">
        <f>DATE(2012,5,8) + TIME(6,53,6)</f>
        <v>41037.286874999998</v>
      </c>
      <c r="C1315">
        <v>80</v>
      </c>
      <c r="D1315">
        <v>79.967781067000004</v>
      </c>
      <c r="E1315">
        <v>40</v>
      </c>
      <c r="F1315">
        <v>39.608741760000001</v>
      </c>
      <c r="G1315">
        <v>1337.9981689000001</v>
      </c>
      <c r="H1315">
        <v>1335.7674560999999</v>
      </c>
      <c r="I1315">
        <v>1327.2636719</v>
      </c>
      <c r="J1315">
        <v>1325.8181152</v>
      </c>
      <c r="K1315">
        <v>1650</v>
      </c>
      <c r="L1315">
        <v>0</v>
      </c>
      <c r="M1315">
        <v>0</v>
      </c>
      <c r="N1315">
        <v>1650</v>
      </c>
    </row>
    <row r="1316" spans="1:14" x14ac:dyDescent="0.25">
      <c r="A1316">
        <v>738.51123199999995</v>
      </c>
      <c r="B1316" s="1">
        <f>DATE(2012,5,8) + TIME(12,16,10)</f>
        <v>41037.51122685185</v>
      </c>
      <c r="C1316">
        <v>80</v>
      </c>
      <c r="D1316">
        <v>79.967781067000004</v>
      </c>
      <c r="E1316">
        <v>40</v>
      </c>
      <c r="F1316">
        <v>39.599571228000002</v>
      </c>
      <c r="G1316">
        <v>1337.9926757999999</v>
      </c>
      <c r="H1316">
        <v>1335.7662353999999</v>
      </c>
      <c r="I1316">
        <v>1327.2630615</v>
      </c>
      <c r="J1316">
        <v>1325.8172606999999</v>
      </c>
      <c r="K1316">
        <v>1650</v>
      </c>
      <c r="L1316">
        <v>0</v>
      </c>
      <c r="M1316">
        <v>0</v>
      </c>
      <c r="N1316">
        <v>1650</v>
      </c>
    </row>
    <row r="1317" spans="1:14" x14ac:dyDescent="0.25">
      <c r="A1317">
        <v>738.74153899999999</v>
      </c>
      <c r="B1317" s="1">
        <f>DATE(2012,5,8) + TIME(17,47,48)</f>
        <v>41037.741527777776</v>
      </c>
      <c r="C1317">
        <v>80</v>
      </c>
      <c r="D1317">
        <v>79.967773437999995</v>
      </c>
      <c r="E1317">
        <v>40</v>
      </c>
      <c r="F1317">
        <v>39.590221405000001</v>
      </c>
      <c r="G1317">
        <v>1337.9869385</v>
      </c>
      <c r="H1317">
        <v>1335.7650146000001</v>
      </c>
      <c r="I1317">
        <v>1327.2624512</v>
      </c>
      <c r="J1317">
        <v>1325.8164062000001</v>
      </c>
      <c r="K1317">
        <v>1650</v>
      </c>
      <c r="L1317">
        <v>0</v>
      </c>
      <c r="M1317">
        <v>0</v>
      </c>
      <c r="N1317">
        <v>1650</v>
      </c>
    </row>
    <row r="1318" spans="1:14" x14ac:dyDescent="0.25">
      <c r="A1318">
        <v>738.978658</v>
      </c>
      <c r="B1318" s="1">
        <f>DATE(2012,5,8) + TIME(23,29,16)</f>
        <v>41037.97865740741</v>
      </c>
      <c r="C1318">
        <v>80</v>
      </c>
      <c r="D1318">
        <v>79.967758179</v>
      </c>
      <c r="E1318">
        <v>40</v>
      </c>
      <c r="F1318">
        <v>39.580661773999999</v>
      </c>
      <c r="G1318">
        <v>1337.9812012</v>
      </c>
      <c r="H1318">
        <v>1335.7637939000001</v>
      </c>
      <c r="I1318">
        <v>1327.2618408000001</v>
      </c>
      <c r="J1318">
        <v>1325.8155518000001</v>
      </c>
      <c r="K1318">
        <v>1650</v>
      </c>
      <c r="L1318">
        <v>0</v>
      </c>
      <c r="M1318">
        <v>0</v>
      </c>
      <c r="N1318">
        <v>1650</v>
      </c>
    </row>
    <row r="1319" spans="1:14" x14ac:dyDescent="0.25">
      <c r="A1319">
        <v>739.22499700000003</v>
      </c>
      <c r="B1319" s="1">
        <f>DATE(2012,5,9) + TIME(5,23,59)</f>
        <v>41038.224988425929</v>
      </c>
      <c r="C1319">
        <v>80</v>
      </c>
      <c r="D1319">
        <v>79.967727660999998</v>
      </c>
      <c r="E1319">
        <v>40</v>
      </c>
      <c r="F1319">
        <v>39.570816039999997</v>
      </c>
      <c r="G1319">
        <v>1337.9753418</v>
      </c>
      <c r="H1319">
        <v>1335.7624512</v>
      </c>
      <c r="I1319">
        <v>1327.2612305</v>
      </c>
      <c r="J1319">
        <v>1325.8145752</v>
      </c>
      <c r="K1319">
        <v>1650</v>
      </c>
      <c r="L1319">
        <v>0</v>
      </c>
      <c r="M1319">
        <v>0</v>
      </c>
      <c r="N1319">
        <v>1650</v>
      </c>
    </row>
    <row r="1320" spans="1:14" x14ac:dyDescent="0.25">
      <c r="A1320">
        <v>739.47432700000002</v>
      </c>
      <c r="B1320" s="1">
        <f>DATE(2012,5,9) + TIME(11,23,1)</f>
        <v>41038.474317129629</v>
      </c>
      <c r="C1320">
        <v>80</v>
      </c>
      <c r="D1320">
        <v>79.967697143999999</v>
      </c>
      <c r="E1320">
        <v>40</v>
      </c>
      <c r="F1320">
        <v>39.560890198000003</v>
      </c>
      <c r="G1320">
        <v>1337.9692382999999</v>
      </c>
      <c r="H1320">
        <v>1335.7611084</v>
      </c>
      <c r="I1320">
        <v>1327.2606201000001</v>
      </c>
      <c r="J1320">
        <v>1325.8137207</v>
      </c>
      <c r="K1320">
        <v>1650</v>
      </c>
      <c r="L1320">
        <v>0</v>
      </c>
      <c r="M1320">
        <v>0</v>
      </c>
      <c r="N1320">
        <v>1650</v>
      </c>
    </row>
    <row r="1321" spans="1:14" x14ac:dyDescent="0.25">
      <c r="A1321">
        <v>739.72612300000003</v>
      </c>
      <c r="B1321" s="1">
        <f>DATE(2012,5,9) + TIME(17,25,37)</f>
        <v>41038.726122685184</v>
      </c>
      <c r="C1321">
        <v>80</v>
      </c>
      <c r="D1321">
        <v>79.967658997000001</v>
      </c>
      <c r="E1321">
        <v>40</v>
      </c>
      <c r="F1321">
        <v>39.550907135000003</v>
      </c>
      <c r="G1321">
        <v>1337.9632568</v>
      </c>
      <c r="H1321">
        <v>1335.7596435999999</v>
      </c>
      <c r="I1321">
        <v>1327.2600098</v>
      </c>
      <c r="J1321">
        <v>1325.8127440999999</v>
      </c>
      <c r="K1321">
        <v>1650</v>
      </c>
      <c r="L1321">
        <v>0</v>
      </c>
      <c r="M1321">
        <v>0</v>
      </c>
      <c r="N1321">
        <v>1650</v>
      </c>
    </row>
    <row r="1322" spans="1:14" x14ac:dyDescent="0.25">
      <c r="A1322">
        <v>739.98105199999998</v>
      </c>
      <c r="B1322" s="1">
        <f>DATE(2012,5,9) + TIME(23,32,42)</f>
        <v>41038.981041666666</v>
      </c>
      <c r="C1322">
        <v>80</v>
      </c>
      <c r="D1322">
        <v>79.967613220000004</v>
      </c>
      <c r="E1322">
        <v>40</v>
      </c>
      <c r="F1322">
        <v>39.540847778</v>
      </c>
      <c r="G1322">
        <v>1337.9571533000001</v>
      </c>
      <c r="H1322">
        <v>1335.7583007999999</v>
      </c>
      <c r="I1322">
        <v>1327.2592772999999</v>
      </c>
      <c r="J1322">
        <v>1325.8116454999999</v>
      </c>
      <c r="K1322">
        <v>1650</v>
      </c>
      <c r="L1322">
        <v>0</v>
      </c>
      <c r="M1322">
        <v>0</v>
      </c>
      <c r="N1322">
        <v>1650</v>
      </c>
    </row>
    <row r="1323" spans="1:14" x14ac:dyDescent="0.25">
      <c r="A1323">
        <v>740.239599</v>
      </c>
      <c r="B1323" s="1">
        <f>DATE(2012,5,10) + TIME(5,45,1)</f>
        <v>41039.239594907405</v>
      </c>
      <c r="C1323">
        <v>80</v>
      </c>
      <c r="D1323">
        <v>79.967567443999997</v>
      </c>
      <c r="E1323">
        <v>40</v>
      </c>
      <c r="F1323">
        <v>39.530704497999999</v>
      </c>
      <c r="G1323">
        <v>1337.9511719</v>
      </c>
      <c r="H1323">
        <v>1335.7569579999999</v>
      </c>
      <c r="I1323">
        <v>1327.2585449000001</v>
      </c>
      <c r="J1323">
        <v>1325.8106689000001</v>
      </c>
      <c r="K1323">
        <v>1650</v>
      </c>
      <c r="L1323">
        <v>0</v>
      </c>
      <c r="M1323">
        <v>0</v>
      </c>
      <c r="N1323">
        <v>1650</v>
      </c>
    </row>
    <row r="1324" spans="1:14" x14ac:dyDescent="0.25">
      <c r="A1324">
        <v>740.50237900000002</v>
      </c>
      <c r="B1324" s="1">
        <f>DATE(2012,5,10) + TIME(12,3,25)</f>
        <v>41039.502372685187</v>
      </c>
      <c r="C1324">
        <v>80</v>
      </c>
      <c r="D1324">
        <v>79.967514038000004</v>
      </c>
      <c r="E1324">
        <v>40</v>
      </c>
      <c r="F1324">
        <v>39.520450592000003</v>
      </c>
      <c r="G1324">
        <v>1337.9451904</v>
      </c>
      <c r="H1324">
        <v>1335.7554932</v>
      </c>
      <c r="I1324">
        <v>1327.2578125</v>
      </c>
      <c r="J1324">
        <v>1325.8095702999999</v>
      </c>
      <c r="K1324">
        <v>1650</v>
      </c>
      <c r="L1324">
        <v>0</v>
      </c>
      <c r="M1324">
        <v>0</v>
      </c>
      <c r="N1324">
        <v>1650</v>
      </c>
    </row>
    <row r="1325" spans="1:14" x14ac:dyDescent="0.25">
      <c r="A1325">
        <v>740.77002900000002</v>
      </c>
      <c r="B1325" s="1">
        <f>DATE(2012,5,10) + TIME(18,28,50)</f>
        <v>41039.77002314815</v>
      </c>
      <c r="C1325">
        <v>80</v>
      </c>
      <c r="D1325">
        <v>79.967468261999997</v>
      </c>
      <c r="E1325">
        <v>40</v>
      </c>
      <c r="F1325">
        <v>39.51007843</v>
      </c>
      <c r="G1325">
        <v>1337.9390868999999</v>
      </c>
      <c r="H1325">
        <v>1335.7541504000001</v>
      </c>
      <c r="I1325">
        <v>1327.2570800999999</v>
      </c>
      <c r="J1325">
        <v>1325.8084716999999</v>
      </c>
      <c r="K1325">
        <v>1650</v>
      </c>
      <c r="L1325">
        <v>0</v>
      </c>
      <c r="M1325">
        <v>0</v>
      </c>
      <c r="N1325">
        <v>1650</v>
      </c>
    </row>
    <row r="1326" spans="1:14" x14ac:dyDescent="0.25">
      <c r="A1326">
        <v>741.04323599999998</v>
      </c>
      <c r="B1326" s="1">
        <f>DATE(2012,5,11) + TIME(1,2,15)</f>
        <v>41040.043229166666</v>
      </c>
      <c r="C1326">
        <v>80</v>
      </c>
      <c r="D1326">
        <v>79.967407226999995</v>
      </c>
      <c r="E1326">
        <v>40</v>
      </c>
      <c r="F1326">
        <v>39.499557494999998</v>
      </c>
      <c r="G1326">
        <v>1337.9331055</v>
      </c>
      <c r="H1326">
        <v>1335.7526855000001</v>
      </c>
      <c r="I1326">
        <v>1327.2563477000001</v>
      </c>
      <c r="J1326">
        <v>1325.8073730000001</v>
      </c>
      <c r="K1326">
        <v>1650</v>
      </c>
      <c r="L1326">
        <v>0</v>
      </c>
      <c r="M1326">
        <v>0</v>
      </c>
      <c r="N1326">
        <v>1650</v>
      </c>
    </row>
    <row r="1327" spans="1:14" x14ac:dyDescent="0.25">
      <c r="A1327">
        <v>741.32273399999997</v>
      </c>
      <c r="B1327" s="1">
        <f>DATE(2012,5,11) + TIME(7,44,44)</f>
        <v>41040.322731481479</v>
      </c>
      <c r="C1327">
        <v>80</v>
      </c>
      <c r="D1327">
        <v>79.967353821000003</v>
      </c>
      <c r="E1327">
        <v>40</v>
      </c>
      <c r="F1327">
        <v>39.488876343000001</v>
      </c>
      <c r="G1327">
        <v>1337.9270019999999</v>
      </c>
      <c r="H1327">
        <v>1335.7513428</v>
      </c>
      <c r="I1327">
        <v>1327.2556152</v>
      </c>
      <c r="J1327">
        <v>1325.8062743999999</v>
      </c>
      <c r="K1327">
        <v>1650</v>
      </c>
      <c r="L1327">
        <v>0</v>
      </c>
      <c r="M1327">
        <v>0</v>
      </c>
      <c r="N1327">
        <v>1650</v>
      </c>
    </row>
    <row r="1328" spans="1:14" x14ac:dyDescent="0.25">
      <c r="A1328">
        <v>741.60932600000001</v>
      </c>
      <c r="B1328" s="1">
        <f>DATE(2012,5,11) + TIME(14,37,25)</f>
        <v>41040.609317129631</v>
      </c>
      <c r="C1328">
        <v>80</v>
      </c>
      <c r="D1328">
        <v>79.967292786000002</v>
      </c>
      <c r="E1328">
        <v>40</v>
      </c>
      <c r="F1328">
        <v>39.478000641000001</v>
      </c>
      <c r="G1328">
        <v>1337.9210204999999</v>
      </c>
      <c r="H1328">
        <v>1335.75</v>
      </c>
      <c r="I1328">
        <v>1327.2547606999999</v>
      </c>
      <c r="J1328">
        <v>1325.8050536999999</v>
      </c>
      <c r="K1328">
        <v>1650</v>
      </c>
      <c r="L1328">
        <v>0</v>
      </c>
      <c r="M1328">
        <v>0</v>
      </c>
      <c r="N1328">
        <v>1650</v>
      </c>
    </row>
    <row r="1329" spans="1:14" x14ac:dyDescent="0.25">
      <c r="A1329">
        <v>741.90389500000003</v>
      </c>
      <c r="B1329" s="1">
        <f>DATE(2012,5,11) + TIME(21,41,36)</f>
        <v>41040.90388888889</v>
      </c>
      <c r="C1329">
        <v>80</v>
      </c>
      <c r="D1329">
        <v>79.967231749999996</v>
      </c>
      <c r="E1329">
        <v>40</v>
      </c>
      <c r="F1329">
        <v>39.466915131</v>
      </c>
      <c r="G1329">
        <v>1337.9149170000001</v>
      </c>
      <c r="H1329">
        <v>1335.7486572</v>
      </c>
      <c r="I1329">
        <v>1327.2540283000001</v>
      </c>
      <c r="J1329">
        <v>1325.8038329999999</v>
      </c>
      <c r="K1329">
        <v>1650</v>
      </c>
      <c r="L1329">
        <v>0</v>
      </c>
      <c r="M1329">
        <v>0</v>
      </c>
      <c r="N1329">
        <v>1650</v>
      </c>
    </row>
    <row r="1330" spans="1:14" x14ac:dyDescent="0.25">
      <c r="A1330">
        <v>742.20742199999995</v>
      </c>
      <c r="B1330" s="1">
        <f>DATE(2012,5,12) + TIME(4,58,41)</f>
        <v>41041.207418981481</v>
      </c>
      <c r="C1330">
        <v>80</v>
      </c>
      <c r="D1330">
        <v>79.967170714999995</v>
      </c>
      <c r="E1330">
        <v>40</v>
      </c>
      <c r="F1330">
        <v>39.455585480000003</v>
      </c>
      <c r="G1330">
        <v>1337.9088135</v>
      </c>
      <c r="H1330">
        <v>1335.7473144999999</v>
      </c>
      <c r="I1330">
        <v>1327.2531738</v>
      </c>
      <c r="J1330">
        <v>1325.8024902</v>
      </c>
      <c r="K1330">
        <v>1650</v>
      </c>
      <c r="L1330">
        <v>0</v>
      </c>
      <c r="M1330">
        <v>0</v>
      </c>
      <c r="N1330">
        <v>1650</v>
      </c>
    </row>
    <row r="1331" spans="1:14" x14ac:dyDescent="0.25">
      <c r="A1331">
        <v>742.51698499999998</v>
      </c>
      <c r="B1331" s="1">
        <f>DATE(2012,5,12) + TIME(12,24,27)</f>
        <v>41041.516979166663</v>
      </c>
      <c r="C1331">
        <v>80</v>
      </c>
      <c r="D1331">
        <v>79.967109679999993</v>
      </c>
      <c r="E1331">
        <v>40</v>
      </c>
      <c r="F1331">
        <v>39.444099426000001</v>
      </c>
      <c r="G1331">
        <v>1337.9025879000001</v>
      </c>
      <c r="H1331">
        <v>1335.7459716999999</v>
      </c>
      <c r="I1331">
        <v>1327.2521973</v>
      </c>
      <c r="J1331">
        <v>1325.8011475000001</v>
      </c>
      <c r="K1331">
        <v>1650</v>
      </c>
      <c r="L1331">
        <v>0</v>
      </c>
      <c r="M1331">
        <v>0</v>
      </c>
      <c r="N1331">
        <v>1650</v>
      </c>
    </row>
    <row r="1332" spans="1:14" x14ac:dyDescent="0.25">
      <c r="A1332">
        <v>742.83316000000002</v>
      </c>
      <c r="B1332" s="1">
        <f>DATE(2012,5,12) + TIME(19,59,45)</f>
        <v>41041.83315972222</v>
      </c>
      <c r="C1332">
        <v>80</v>
      </c>
      <c r="D1332">
        <v>79.967041015999996</v>
      </c>
      <c r="E1332">
        <v>40</v>
      </c>
      <c r="F1332">
        <v>39.432449341000002</v>
      </c>
      <c r="G1332">
        <v>1337.8964844</v>
      </c>
      <c r="H1332">
        <v>1335.744751</v>
      </c>
      <c r="I1332">
        <v>1327.2513428</v>
      </c>
      <c r="J1332">
        <v>1325.7998047000001</v>
      </c>
      <c r="K1332">
        <v>1650</v>
      </c>
      <c r="L1332">
        <v>0</v>
      </c>
      <c r="M1332">
        <v>0</v>
      </c>
      <c r="N1332">
        <v>1650</v>
      </c>
    </row>
    <row r="1333" spans="1:14" x14ac:dyDescent="0.25">
      <c r="A1333">
        <v>743.15680099999997</v>
      </c>
      <c r="B1333" s="1">
        <f>DATE(2012,5,13) + TIME(3,45,47)</f>
        <v>41042.156793981485</v>
      </c>
      <c r="C1333">
        <v>80</v>
      </c>
      <c r="D1333">
        <v>79.966979980000005</v>
      </c>
      <c r="E1333">
        <v>40</v>
      </c>
      <c r="F1333">
        <v>39.420608520999998</v>
      </c>
      <c r="G1333">
        <v>1337.8902588000001</v>
      </c>
      <c r="H1333">
        <v>1335.7434082</v>
      </c>
      <c r="I1333">
        <v>1327.2503661999999</v>
      </c>
      <c r="J1333">
        <v>1325.7983397999999</v>
      </c>
      <c r="K1333">
        <v>1650</v>
      </c>
      <c r="L1333">
        <v>0</v>
      </c>
      <c r="M1333">
        <v>0</v>
      </c>
      <c r="N1333">
        <v>1650</v>
      </c>
    </row>
    <row r="1334" spans="1:14" x14ac:dyDescent="0.25">
      <c r="A1334">
        <v>743.48878999999999</v>
      </c>
      <c r="B1334" s="1">
        <f>DATE(2012,5,13) + TIME(11,43,51)</f>
        <v>41042.48878472222</v>
      </c>
      <c r="C1334">
        <v>80</v>
      </c>
      <c r="D1334">
        <v>79.966911315999994</v>
      </c>
      <c r="E1334">
        <v>40</v>
      </c>
      <c r="F1334">
        <v>39.408554076999998</v>
      </c>
      <c r="G1334">
        <v>1337.8841553</v>
      </c>
      <c r="H1334">
        <v>1335.7421875</v>
      </c>
      <c r="I1334">
        <v>1327.2493896000001</v>
      </c>
      <c r="J1334">
        <v>1325.796875</v>
      </c>
      <c r="K1334">
        <v>1650</v>
      </c>
      <c r="L1334">
        <v>0</v>
      </c>
      <c r="M1334">
        <v>0</v>
      </c>
      <c r="N1334">
        <v>1650</v>
      </c>
    </row>
    <row r="1335" spans="1:14" x14ac:dyDescent="0.25">
      <c r="A1335">
        <v>743.83014100000003</v>
      </c>
      <c r="B1335" s="1">
        <f>DATE(2012,5,13) + TIME(19,55,24)</f>
        <v>41042.830138888887</v>
      </c>
      <c r="C1335">
        <v>80</v>
      </c>
      <c r="D1335">
        <v>79.966842650999993</v>
      </c>
      <c r="E1335">
        <v>40</v>
      </c>
      <c r="F1335">
        <v>39.396259307999998</v>
      </c>
      <c r="G1335">
        <v>1337.8780518000001</v>
      </c>
      <c r="H1335">
        <v>1335.7408447</v>
      </c>
      <c r="I1335">
        <v>1327.2482910000001</v>
      </c>
      <c r="J1335">
        <v>1325.7952881000001</v>
      </c>
      <c r="K1335">
        <v>1650</v>
      </c>
      <c r="L1335">
        <v>0</v>
      </c>
      <c r="M1335">
        <v>0</v>
      </c>
      <c r="N1335">
        <v>1650</v>
      </c>
    </row>
    <row r="1336" spans="1:14" x14ac:dyDescent="0.25">
      <c r="A1336">
        <v>744.18197199999997</v>
      </c>
      <c r="B1336" s="1">
        <f>DATE(2012,5,14) + TIME(4,22,2)</f>
        <v>41043.181967592594</v>
      </c>
      <c r="C1336">
        <v>80</v>
      </c>
      <c r="D1336">
        <v>79.966773986999996</v>
      </c>
      <c r="E1336">
        <v>40</v>
      </c>
      <c r="F1336">
        <v>39.383697509999998</v>
      </c>
      <c r="G1336">
        <v>1337.8718262</v>
      </c>
      <c r="H1336">
        <v>1335.739624</v>
      </c>
      <c r="I1336">
        <v>1327.2471923999999</v>
      </c>
      <c r="J1336">
        <v>1325.7937012</v>
      </c>
      <c r="K1336">
        <v>1650</v>
      </c>
      <c r="L1336">
        <v>0</v>
      </c>
      <c r="M1336">
        <v>0</v>
      </c>
      <c r="N1336">
        <v>1650</v>
      </c>
    </row>
    <row r="1337" spans="1:14" x14ac:dyDescent="0.25">
      <c r="A1337">
        <v>744.54554199999995</v>
      </c>
      <c r="B1337" s="1">
        <f>DATE(2012,5,14) + TIME(13,5,34)</f>
        <v>41043.545532407406</v>
      </c>
      <c r="C1337">
        <v>80</v>
      </c>
      <c r="D1337">
        <v>79.966705321999996</v>
      </c>
      <c r="E1337">
        <v>40</v>
      </c>
      <c r="F1337">
        <v>39.370834350999999</v>
      </c>
      <c r="G1337">
        <v>1337.8656006000001</v>
      </c>
      <c r="H1337">
        <v>1335.7384033000001</v>
      </c>
      <c r="I1337">
        <v>1327.2460937999999</v>
      </c>
      <c r="J1337">
        <v>1325.7919922000001</v>
      </c>
      <c r="K1337">
        <v>1650</v>
      </c>
      <c r="L1337">
        <v>0</v>
      </c>
      <c r="M1337">
        <v>0</v>
      </c>
      <c r="N1337">
        <v>1650</v>
      </c>
    </row>
    <row r="1338" spans="1:14" x14ac:dyDescent="0.25">
      <c r="A1338">
        <v>744.92174699999998</v>
      </c>
      <c r="B1338" s="1">
        <f>DATE(2012,5,14) + TIME(22,7,18)</f>
        <v>41043.921736111108</v>
      </c>
      <c r="C1338">
        <v>80</v>
      </c>
      <c r="D1338">
        <v>79.966629028</v>
      </c>
      <c r="E1338">
        <v>40</v>
      </c>
      <c r="F1338">
        <v>39.357643127000003</v>
      </c>
      <c r="G1338">
        <v>1337.859375</v>
      </c>
      <c r="H1338">
        <v>1335.7371826000001</v>
      </c>
      <c r="I1338">
        <v>1327.2449951000001</v>
      </c>
      <c r="J1338">
        <v>1325.7902832</v>
      </c>
      <c r="K1338">
        <v>1650</v>
      </c>
      <c r="L1338">
        <v>0</v>
      </c>
      <c r="M1338">
        <v>0</v>
      </c>
      <c r="N1338">
        <v>1650</v>
      </c>
    </row>
    <row r="1339" spans="1:14" x14ac:dyDescent="0.25">
      <c r="A1339">
        <v>745.30950600000006</v>
      </c>
      <c r="B1339" s="1">
        <f>DATE(2012,5,15) + TIME(7,25,41)</f>
        <v>41044.309502314813</v>
      </c>
      <c r="C1339">
        <v>80</v>
      </c>
      <c r="D1339">
        <v>79.966560364000003</v>
      </c>
      <c r="E1339">
        <v>40</v>
      </c>
      <c r="F1339">
        <v>39.344161987</v>
      </c>
      <c r="G1339">
        <v>1337.8531493999999</v>
      </c>
      <c r="H1339">
        <v>1335.7359618999999</v>
      </c>
      <c r="I1339">
        <v>1327.2437743999999</v>
      </c>
      <c r="J1339">
        <v>1325.7884521000001</v>
      </c>
      <c r="K1339">
        <v>1650</v>
      </c>
      <c r="L1339">
        <v>0</v>
      </c>
      <c r="M1339">
        <v>0</v>
      </c>
      <c r="N1339">
        <v>1650</v>
      </c>
    </row>
    <row r="1340" spans="1:14" x14ac:dyDescent="0.25">
      <c r="A1340">
        <v>745.70957499999997</v>
      </c>
      <c r="B1340" s="1">
        <f>DATE(2012,5,15) + TIME(17,1,47)</f>
        <v>41044.70957175926</v>
      </c>
      <c r="C1340">
        <v>80</v>
      </c>
      <c r="D1340">
        <v>79.966484070000007</v>
      </c>
      <c r="E1340">
        <v>40</v>
      </c>
      <c r="F1340">
        <v>39.330368042000003</v>
      </c>
      <c r="G1340">
        <v>1337.8468018000001</v>
      </c>
      <c r="H1340">
        <v>1335.7347411999999</v>
      </c>
      <c r="I1340">
        <v>1327.2424315999999</v>
      </c>
      <c r="J1340">
        <v>1325.786499</v>
      </c>
      <c r="K1340">
        <v>1650</v>
      </c>
      <c r="L1340">
        <v>0</v>
      </c>
      <c r="M1340">
        <v>0</v>
      </c>
      <c r="N1340">
        <v>1650</v>
      </c>
    </row>
    <row r="1341" spans="1:14" x14ac:dyDescent="0.25">
      <c r="A1341">
        <v>746.11126899999999</v>
      </c>
      <c r="B1341" s="1">
        <f>DATE(2012,5,16) + TIME(2,40,13)</f>
        <v>41045.111261574071</v>
      </c>
      <c r="C1341">
        <v>80</v>
      </c>
      <c r="D1341">
        <v>79.966415405000006</v>
      </c>
      <c r="E1341">
        <v>40</v>
      </c>
      <c r="F1341">
        <v>39.316547393999997</v>
      </c>
      <c r="G1341">
        <v>1337.8404541</v>
      </c>
      <c r="H1341">
        <v>1335.7335204999999</v>
      </c>
      <c r="I1341">
        <v>1327.2410889</v>
      </c>
      <c r="J1341">
        <v>1325.7844238</v>
      </c>
      <c r="K1341">
        <v>1650</v>
      </c>
      <c r="L1341">
        <v>0</v>
      </c>
      <c r="M1341">
        <v>0</v>
      </c>
      <c r="N1341">
        <v>1650</v>
      </c>
    </row>
    <row r="1342" spans="1:14" x14ac:dyDescent="0.25">
      <c r="A1342">
        <v>746.51579700000002</v>
      </c>
      <c r="B1342" s="1">
        <f>DATE(2012,5,16) + TIME(12,22,44)</f>
        <v>41045.515787037039</v>
      </c>
      <c r="C1342">
        <v>80</v>
      </c>
      <c r="D1342">
        <v>79.966346740999995</v>
      </c>
      <c r="E1342">
        <v>40</v>
      </c>
      <c r="F1342">
        <v>39.302688599</v>
      </c>
      <c r="G1342">
        <v>1337.8343506000001</v>
      </c>
      <c r="H1342">
        <v>1335.7324219</v>
      </c>
      <c r="I1342">
        <v>1327.2397461</v>
      </c>
      <c r="J1342">
        <v>1325.7823486</v>
      </c>
      <c r="K1342">
        <v>1650</v>
      </c>
      <c r="L1342">
        <v>0</v>
      </c>
      <c r="M1342">
        <v>0</v>
      </c>
      <c r="N1342">
        <v>1650</v>
      </c>
    </row>
    <row r="1343" spans="1:14" x14ac:dyDescent="0.25">
      <c r="A1343">
        <v>746.92449299999998</v>
      </c>
      <c r="B1343" s="1">
        <f>DATE(2012,5,16) + TIME(22,11,16)</f>
        <v>41045.924490740741</v>
      </c>
      <c r="C1343">
        <v>80</v>
      </c>
      <c r="D1343">
        <v>79.966270446999999</v>
      </c>
      <c r="E1343">
        <v>40</v>
      </c>
      <c r="F1343">
        <v>39.288764954000001</v>
      </c>
      <c r="G1343">
        <v>1337.8282471</v>
      </c>
      <c r="H1343">
        <v>1335.7313231999999</v>
      </c>
      <c r="I1343">
        <v>1327.2384033000001</v>
      </c>
      <c r="J1343">
        <v>1325.7802733999999</v>
      </c>
      <c r="K1343">
        <v>1650</v>
      </c>
      <c r="L1343">
        <v>0</v>
      </c>
      <c r="M1343">
        <v>0</v>
      </c>
      <c r="N1343">
        <v>1650</v>
      </c>
    </row>
    <row r="1344" spans="1:14" x14ac:dyDescent="0.25">
      <c r="A1344">
        <v>747.338393</v>
      </c>
      <c r="B1344" s="1">
        <f>DATE(2012,5,17) + TIME(8,7,17)</f>
        <v>41046.338391203702</v>
      </c>
      <c r="C1344">
        <v>80</v>
      </c>
      <c r="D1344">
        <v>79.966201781999999</v>
      </c>
      <c r="E1344">
        <v>40</v>
      </c>
      <c r="F1344">
        <v>39.274765015</v>
      </c>
      <c r="G1344">
        <v>1337.8223877</v>
      </c>
      <c r="H1344">
        <v>1335.7303466999999</v>
      </c>
      <c r="I1344">
        <v>1327.2369385</v>
      </c>
      <c r="J1344">
        <v>1325.7781981999999</v>
      </c>
      <c r="K1344">
        <v>1650</v>
      </c>
      <c r="L1344">
        <v>0</v>
      </c>
      <c r="M1344">
        <v>0</v>
      </c>
      <c r="N1344">
        <v>1650</v>
      </c>
    </row>
    <row r="1345" spans="1:14" x14ac:dyDescent="0.25">
      <c r="A1345">
        <v>747.75868400000002</v>
      </c>
      <c r="B1345" s="1">
        <f>DATE(2012,5,17) + TIME(18,12,30)</f>
        <v>41046.758680555555</v>
      </c>
      <c r="C1345">
        <v>80</v>
      </c>
      <c r="D1345">
        <v>79.966133118000002</v>
      </c>
      <c r="E1345">
        <v>40</v>
      </c>
      <c r="F1345">
        <v>39.260658264</v>
      </c>
      <c r="G1345">
        <v>1337.8165283000001</v>
      </c>
      <c r="H1345">
        <v>1335.7292480000001</v>
      </c>
      <c r="I1345">
        <v>1327.2354736</v>
      </c>
      <c r="J1345">
        <v>1325.7758789</v>
      </c>
      <c r="K1345">
        <v>1650</v>
      </c>
      <c r="L1345">
        <v>0</v>
      </c>
      <c r="M1345">
        <v>0</v>
      </c>
      <c r="N1345">
        <v>1650</v>
      </c>
    </row>
    <row r="1346" spans="1:14" x14ac:dyDescent="0.25">
      <c r="A1346">
        <v>748.18662099999995</v>
      </c>
      <c r="B1346" s="1">
        <f>DATE(2012,5,18) + TIME(4,28,44)</f>
        <v>41047.186620370368</v>
      </c>
      <c r="C1346">
        <v>80</v>
      </c>
      <c r="D1346">
        <v>79.966064453000001</v>
      </c>
      <c r="E1346">
        <v>40</v>
      </c>
      <c r="F1346">
        <v>39.246417999000002</v>
      </c>
      <c r="G1346">
        <v>1337.8106689000001</v>
      </c>
      <c r="H1346">
        <v>1335.7282714999999</v>
      </c>
      <c r="I1346">
        <v>1327.2340088000001</v>
      </c>
      <c r="J1346">
        <v>1325.7736815999999</v>
      </c>
      <c r="K1346">
        <v>1650</v>
      </c>
      <c r="L1346">
        <v>0</v>
      </c>
      <c r="M1346">
        <v>0</v>
      </c>
      <c r="N1346">
        <v>1650</v>
      </c>
    </row>
    <row r="1347" spans="1:14" x14ac:dyDescent="0.25">
      <c r="A1347">
        <v>748.62354300000004</v>
      </c>
      <c r="B1347" s="1">
        <f>DATE(2012,5,18) + TIME(14,57,54)</f>
        <v>41047.623541666668</v>
      </c>
      <c r="C1347">
        <v>80</v>
      </c>
      <c r="D1347">
        <v>79.965995789000004</v>
      </c>
      <c r="E1347">
        <v>40</v>
      </c>
      <c r="F1347">
        <v>39.232013702000003</v>
      </c>
      <c r="G1347">
        <v>1337.8049315999999</v>
      </c>
      <c r="H1347">
        <v>1335.7274170000001</v>
      </c>
      <c r="I1347">
        <v>1327.2324219</v>
      </c>
      <c r="J1347">
        <v>1325.7712402</v>
      </c>
      <c r="K1347">
        <v>1650</v>
      </c>
      <c r="L1347">
        <v>0</v>
      </c>
      <c r="M1347">
        <v>0</v>
      </c>
      <c r="N1347">
        <v>1650</v>
      </c>
    </row>
    <row r="1348" spans="1:14" x14ac:dyDescent="0.25">
      <c r="A1348">
        <v>749.07089099999996</v>
      </c>
      <c r="B1348" s="1">
        <f>DATE(2012,5,19) + TIME(1,42,4)</f>
        <v>41048.070879629631</v>
      </c>
      <c r="C1348">
        <v>80</v>
      </c>
      <c r="D1348">
        <v>79.965927124000004</v>
      </c>
      <c r="E1348">
        <v>40</v>
      </c>
      <c r="F1348">
        <v>39.217411040999998</v>
      </c>
      <c r="G1348">
        <v>1337.7993164</v>
      </c>
      <c r="H1348">
        <v>1335.7264404</v>
      </c>
      <c r="I1348">
        <v>1327.2308350000001</v>
      </c>
      <c r="J1348">
        <v>1325.7687988</v>
      </c>
      <c r="K1348">
        <v>1650</v>
      </c>
      <c r="L1348">
        <v>0</v>
      </c>
      <c r="M1348">
        <v>0</v>
      </c>
      <c r="N1348">
        <v>1650</v>
      </c>
    </row>
    <row r="1349" spans="1:14" x14ac:dyDescent="0.25">
      <c r="A1349">
        <v>749.53026399999999</v>
      </c>
      <c r="B1349" s="1">
        <f>DATE(2012,5,19) + TIME(12,43,34)</f>
        <v>41048.53025462963</v>
      </c>
      <c r="C1349">
        <v>80</v>
      </c>
      <c r="D1349">
        <v>79.965858459000003</v>
      </c>
      <c r="E1349">
        <v>40</v>
      </c>
      <c r="F1349">
        <v>39.202568053999997</v>
      </c>
      <c r="G1349">
        <v>1337.7935791</v>
      </c>
      <c r="H1349">
        <v>1335.7254639</v>
      </c>
      <c r="I1349">
        <v>1327.229126</v>
      </c>
      <c r="J1349">
        <v>1325.7662353999999</v>
      </c>
      <c r="K1349">
        <v>1650</v>
      </c>
      <c r="L1349">
        <v>0</v>
      </c>
      <c r="M1349">
        <v>0</v>
      </c>
      <c r="N1349">
        <v>1650</v>
      </c>
    </row>
    <row r="1350" spans="1:14" x14ac:dyDescent="0.25">
      <c r="A1350">
        <v>750.00153799999998</v>
      </c>
      <c r="B1350" s="1">
        <f>DATE(2012,5,20) + TIME(0,2,12)</f>
        <v>41049.001527777778</v>
      </c>
      <c r="C1350">
        <v>80</v>
      </c>
      <c r="D1350">
        <v>79.965782165999997</v>
      </c>
      <c r="E1350">
        <v>40</v>
      </c>
      <c r="F1350">
        <v>39.187492370999998</v>
      </c>
      <c r="G1350">
        <v>1337.7878418</v>
      </c>
      <c r="H1350">
        <v>1335.7246094</v>
      </c>
      <c r="I1350">
        <v>1327.2274170000001</v>
      </c>
      <c r="J1350">
        <v>1325.7636719</v>
      </c>
      <c r="K1350">
        <v>1650</v>
      </c>
      <c r="L1350">
        <v>0</v>
      </c>
      <c r="M1350">
        <v>0</v>
      </c>
      <c r="N1350">
        <v>1650</v>
      </c>
    </row>
    <row r="1351" spans="1:14" x14ac:dyDescent="0.25">
      <c r="A1351">
        <v>750.48790899999995</v>
      </c>
      <c r="B1351" s="1">
        <f>DATE(2012,5,20) + TIME(11,42,35)</f>
        <v>41049.487905092596</v>
      </c>
      <c r="C1351">
        <v>80</v>
      </c>
      <c r="D1351">
        <v>79.965713500999996</v>
      </c>
      <c r="E1351">
        <v>40</v>
      </c>
      <c r="F1351">
        <v>39.172107697000001</v>
      </c>
      <c r="G1351">
        <v>1337.7822266000001</v>
      </c>
      <c r="H1351">
        <v>1335.7237548999999</v>
      </c>
      <c r="I1351">
        <v>1327.2255858999999</v>
      </c>
      <c r="J1351">
        <v>1325.7608643000001</v>
      </c>
      <c r="K1351">
        <v>1650</v>
      </c>
      <c r="L1351">
        <v>0</v>
      </c>
      <c r="M1351">
        <v>0</v>
      </c>
      <c r="N1351">
        <v>1650</v>
      </c>
    </row>
    <row r="1352" spans="1:14" x14ac:dyDescent="0.25">
      <c r="A1352">
        <v>750.99564299999997</v>
      </c>
      <c r="B1352" s="1">
        <f>DATE(2012,5,20) + TIME(23,53,43)</f>
        <v>41049.995636574073</v>
      </c>
      <c r="C1352">
        <v>80</v>
      </c>
      <c r="D1352">
        <v>79.965644835999996</v>
      </c>
      <c r="E1352">
        <v>40</v>
      </c>
      <c r="F1352">
        <v>39.156269072999997</v>
      </c>
      <c r="G1352">
        <v>1337.7764893000001</v>
      </c>
      <c r="H1352">
        <v>1335.7227783000001</v>
      </c>
      <c r="I1352">
        <v>1327.2237548999999</v>
      </c>
      <c r="J1352">
        <v>1325.7579346</v>
      </c>
      <c r="K1352">
        <v>1650</v>
      </c>
      <c r="L1352">
        <v>0</v>
      </c>
      <c r="M1352">
        <v>0</v>
      </c>
      <c r="N1352">
        <v>1650</v>
      </c>
    </row>
    <row r="1353" spans="1:14" x14ac:dyDescent="0.25">
      <c r="A1353">
        <v>751.50987599999996</v>
      </c>
      <c r="B1353" s="1">
        <f>DATE(2012,5,21) + TIME(12,14,13)</f>
        <v>41050.509872685187</v>
      </c>
      <c r="C1353">
        <v>80</v>
      </c>
      <c r="D1353">
        <v>79.965576171999999</v>
      </c>
      <c r="E1353">
        <v>40</v>
      </c>
      <c r="F1353">
        <v>39.140300750999998</v>
      </c>
      <c r="G1353">
        <v>1337.7707519999999</v>
      </c>
      <c r="H1353">
        <v>1335.7219238</v>
      </c>
      <c r="I1353">
        <v>1327.2218018000001</v>
      </c>
      <c r="J1353">
        <v>1325.7548827999999</v>
      </c>
      <c r="K1353">
        <v>1650</v>
      </c>
      <c r="L1353">
        <v>0</v>
      </c>
      <c r="M1353">
        <v>0</v>
      </c>
      <c r="N1353">
        <v>1650</v>
      </c>
    </row>
    <row r="1354" spans="1:14" x14ac:dyDescent="0.25">
      <c r="A1354">
        <v>752.03095599999995</v>
      </c>
      <c r="B1354" s="1">
        <f>DATE(2012,5,22) + TIME(0,44,34)</f>
        <v>41051.030949074076</v>
      </c>
      <c r="C1354">
        <v>80</v>
      </c>
      <c r="D1354">
        <v>79.965507506999998</v>
      </c>
      <c r="E1354">
        <v>40</v>
      </c>
      <c r="F1354">
        <v>39.124217987000002</v>
      </c>
      <c r="G1354">
        <v>1337.7650146000001</v>
      </c>
      <c r="H1354">
        <v>1335.7210693</v>
      </c>
      <c r="I1354">
        <v>1327.2197266000001</v>
      </c>
      <c r="J1354">
        <v>1325.7518310999999</v>
      </c>
      <c r="K1354">
        <v>1650</v>
      </c>
      <c r="L1354">
        <v>0</v>
      </c>
      <c r="M1354">
        <v>0</v>
      </c>
      <c r="N1354">
        <v>1650</v>
      </c>
    </row>
    <row r="1355" spans="1:14" x14ac:dyDescent="0.25">
      <c r="A1355">
        <v>752.56030299999998</v>
      </c>
      <c r="B1355" s="1">
        <f>DATE(2012,5,22) + TIME(13,26,50)</f>
        <v>41051.560300925928</v>
      </c>
      <c r="C1355">
        <v>80</v>
      </c>
      <c r="D1355">
        <v>79.965438843000001</v>
      </c>
      <c r="E1355">
        <v>40</v>
      </c>
      <c r="F1355">
        <v>39.108009338000002</v>
      </c>
      <c r="G1355">
        <v>1337.7593993999999</v>
      </c>
      <c r="H1355">
        <v>1335.7202147999999</v>
      </c>
      <c r="I1355">
        <v>1327.2176514</v>
      </c>
      <c r="J1355">
        <v>1325.7485352000001</v>
      </c>
      <c r="K1355">
        <v>1650</v>
      </c>
      <c r="L1355">
        <v>0</v>
      </c>
      <c r="M1355">
        <v>0</v>
      </c>
      <c r="N1355">
        <v>1650</v>
      </c>
    </row>
    <row r="1356" spans="1:14" x14ac:dyDescent="0.25">
      <c r="A1356">
        <v>753.09938699999998</v>
      </c>
      <c r="B1356" s="1">
        <f>DATE(2012,5,23) + TIME(2,23,7)</f>
        <v>41052.099386574075</v>
      </c>
      <c r="C1356">
        <v>80</v>
      </c>
      <c r="D1356">
        <v>79.965370178000001</v>
      </c>
      <c r="E1356">
        <v>40</v>
      </c>
      <c r="F1356">
        <v>39.091648102000001</v>
      </c>
      <c r="G1356">
        <v>1337.7537841999999</v>
      </c>
      <c r="H1356">
        <v>1335.7193603999999</v>
      </c>
      <c r="I1356">
        <v>1327.2155762</v>
      </c>
      <c r="J1356">
        <v>1325.7452393000001</v>
      </c>
      <c r="K1356">
        <v>1650</v>
      </c>
      <c r="L1356">
        <v>0</v>
      </c>
      <c r="M1356">
        <v>0</v>
      </c>
      <c r="N1356">
        <v>1650</v>
      </c>
    </row>
    <row r="1357" spans="1:14" x14ac:dyDescent="0.25">
      <c r="A1357">
        <v>753.65004299999998</v>
      </c>
      <c r="B1357" s="1">
        <f>DATE(2012,5,23) + TIME(15,36,3)</f>
        <v>41052.650034722225</v>
      </c>
      <c r="C1357">
        <v>80</v>
      </c>
      <c r="D1357">
        <v>79.965301514000004</v>
      </c>
      <c r="E1357">
        <v>40</v>
      </c>
      <c r="F1357">
        <v>39.075107574</v>
      </c>
      <c r="G1357">
        <v>1337.7482910000001</v>
      </c>
      <c r="H1357">
        <v>1335.7186279</v>
      </c>
      <c r="I1357">
        <v>1327.2132568</v>
      </c>
      <c r="J1357">
        <v>1325.7418213000001</v>
      </c>
      <c r="K1357">
        <v>1650</v>
      </c>
      <c r="L1357">
        <v>0</v>
      </c>
      <c r="M1357">
        <v>0</v>
      </c>
      <c r="N1357">
        <v>1650</v>
      </c>
    </row>
    <row r="1358" spans="1:14" x14ac:dyDescent="0.25">
      <c r="A1358">
        <v>754.21423000000004</v>
      </c>
      <c r="B1358" s="1">
        <f>DATE(2012,5,24) + TIME(5,8,29)</f>
        <v>41053.214224537034</v>
      </c>
      <c r="C1358">
        <v>80</v>
      </c>
      <c r="D1358">
        <v>79.965240479000002</v>
      </c>
      <c r="E1358">
        <v>40</v>
      </c>
      <c r="F1358">
        <v>39.058345795000001</v>
      </c>
      <c r="G1358">
        <v>1337.7427978999999</v>
      </c>
      <c r="H1358">
        <v>1335.7177733999999</v>
      </c>
      <c r="I1358">
        <v>1327.2110596</v>
      </c>
      <c r="J1358">
        <v>1325.7382812000001</v>
      </c>
      <c r="K1358">
        <v>1650</v>
      </c>
      <c r="L1358">
        <v>0</v>
      </c>
      <c r="M1358">
        <v>0</v>
      </c>
      <c r="N1358">
        <v>1650</v>
      </c>
    </row>
    <row r="1359" spans="1:14" x14ac:dyDescent="0.25">
      <c r="A1359">
        <v>754.79411100000004</v>
      </c>
      <c r="B1359" s="1">
        <f>DATE(2012,5,24) + TIME(19,3,31)</f>
        <v>41053.794108796297</v>
      </c>
      <c r="C1359">
        <v>80</v>
      </c>
      <c r="D1359">
        <v>79.965171814000001</v>
      </c>
      <c r="E1359">
        <v>40</v>
      </c>
      <c r="F1359">
        <v>39.041324615000001</v>
      </c>
      <c r="G1359">
        <v>1337.7373047000001</v>
      </c>
      <c r="H1359">
        <v>1335.7169189000001</v>
      </c>
      <c r="I1359">
        <v>1327.2086182</v>
      </c>
      <c r="J1359">
        <v>1325.7346190999999</v>
      </c>
      <c r="K1359">
        <v>1650</v>
      </c>
      <c r="L1359">
        <v>0</v>
      </c>
      <c r="M1359">
        <v>0</v>
      </c>
      <c r="N1359">
        <v>1650</v>
      </c>
    </row>
    <row r="1360" spans="1:14" x14ac:dyDescent="0.25">
      <c r="A1360">
        <v>755.38955699999997</v>
      </c>
      <c r="B1360" s="1">
        <f>DATE(2012,5,25) + TIME(9,20,57)</f>
        <v>41054.389548611114</v>
      </c>
      <c r="C1360">
        <v>80</v>
      </c>
      <c r="D1360">
        <v>79.965103149000001</v>
      </c>
      <c r="E1360">
        <v>40</v>
      </c>
      <c r="F1360">
        <v>39.024040221999996</v>
      </c>
      <c r="G1360">
        <v>1337.7318115</v>
      </c>
      <c r="H1360">
        <v>1335.7161865</v>
      </c>
      <c r="I1360">
        <v>1327.2061768000001</v>
      </c>
      <c r="J1360">
        <v>1325.7307129000001</v>
      </c>
      <c r="K1360">
        <v>1650</v>
      </c>
      <c r="L1360">
        <v>0</v>
      </c>
      <c r="M1360">
        <v>0</v>
      </c>
      <c r="N1360">
        <v>1650</v>
      </c>
    </row>
    <row r="1361" spans="1:14" x14ac:dyDescent="0.25">
      <c r="A1361">
        <v>755.98866599999997</v>
      </c>
      <c r="B1361" s="1">
        <f>DATE(2012,5,25) + TIME(23,43,40)</f>
        <v>41054.988657407404</v>
      </c>
      <c r="C1361">
        <v>80</v>
      </c>
      <c r="D1361">
        <v>79.965034485000004</v>
      </c>
      <c r="E1361">
        <v>40</v>
      </c>
      <c r="F1361">
        <v>39.006740569999998</v>
      </c>
      <c r="G1361">
        <v>1337.7263184000001</v>
      </c>
      <c r="H1361">
        <v>1335.715332</v>
      </c>
      <c r="I1361">
        <v>1327.2036132999999</v>
      </c>
      <c r="J1361">
        <v>1325.7266846</v>
      </c>
      <c r="K1361">
        <v>1650</v>
      </c>
      <c r="L1361">
        <v>0</v>
      </c>
      <c r="M1361">
        <v>0</v>
      </c>
      <c r="N1361">
        <v>1650</v>
      </c>
    </row>
    <row r="1362" spans="1:14" x14ac:dyDescent="0.25">
      <c r="A1362">
        <v>756.59366599999998</v>
      </c>
      <c r="B1362" s="1">
        <f>DATE(2012,5,26) + TIME(14,14,52)</f>
        <v>41055.593657407408</v>
      </c>
      <c r="C1362">
        <v>80</v>
      </c>
      <c r="D1362">
        <v>79.964973450000002</v>
      </c>
      <c r="E1362">
        <v>40</v>
      </c>
      <c r="F1362">
        <v>38.989402771000002</v>
      </c>
      <c r="G1362">
        <v>1337.7209473</v>
      </c>
      <c r="H1362">
        <v>1335.7145995999999</v>
      </c>
      <c r="I1362">
        <v>1327.2010498</v>
      </c>
      <c r="J1362">
        <v>1325.7226562000001</v>
      </c>
      <c r="K1362">
        <v>1650</v>
      </c>
      <c r="L1362">
        <v>0</v>
      </c>
      <c r="M1362">
        <v>0</v>
      </c>
      <c r="N1362">
        <v>1650</v>
      </c>
    </row>
    <row r="1363" spans="1:14" x14ac:dyDescent="0.25">
      <c r="A1363">
        <v>757.20692499999996</v>
      </c>
      <c r="B1363" s="1">
        <f>DATE(2012,5,27) + TIME(4,57,58)</f>
        <v>41056.206921296296</v>
      </c>
      <c r="C1363">
        <v>80</v>
      </c>
      <c r="D1363">
        <v>79.964912415000001</v>
      </c>
      <c r="E1363">
        <v>40</v>
      </c>
      <c r="F1363">
        <v>38.972007751</v>
      </c>
      <c r="G1363">
        <v>1337.7156981999999</v>
      </c>
      <c r="H1363">
        <v>1335.7138672000001</v>
      </c>
      <c r="I1363">
        <v>1327.1983643000001</v>
      </c>
      <c r="J1363">
        <v>1325.7183838000001</v>
      </c>
      <c r="K1363">
        <v>1650</v>
      </c>
      <c r="L1363">
        <v>0</v>
      </c>
      <c r="M1363">
        <v>0</v>
      </c>
      <c r="N1363">
        <v>1650</v>
      </c>
    </row>
    <row r="1364" spans="1:14" x14ac:dyDescent="0.25">
      <c r="A1364">
        <v>757.83062600000005</v>
      </c>
      <c r="B1364" s="1">
        <f>DATE(2012,5,27) + TIME(19,56,6)</f>
        <v>41056.830625000002</v>
      </c>
      <c r="C1364">
        <v>80</v>
      </c>
      <c r="D1364">
        <v>79.96484375</v>
      </c>
      <c r="E1364">
        <v>40</v>
      </c>
      <c r="F1364">
        <v>38.954517365000001</v>
      </c>
      <c r="G1364">
        <v>1337.7104492000001</v>
      </c>
      <c r="H1364">
        <v>1335.7131348</v>
      </c>
      <c r="I1364">
        <v>1327.1955565999999</v>
      </c>
      <c r="J1364">
        <v>1325.7141113</v>
      </c>
      <c r="K1364">
        <v>1650</v>
      </c>
      <c r="L1364">
        <v>0</v>
      </c>
      <c r="M1364">
        <v>0</v>
      </c>
      <c r="N1364">
        <v>1650</v>
      </c>
    </row>
    <row r="1365" spans="1:14" x14ac:dyDescent="0.25">
      <c r="A1365">
        <v>758.467355</v>
      </c>
      <c r="B1365" s="1">
        <f>DATE(2012,5,28) + TIME(11,12,59)</f>
        <v>41057.467349537037</v>
      </c>
      <c r="C1365">
        <v>80</v>
      </c>
      <c r="D1365">
        <v>79.964782714999998</v>
      </c>
      <c r="E1365">
        <v>40</v>
      </c>
      <c r="F1365">
        <v>38.936889647999998</v>
      </c>
      <c r="G1365">
        <v>1337.7052002</v>
      </c>
      <c r="H1365">
        <v>1335.7122803</v>
      </c>
      <c r="I1365">
        <v>1327.192749</v>
      </c>
      <c r="J1365">
        <v>1325.7097168</v>
      </c>
      <c r="K1365">
        <v>1650</v>
      </c>
      <c r="L1365">
        <v>0</v>
      </c>
      <c r="M1365">
        <v>0</v>
      </c>
      <c r="N1365">
        <v>1650</v>
      </c>
    </row>
    <row r="1366" spans="1:14" x14ac:dyDescent="0.25">
      <c r="A1366">
        <v>759.119957</v>
      </c>
      <c r="B1366" s="1">
        <f>DATE(2012,5,29) + TIME(2,52,44)</f>
        <v>41058.119953703703</v>
      </c>
      <c r="C1366">
        <v>80</v>
      </c>
      <c r="D1366">
        <v>79.964721679999997</v>
      </c>
      <c r="E1366">
        <v>40</v>
      </c>
      <c r="F1366">
        <v>38.919071197999997</v>
      </c>
      <c r="G1366">
        <v>1337.7000731999999</v>
      </c>
      <c r="H1366">
        <v>1335.7115478999999</v>
      </c>
      <c r="I1366">
        <v>1327.1898193</v>
      </c>
      <c r="J1366">
        <v>1325.7050781</v>
      </c>
      <c r="K1366">
        <v>1650</v>
      </c>
      <c r="L1366">
        <v>0</v>
      </c>
      <c r="M1366">
        <v>0</v>
      </c>
      <c r="N1366">
        <v>1650</v>
      </c>
    </row>
    <row r="1367" spans="1:14" x14ac:dyDescent="0.25">
      <c r="A1367">
        <v>759.79222300000004</v>
      </c>
      <c r="B1367" s="1">
        <f>DATE(2012,5,29) + TIME(19,0,48)</f>
        <v>41058.792222222219</v>
      </c>
      <c r="C1367">
        <v>80</v>
      </c>
      <c r="D1367">
        <v>79.964660644999995</v>
      </c>
      <c r="E1367">
        <v>40</v>
      </c>
      <c r="F1367">
        <v>38.900989531999997</v>
      </c>
      <c r="G1367">
        <v>1337.6949463000001</v>
      </c>
      <c r="H1367">
        <v>1335.7108154</v>
      </c>
      <c r="I1367">
        <v>1327.1868896000001</v>
      </c>
      <c r="J1367">
        <v>1325.7003173999999</v>
      </c>
      <c r="K1367">
        <v>1650</v>
      </c>
      <c r="L1367">
        <v>0</v>
      </c>
      <c r="M1367">
        <v>0</v>
      </c>
      <c r="N1367">
        <v>1650</v>
      </c>
    </row>
    <row r="1368" spans="1:14" x14ac:dyDescent="0.25">
      <c r="A1368">
        <v>760.49592299999995</v>
      </c>
      <c r="B1368" s="1">
        <f>DATE(2012,5,30) + TIME(11,54,7)</f>
        <v>41059.49591435185</v>
      </c>
      <c r="C1368">
        <v>80</v>
      </c>
      <c r="D1368">
        <v>79.964599609000004</v>
      </c>
      <c r="E1368">
        <v>40</v>
      </c>
      <c r="F1368">
        <v>38.882438659999998</v>
      </c>
      <c r="G1368">
        <v>1337.6896973</v>
      </c>
      <c r="H1368">
        <v>1335.7099608999999</v>
      </c>
      <c r="I1368">
        <v>1327.1837158000001</v>
      </c>
      <c r="J1368">
        <v>1325.6953125</v>
      </c>
      <c r="K1368">
        <v>1650</v>
      </c>
      <c r="L1368">
        <v>0</v>
      </c>
      <c r="M1368">
        <v>0</v>
      </c>
      <c r="N1368">
        <v>1650</v>
      </c>
    </row>
    <row r="1369" spans="1:14" x14ac:dyDescent="0.25">
      <c r="A1369">
        <v>761.23654799999997</v>
      </c>
      <c r="B1369" s="1">
        <f>DATE(2012,5,31) + TIME(5,40,37)</f>
        <v>41060.236539351848</v>
      </c>
      <c r="C1369">
        <v>80</v>
      </c>
      <c r="D1369">
        <v>79.964538574000002</v>
      </c>
      <c r="E1369">
        <v>40</v>
      </c>
      <c r="F1369">
        <v>38.863304137999997</v>
      </c>
      <c r="G1369">
        <v>1337.6843262</v>
      </c>
      <c r="H1369">
        <v>1335.7091064000001</v>
      </c>
      <c r="I1369">
        <v>1327.1804199000001</v>
      </c>
      <c r="J1369">
        <v>1325.6900635</v>
      </c>
      <c r="K1369">
        <v>1650</v>
      </c>
      <c r="L1369">
        <v>0</v>
      </c>
      <c r="M1369">
        <v>0</v>
      </c>
      <c r="N1369">
        <v>1650</v>
      </c>
    </row>
    <row r="1370" spans="1:14" x14ac:dyDescent="0.25">
      <c r="A1370">
        <v>762</v>
      </c>
      <c r="B1370" s="1">
        <f>DATE(2012,6,1) + TIME(0,0,0)</f>
        <v>41061</v>
      </c>
      <c r="C1370">
        <v>80</v>
      </c>
      <c r="D1370">
        <v>79.964477539000001</v>
      </c>
      <c r="E1370">
        <v>40</v>
      </c>
      <c r="F1370">
        <v>38.843791961999997</v>
      </c>
      <c r="G1370">
        <v>1337.6788329999999</v>
      </c>
      <c r="H1370">
        <v>1335.7082519999999</v>
      </c>
      <c r="I1370">
        <v>1327.1770019999999</v>
      </c>
      <c r="J1370">
        <v>1325.6845702999999</v>
      </c>
      <c r="K1370">
        <v>1650</v>
      </c>
      <c r="L1370">
        <v>0</v>
      </c>
      <c r="M1370">
        <v>0</v>
      </c>
      <c r="N1370">
        <v>1650</v>
      </c>
    </row>
    <row r="1371" spans="1:14" x14ac:dyDescent="0.25">
      <c r="A1371">
        <v>762.75550799999996</v>
      </c>
      <c r="B1371" s="1">
        <f>DATE(2012,6,1) + TIME(18,7,55)</f>
        <v>41061.755497685182</v>
      </c>
      <c r="C1371">
        <v>80</v>
      </c>
      <c r="D1371">
        <v>79.964416503999999</v>
      </c>
      <c r="E1371">
        <v>40</v>
      </c>
      <c r="F1371">
        <v>38.824428558000001</v>
      </c>
      <c r="G1371">
        <v>1337.6733397999999</v>
      </c>
      <c r="H1371">
        <v>1335.7073975000001</v>
      </c>
      <c r="I1371">
        <v>1327.1733397999999</v>
      </c>
      <c r="J1371">
        <v>1325.6787108999999</v>
      </c>
      <c r="K1371">
        <v>1650</v>
      </c>
      <c r="L1371">
        <v>0</v>
      </c>
      <c r="M1371">
        <v>0</v>
      </c>
      <c r="N1371">
        <v>1650</v>
      </c>
    </row>
    <row r="1372" spans="1:14" x14ac:dyDescent="0.25">
      <c r="A1372">
        <v>763.53562699999998</v>
      </c>
      <c r="B1372" s="1">
        <f>DATE(2012,6,2) + TIME(12,51,18)</f>
        <v>41062.535624999997</v>
      </c>
      <c r="C1372">
        <v>80</v>
      </c>
      <c r="D1372">
        <v>79.964355468999997</v>
      </c>
      <c r="E1372">
        <v>40</v>
      </c>
      <c r="F1372">
        <v>38.804821013999998</v>
      </c>
      <c r="G1372">
        <v>1337.6680908000001</v>
      </c>
      <c r="H1372">
        <v>1335.7066649999999</v>
      </c>
      <c r="I1372">
        <v>1327.1696777</v>
      </c>
      <c r="J1372">
        <v>1325.6728516000001</v>
      </c>
      <c r="K1372">
        <v>1650</v>
      </c>
      <c r="L1372">
        <v>0</v>
      </c>
      <c r="M1372">
        <v>0</v>
      </c>
      <c r="N1372">
        <v>1650</v>
      </c>
    </row>
    <row r="1373" spans="1:14" x14ac:dyDescent="0.25">
      <c r="A1373">
        <v>764.32257600000003</v>
      </c>
      <c r="B1373" s="1">
        <f>DATE(2012,6,3) + TIME(7,44,30)</f>
        <v>41063.322569444441</v>
      </c>
      <c r="C1373">
        <v>80</v>
      </c>
      <c r="D1373">
        <v>79.964294433999996</v>
      </c>
      <c r="E1373">
        <v>40</v>
      </c>
      <c r="F1373">
        <v>38.785228729000004</v>
      </c>
      <c r="G1373">
        <v>1337.6627197</v>
      </c>
      <c r="H1373">
        <v>1335.7058105000001</v>
      </c>
      <c r="I1373">
        <v>1327.1658935999999</v>
      </c>
      <c r="J1373">
        <v>1325.6667480000001</v>
      </c>
      <c r="K1373">
        <v>1650</v>
      </c>
      <c r="L1373">
        <v>0</v>
      </c>
      <c r="M1373">
        <v>0</v>
      </c>
      <c r="N1373">
        <v>1650</v>
      </c>
    </row>
    <row r="1374" spans="1:14" x14ac:dyDescent="0.25">
      <c r="A1374">
        <v>765.12084100000004</v>
      </c>
      <c r="B1374" s="1">
        <f>DATE(2012,6,4) + TIME(2,54,0)</f>
        <v>41064.120833333334</v>
      </c>
      <c r="C1374">
        <v>80</v>
      </c>
      <c r="D1374">
        <v>79.964233398000005</v>
      </c>
      <c r="E1374">
        <v>40</v>
      </c>
      <c r="F1374">
        <v>38.765636444000002</v>
      </c>
      <c r="G1374">
        <v>1337.6575928</v>
      </c>
      <c r="H1374">
        <v>1335.7049560999999</v>
      </c>
      <c r="I1374">
        <v>1327.1619873</v>
      </c>
      <c r="J1374">
        <v>1325.6605225000001</v>
      </c>
      <c r="K1374">
        <v>1650</v>
      </c>
      <c r="L1374">
        <v>0</v>
      </c>
      <c r="M1374">
        <v>0</v>
      </c>
      <c r="N1374">
        <v>1650</v>
      </c>
    </row>
    <row r="1375" spans="1:14" x14ac:dyDescent="0.25">
      <c r="A1375">
        <v>765.935113</v>
      </c>
      <c r="B1375" s="1">
        <f>DATE(2012,6,4) + TIME(22,26,33)</f>
        <v>41064.935104166667</v>
      </c>
      <c r="C1375">
        <v>80</v>
      </c>
      <c r="D1375">
        <v>79.964179993000002</v>
      </c>
      <c r="E1375">
        <v>40</v>
      </c>
      <c r="F1375">
        <v>38.745998383</v>
      </c>
      <c r="G1375">
        <v>1337.6523437999999</v>
      </c>
      <c r="H1375">
        <v>1335.7041016000001</v>
      </c>
      <c r="I1375">
        <v>1327.1580810999999</v>
      </c>
      <c r="J1375">
        <v>1325.6541748</v>
      </c>
      <c r="K1375">
        <v>1650</v>
      </c>
      <c r="L1375">
        <v>0</v>
      </c>
      <c r="M1375">
        <v>0</v>
      </c>
      <c r="N1375">
        <v>1650</v>
      </c>
    </row>
    <row r="1376" spans="1:14" x14ac:dyDescent="0.25">
      <c r="A1376">
        <v>766.77000699999996</v>
      </c>
      <c r="B1376" s="1">
        <f>DATE(2012,6,5) + TIME(18,28,48)</f>
        <v>41065.769999999997</v>
      </c>
      <c r="C1376">
        <v>80</v>
      </c>
      <c r="D1376">
        <v>79.964118958</v>
      </c>
      <c r="E1376">
        <v>40</v>
      </c>
      <c r="F1376">
        <v>38.726257324000002</v>
      </c>
      <c r="G1376">
        <v>1337.6472168</v>
      </c>
      <c r="H1376">
        <v>1335.7032471</v>
      </c>
      <c r="I1376">
        <v>1327.1539307</v>
      </c>
      <c r="J1376">
        <v>1325.6474608999999</v>
      </c>
      <c r="K1376">
        <v>1650</v>
      </c>
      <c r="L1376">
        <v>0</v>
      </c>
      <c r="M1376">
        <v>0</v>
      </c>
      <c r="N1376">
        <v>1650</v>
      </c>
    </row>
    <row r="1377" spans="1:14" x14ac:dyDescent="0.25">
      <c r="A1377">
        <v>767.62771799999996</v>
      </c>
      <c r="B1377" s="1">
        <f>DATE(2012,6,6) + TIME(15,3,54)</f>
        <v>41066.627708333333</v>
      </c>
      <c r="C1377">
        <v>80</v>
      </c>
      <c r="D1377">
        <v>79.964065551999994</v>
      </c>
      <c r="E1377">
        <v>40</v>
      </c>
      <c r="F1377">
        <v>38.706390380999999</v>
      </c>
      <c r="G1377">
        <v>1337.6420897999999</v>
      </c>
      <c r="H1377">
        <v>1335.7022704999999</v>
      </c>
      <c r="I1377">
        <v>1327.1497803</v>
      </c>
      <c r="J1377">
        <v>1325.640625</v>
      </c>
      <c r="K1377">
        <v>1650</v>
      </c>
      <c r="L1377">
        <v>0</v>
      </c>
      <c r="M1377">
        <v>0</v>
      </c>
      <c r="N1377">
        <v>1650</v>
      </c>
    </row>
    <row r="1378" spans="1:14" x14ac:dyDescent="0.25">
      <c r="A1378">
        <v>768.49752899999999</v>
      </c>
      <c r="B1378" s="1">
        <f>DATE(2012,6,7) + TIME(11,56,26)</f>
        <v>41067.497523148151</v>
      </c>
      <c r="C1378">
        <v>80</v>
      </c>
      <c r="D1378">
        <v>79.964012146000002</v>
      </c>
      <c r="E1378">
        <v>40</v>
      </c>
      <c r="F1378">
        <v>38.686553955000001</v>
      </c>
      <c r="G1378">
        <v>1337.6369629000001</v>
      </c>
      <c r="H1378">
        <v>1335.7014160000001</v>
      </c>
      <c r="I1378">
        <v>1327.1453856999999</v>
      </c>
      <c r="J1378">
        <v>1325.6335449000001</v>
      </c>
      <c r="K1378">
        <v>1650</v>
      </c>
      <c r="L1378">
        <v>0</v>
      </c>
      <c r="M1378">
        <v>0</v>
      </c>
      <c r="N1378">
        <v>1650</v>
      </c>
    </row>
    <row r="1379" spans="1:14" x14ac:dyDescent="0.25">
      <c r="A1379">
        <v>769.38243</v>
      </c>
      <c r="B1379" s="1">
        <f>DATE(2012,6,8) + TIME(9,10,41)</f>
        <v>41068.382418981484</v>
      </c>
      <c r="C1379">
        <v>80</v>
      </c>
      <c r="D1379">
        <v>79.963958739999995</v>
      </c>
      <c r="E1379">
        <v>40</v>
      </c>
      <c r="F1379">
        <v>38.666759491000001</v>
      </c>
      <c r="G1379">
        <v>1337.6318358999999</v>
      </c>
      <c r="H1379">
        <v>1335.7005615</v>
      </c>
      <c r="I1379">
        <v>1327.1409911999999</v>
      </c>
      <c r="J1379">
        <v>1325.6263428</v>
      </c>
      <c r="K1379">
        <v>1650</v>
      </c>
      <c r="L1379">
        <v>0</v>
      </c>
      <c r="M1379">
        <v>0</v>
      </c>
      <c r="N1379">
        <v>1650</v>
      </c>
    </row>
    <row r="1380" spans="1:14" x14ac:dyDescent="0.25">
      <c r="A1380">
        <v>770.28636600000004</v>
      </c>
      <c r="B1380" s="1">
        <f>DATE(2012,6,9) + TIME(6,52,22)</f>
        <v>41069.286365740743</v>
      </c>
      <c r="C1380">
        <v>80</v>
      </c>
      <c r="D1380">
        <v>79.963905334000003</v>
      </c>
      <c r="E1380">
        <v>40</v>
      </c>
      <c r="F1380">
        <v>38.646991730000003</v>
      </c>
      <c r="G1380">
        <v>1337.6268310999999</v>
      </c>
      <c r="H1380">
        <v>1335.699707</v>
      </c>
      <c r="I1380">
        <v>1327.1364745999999</v>
      </c>
      <c r="J1380">
        <v>1325.6188964999999</v>
      </c>
      <c r="K1380">
        <v>1650</v>
      </c>
      <c r="L1380">
        <v>0</v>
      </c>
      <c r="M1380">
        <v>0</v>
      </c>
      <c r="N1380">
        <v>1650</v>
      </c>
    </row>
    <row r="1381" spans="1:14" x14ac:dyDescent="0.25">
      <c r="A1381">
        <v>771.21380099999999</v>
      </c>
      <c r="B1381" s="1">
        <f>DATE(2012,6,10) + TIME(5,7,52)</f>
        <v>41070.213796296295</v>
      </c>
      <c r="C1381">
        <v>80</v>
      </c>
      <c r="D1381">
        <v>79.963851929</v>
      </c>
      <c r="E1381">
        <v>40</v>
      </c>
      <c r="F1381">
        <v>38.627223968999999</v>
      </c>
      <c r="G1381">
        <v>1337.6217041</v>
      </c>
      <c r="H1381">
        <v>1335.6987305</v>
      </c>
      <c r="I1381">
        <v>1327.1317139</v>
      </c>
      <c r="J1381">
        <v>1325.6112060999999</v>
      </c>
      <c r="K1381">
        <v>1650</v>
      </c>
      <c r="L1381">
        <v>0</v>
      </c>
      <c r="M1381">
        <v>0</v>
      </c>
      <c r="N1381">
        <v>1650</v>
      </c>
    </row>
    <row r="1382" spans="1:14" x14ac:dyDescent="0.25">
      <c r="A1382">
        <v>772.18167400000004</v>
      </c>
      <c r="B1382" s="1">
        <f>DATE(2012,6,11) + TIME(4,21,36)</f>
        <v>41071.181666666664</v>
      </c>
      <c r="C1382">
        <v>80</v>
      </c>
      <c r="D1382">
        <v>79.963806152000004</v>
      </c>
      <c r="E1382">
        <v>40</v>
      </c>
      <c r="F1382">
        <v>38.607280731000003</v>
      </c>
      <c r="G1382">
        <v>1337.6166992000001</v>
      </c>
      <c r="H1382">
        <v>1335.697876</v>
      </c>
      <c r="I1382">
        <v>1327.1269531</v>
      </c>
      <c r="J1382">
        <v>1325.6031493999999</v>
      </c>
      <c r="K1382">
        <v>1650</v>
      </c>
      <c r="L1382">
        <v>0</v>
      </c>
      <c r="M1382">
        <v>0</v>
      </c>
      <c r="N1382">
        <v>1650</v>
      </c>
    </row>
    <row r="1383" spans="1:14" x14ac:dyDescent="0.25">
      <c r="A1383">
        <v>773.17275099999995</v>
      </c>
      <c r="B1383" s="1">
        <f>DATE(2012,6,12) + TIME(4,8,45)</f>
        <v>41072.172743055555</v>
      </c>
      <c r="C1383">
        <v>80</v>
      </c>
      <c r="D1383">
        <v>79.963752747000001</v>
      </c>
      <c r="E1383">
        <v>40</v>
      </c>
      <c r="F1383">
        <v>38.587352752999998</v>
      </c>
      <c r="G1383">
        <v>1337.6115723</v>
      </c>
      <c r="H1383">
        <v>1335.6968993999999</v>
      </c>
      <c r="I1383">
        <v>1327.1219481999999</v>
      </c>
      <c r="J1383">
        <v>1325.5948486</v>
      </c>
      <c r="K1383">
        <v>1650</v>
      </c>
      <c r="L1383">
        <v>0</v>
      </c>
      <c r="M1383">
        <v>0</v>
      </c>
      <c r="N1383">
        <v>1650</v>
      </c>
    </row>
    <row r="1384" spans="1:14" x14ac:dyDescent="0.25">
      <c r="A1384">
        <v>774.17617900000005</v>
      </c>
      <c r="B1384" s="1">
        <f>DATE(2012,6,13) + TIME(4,13,41)</f>
        <v>41073.176168981481</v>
      </c>
      <c r="C1384">
        <v>80</v>
      </c>
      <c r="D1384">
        <v>79.963706970000004</v>
      </c>
      <c r="E1384">
        <v>40</v>
      </c>
      <c r="F1384">
        <v>38.567646027000002</v>
      </c>
      <c r="G1384">
        <v>1337.6064452999999</v>
      </c>
      <c r="H1384">
        <v>1335.6959228999999</v>
      </c>
      <c r="I1384">
        <v>1327.1168213000001</v>
      </c>
      <c r="J1384">
        <v>1325.5861815999999</v>
      </c>
      <c r="K1384">
        <v>1650</v>
      </c>
      <c r="L1384">
        <v>0</v>
      </c>
      <c r="M1384">
        <v>0</v>
      </c>
      <c r="N1384">
        <v>1650</v>
      </c>
    </row>
    <row r="1385" spans="1:14" x14ac:dyDescent="0.25">
      <c r="A1385">
        <v>775.19401300000004</v>
      </c>
      <c r="B1385" s="1">
        <f>DATE(2012,6,14) + TIME(4,39,22)</f>
        <v>41074.194004629629</v>
      </c>
      <c r="C1385">
        <v>80</v>
      </c>
      <c r="D1385">
        <v>79.963653563999998</v>
      </c>
      <c r="E1385">
        <v>40</v>
      </c>
      <c r="F1385">
        <v>38.548244476000001</v>
      </c>
      <c r="G1385">
        <v>1337.6014404</v>
      </c>
      <c r="H1385">
        <v>1335.6949463000001</v>
      </c>
      <c r="I1385">
        <v>1327.1115723</v>
      </c>
      <c r="J1385">
        <v>1325.5773925999999</v>
      </c>
      <c r="K1385">
        <v>1650</v>
      </c>
      <c r="L1385">
        <v>0</v>
      </c>
      <c r="M1385">
        <v>0</v>
      </c>
      <c r="N1385">
        <v>1650</v>
      </c>
    </row>
    <row r="1386" spans="1:14" x14ac:dyDescent="0.25">
      <c r="A1386">
        <v>776.23307699999998</v>
      </c>
      <c r="B1386" s="1">
        <f>DATE(2012,6,15) + TIME(5,35,37)</f>
        <v>41075.233067129629</v>
      </c>
      <c r="C1386">
        <v>80</v>
      </c>
      <c r="D1386">
        <v>79.963607788000004</v>
      </c>
      <c r="E1386">
        <v>40</v>
      </c>
      <c r="F1386">
        <v>38.529163361000002</v>
      </c>
      <c r="G1386">
        <v>1337.5964355000001</v>
      </c>
      <c r="H1386">
        <v>1335.6939697</v>
      </c>
      <c r="I1386">
        <v>1327.1062012</v>
      </c>
      <c r="J1386">
        <v>1325.5683594</v>
      </c>
      <c r="K1386">
        <v>1650</v>
      </c>
      <c r="L1386">
        <v>0</v>
      </c>
      <c r="M1386">
        <v>0</v>
      </c>
      <c r="N1386">
        <v>1650</v>
      </c>
    </row>
    <row r="1387" spans="1:14" x14ac:dyDescent="0.25">
      <c r="A1387">
        <v>777.30046400000003</v>
      </c>
      <c r="B1387" s="1">
        <f>DATE(2012,6,16) + TIME(7,12,40)</f>
        <v>41076.300462962965</v>
      </c>
      <c r="C1387">
        <v>80</v>
      </c>
      <c r="D1387">
        <v>79.963562011999997</v>
      </c>
      <c r="E1387">
        <v>40</v>
      </c>
      <c r="F1387">
        <v>38.510398864999999</v>
      </c>
      <c r="G1387">
        <v>1337.5914307</v>
      </c>
      <c r="H1387">
        <v>1335.6928711</v>
      </c>
      <c r="I1387">
        <v>1327.1007079999999</v>
      </c>
      <c r="J1387">
        <v>1325.559082</v>
      </c>
      <c r="K1387">
        <v>1650</v>
      </c>
      <c r="L1387">
        <v>0</v>
      </c>
      <c r="M1387">
        <v>0</v>
      </c>
      <c r="N1387">
        <v>1650</v>
      </c>
    </row>
    <row r="1388" spans="1:14" x14ac:dyDescent="0.25">
      <c r="A1388">
        <v>778.40385900000001</v>
      </c>
      <c r="B1388" s="1">
        <f>DATE(2012,6,17) + TIME(9,41,33)</f>
        <v>41077.403854166667</v>
      </c>
      <c r="C1388">
        <v>80</v>
      </c>
      <c r="D1388">
        <v>79.963523864999999</v>
      </c>
      <c r="E1388">
        <v>40</v>
      </c>
      <c r="F1388">
        <v>38.491954802999999</v>
      </c>
      <c r="G1388">
        <v>1337.5865478999999</v>
      </c>
      <c r="H1388">
        <v>1335.6918945</v>
      </c>
      <c r="I1388">
        <v>1327.0950928</v>
      </c>
      <c r="J1388">
        <v>1325.5495605000001</v>
      </c>
      <c r="K1388">
        <v>1650</v>
      </c>
      <c r="L1388">
        <v>0</v>
      </c>
      <c r="M1388">
        <v>0</v>
      </c>
      <c r="N1388">
        <v>1650</v>
      </c>
    </row>
    <row r="1389" spans="1:14" x14ac:dyDescent="0.25">
      <c r="A1389">
        <v>779.54504899999995</v>
      </c>
      <c r="B1389" s="1">
        <f>DATE(2012,6,18) + TIME(13,4,52)</f>
        <v>41078.545046296298</v>
      </c>
      <c r="C1389">
        <v>80</v>
      </c>
      <c r="D1389">
        <v>79.963478088000002</v>
      </c>
      <c r="E1389">
        <v>40</v>
      </c>
      <c r="F1389">
        <v>38.473903655999997</v>
      </c>
      <c r="G1389">
        <v>1337.5814209</v>
      </c>
      <c r="H1389">
        <v>1335.6907959</v>
      </c>
      <c r="I1389">
        <v>1327.0892334</v>
      </c>
      <c r="J1389">
        <v>1325.5396728999999</v>
      </c>
      <c r="K1389">
        <v>1650</v>
      </c>
      <c r="L1389">
        <v>0</v>
      </c>
      <c r="M1389">
        <v>0</v>
      </c>
      <c r="N1389">
        <v>1650</v>
      </c>
    </row>
    <row r="1390" spans="1:14" x14ac:dyDescent="0.25">
      <c r="A1390">
        <v>780.726765</v>
      </c>
      <c r="B1390" s="1">
        <f>DATE(2012,6,19) + TIME(17,26,32)</f>
        <v>41079.726759259262</v>
      </c>
      <c r="C1390">
        <v>80</v>
      </c>
      <c r="D1390">
        <v>79.963432311999995</v>
      </c>
      <c r="E1390">
        <v>40</v>
      </c>
      <c r="F1390">
        <v>38.456348419000001</v>
      </c>
      <c r="G1390">
        <v>1337.5764160000001</v>
      </c>
      <c r="H1390">
        <v>1335.6896973</v>
      </c>
      <c r="I1390">
        <v>1327.0832519999999</v>
      </c>
      <c r="J1390">
        <v>1325.5292969</v>
      </c>
      <c r="K1390">
        <v>1650</v>
      </c>
      <c r="L1390">
        <v>0</v>
      </c>
      <c r="M1390">
        <v>0</v>
      </c>
      <c r="N1390">
        <v>1650</v>
      </c>
    </row>
    <row r="1391" spans="1:14" x14ac:dyDescent="0.25">
      <c r="A1391">
        <v>781.34456399999999</v>
      </c>
      <c r="B1391" s="1">
        <f>DATE(2012,6,20) + TIME(8,16,10)</f>
        <v>41080.344560185185</v>
      </c>
      <c r="C1391">
        <v>80</v>
      </c>
      <c r="D1391">
        <v>79.963394164999997</v>
      </c>
      <c r="E1391">
        <v>40</v>
      </c>
      <c r="F1391">
        <v>38.445079802999999</v>
      </c>
      <c r="G1391">
        <v>1337.5712891000001</v>
      </c>
      <c r="H1391">
        <v>1335.6885986</v>
      </c>
      <c r="I1391">
        <v>1327.0776367000001</v>
      </c>
      <c r="J1391">
        <v>1325.5196533000001</v>
      </c>
      <c r="K1391">
        <v>1650</v>
      </c>
      <c r="L1391">
        <v>0</v>
      </c>
      <c r="M1391">
        <v>0</v>
      </c>
      <c r="N1391">
        <v>1650</v>
      </c>
    </row>
    <row r="1392" spans="1:14" x14ac:dyDescent="0.25">
      <c r="A1392">
        <v>781.96236299999998</v>
      </c>
      <c r="B1392" s="1">
        <f>DATE(2012,6,20) + TIME(23,5,48)</f>
        <v>41080.962361111109</v>
      </c>
      <c r="C1392">
        <v>80</v>
      </c>
      <c r="D1392">
        <v>79.963363646999994</v>
      </c>
      <c r="E1392">
        <v>40</v>
      </c>
      <c r="F1392">
        <v>38.435073852999999</v>
      </c>
      <c r="G1392">
        <v>1337.5687256000001</v>
      </c>
      <c r="H1392">
        <v>1335.6879882999999</v>
      </c>
      <c r="I1392">
        <v>1327.0739745999999</v>
      </c>
      <c r="J1392">
        <v>1325.5131836</v>
      </c>
      <c r="K1392">
        <v>1650</v>
      </c>
      <c r="L1392">
        <v>0</v>
      </c>
      <c r="M1392">
        <v>0</v>
      </c>
      <c r="N1392">
        <v>1650</v>
      </c>
    </row>
    <row r="1393" spans="1:14" x14ac:dyDescent="0.25">
      <c r="A1393">
        <v>782.58016199999997</v>
      </c>
      <c r="B1393" s="1">
        <f>DATE(2012,6,21) + TIME(13,55,25)</f>
        <v>41081.580150462964</v>
      </c>
      <c r="C1393">
        <v>80</v>
      </c>
      <c r="D1393">
        <v>79.963340759000005</v>
      </c>
      <c r="E1393">
        <v>40</v>
      </c>
      <c r="F1393">
        <v>38.426052093999999</v>
      </c>
      <c r="G1393">
        <v>1337.5661620999999</v>
      </c>
      <c r="H1393">
        <v>1335.6875</v>
      </c>
      <c r="I1393">
        <v>1327.0703125</v>
      </c>
      <c r="J1393">
        <v>1325.5069579999999</v>
      </c>
      <c r="K1393">
        <v>1650</v>
      </c>
      <c r="L1393">
        <v>0</v>
      </c>
      <c r="M1393">
        <v>0</v>
      </c>
      <c r="N1393">
        <v>1650</v>
      </c>
    </row>
    <row r="1394" spans="1:14" x14ac:dyDescent="0.25">
      <c r="A1394">
        <v>783.19796099999996</v>
      </c>
      <c r="B1394" s="1">
        <f>DATE(2012,6,22) + TIME(4,45,3)</f>
        <v>41082.197951388887</v>
      </c>
      <c r="C1394">
        <v>80</v>
      </c>
      <c r="D1394">
        <v>79.963317871000001</v>
      </c>
      <c r="E1394">
        <v>40</v>
      </c>
      <c r="F1394">
        <v>38.417842864999997</v>
      </c>
      <c r="G1394">
        <v>1337.5637207</v>
      </c>
      <c r="H1394">
        <v>1335.6868896000001</v>
      </c>
      <c r="I1394">
        <v>1327.0668945</v>
      </c>
      <c r="J1394">
        <v>1325.5008545000001</v>
      </c>
      <c r="K1394">
        <v>1650</v>
      </c>
      <c r="L1394">
        <v>0</v>
      </c>
      <c r="M1394">
        <v>0</v>
      </c>
      <c r="N1394">
        <v>1650</v>
      </c>
    </row>
    <row r="1395" spans="1:14" x14ac:dyDescent="0.25">
      <c r="A1395">
        <v>783.81575999999995</v>
      </c>
      <c r="B1395" s="1">
        <f>DATE(2012,6,22) + TIME(19,34,41)</f>
        <v>41082.815752314818</v>
      </c>
      <c r="C1395">
        <v>80</v>
      </c>
      <c r="D1395">
        <v>79.963294982999997</v>
      </c>
      <c r="E1395">
        <v>40</v>
      </c>
      <c r="F1395">
        <v>38.410331726000003</v>
      </c>
      <c r="G1395">
        <v>1337.5611572</v>
      </c>
      <c r="H1395">
        <v>1335.6862793</v>
      </c>
      <c r="I1395">
        <v>1327.0635986</v>
      </c>
      <c r="J1395">
        <v>1325.4948730000001</v>
      </c>
      <c r="K1395">
        <v>1650</v>
      </c>
      <c r="L1395">
        <v>0</v>
      </c>
      <c r="M1395">
        <v>0</v>
      </c>
      <c r="N1395">
        <v>1650</v>
      </c>
    </row>
    <row r="1396" spans="1:14" x14ac:dyDescent="0.25">
      <c r="A1396">
        <v>784.43355799999995</v>
      </c>
      <c r="B1396" s="1">
        <f>DATE(2012,6,23) + TIME(10,24,19)</f>
        <v>41083.433553240742</v>
      </c>
      <c r="C1396">
        <v>80</v>
      </c>
      <c r="D1396">
        <v>79.963279724000003</v>
      </c>
      <c r="E1396">
        <v>40</v>
      </c>
      <c r="F1396">
        <v>38.403450012</v>
      </c>
      <c r="G1396">
        <v>1337.5587158000001</v>
      </c>
      <c r="H1396">
        <v>1335.6857910000001</v>
      </c>
      <c r="I1396">
        <v>1327.0601807</v>
      </c>
      <c r="J1396">
        <v>1325.4890137</v>
      </c>
      <c r="K1396">
        <v>1650</v>
      </c>
      <c r="L1396">
        <v>0</v>
      </c>
      <c r="M1396">
        <v>0</v>
      </c>
      <c r="N1396">
        <v>1650</v>
      </c>
    </row>
    <row r="1397" spans="1:14" x14ac:dyDescent="0.25">
      <c r="A1397">
        <v>785.05135700000005</v>
      </c>
      <c r="B1397" s="1">
        <f>DATE(2012,6,24) + TIME(1,13,57)</f>
        <v>41084.051354166666</v>
      </c>
      <c r="C1397">
        <v>80</v>
      </c>
      <c r="D1397">
        <v>79.963256835999999</v>
      </c>
      <c r="E1397">
        <v>40</v>
      </c>
      <c r="F1397">
        <v>38.397155761999997</v>
      </c>
      <c r="G1397">
        <v>1337.5562743999999</v>
      </c>
      <c r="H1397">
        <v>1335.6851807</v>
      </c>
      <c r="I1397">
        <v>1327.0570068</v>
      </c>
      <c r="J1397">
        <v>1325.4832764</v>
      </c>
      <c r="K1397">
        <v>1650</v>
      </c>
      <c r="L1397">
        <v>0</v>
      </c>
      <c r="M1397">
        <v>0</v>
      </c>
      <c r="N1397">
        <v>1650</v>
      </c>
    </row>
    <row r="1398" spans="1:14" x14ac:dyDescent="0.25">
      <c r="A1398">
        <v>786.28695500000003</v>
      </c>
      <c r="B1398" s="1">
        <f>DATE(2012,6,25) + TIME(6,53,12)</f>
        <v>41085.286944444444</v>
      </c>
      <c r="C1398">
        <v>80</v>
      </c>
      <c r="D1398">
        <v>79.963249207000004</v>
      </c>
      <c r="E1398">
        <v>40</v>
      </c>
      <c r="F1398">
        <v>38.388534546000002</v>
      </c>
      <c r="G1398">
        <v>1337.5538329999999</v>
      </c>
      <c r="H1398">
        <v>1335.6845702999999</v>
      </c>
      <c r="I1398">
        <v>1327.0532227000001</v>
      </c>
      <c r="J1398">
        <v>1325.4765625</v>
      </c>
      <c r="K1398">
        <v>1650</v>
      </c>
      <c r="L1398">
        <v>0</v>
      </c>
      <c r="M1398">
        <v>0</v>
      </c>
      <c r="N1398">
        <v>1650</v>
      </c>
    </row>
    <row r="1399" spans="1:14" x14ac:dyDescent="0.25">
      <c r="A1399">
        <v>787.52774299999999</v>
      </c>
      <c r="B1399" s="1">
        <f>DATE(2012,6,26) + TIME(12,39,56)</f>
        <v>41086.527731481481</v>
      </c>
      <c r="C1399">
        <v>80</v>
      </c>
      <c r="D1399">
        <v>79.963218689000001</v>
      </c>
      <c r="E1399">
        <v>40</v>
      </c>
      <c r="F1399">
        <v>38.380207061999997</v>
      </c>
      <c r="G1399">
        <v>1337.5490723</v>
      </c>
      <c r="H1399">
        <v>1335.6834716999999</v>
      </c>
      <c r="I1399">
        <v>1327.0476074000001</v>
      </c>
      <c r="J1399">
        <v>1325.4664307</v>
      </c>
      <c r="K1399">
        <v>1650</v>
      </c>
      <c r="L1399">
        <v>0</v>
      </c>
      <c r="M1399">
        <v>0</v>
      </c>
      <c r="N1399">
        <v>1650</v>
      </c>
    </row>
    <row r="1400" spans="1:14" x14ac:dyDescent="0.25">
      <c r="A1400">
        <v>788.81600600000002</v>
      </c>
      <c r="B1400" s="1">
        <f>DATE(2012,6,27) + TIME(19,35,2)</f>
        <v>41087.815995370373</v>
      </c>
      <c r="C1400">
        <v>80</v>
      </c>
      <c r="D1400">
        <v>79.963195800999998</v>
      </c>
      <c r="E1400">
        <v>40</v>
      </c>
      <c r="F1400">
        <v>38.373058319000002</v>
      </c>
      <c r="G1400">
        <v>1337.5444336</v>
      </c>
      <c r="H1400">
        <v>1335.682251</v>
      </c>
      <c r="I1400">
        <v>1327.0417480000001</v>
      </c>
      <c r="J1400">
        <v>1325.4555664</v>
      </c>
      <c r="K1400">
        <v>1650</v>
      </c>
      <c r="L1400">
        <v>0</v>
      </c>
      <c r="M1400">
        <v>0</v>
      </c>
      <c r="N1400">
        <v>1650</v>
      </c>
    </row>
    <row r="1401" spans="1:14" x14ac:dyDescent="0.25">
      <c r="A1401">
        <v>789.47715600000004</v>
      </c>
      <c r="B1401" s="1">
        <f>DATE(2012,6,28) + TIME(11,27,6)</f>
        <v>41088.477152777778</v>
      </c>
      <c r="C1401">
        <v>80</v>
      </c>
      <c r="D1401">
        <v>79.963157654</v>
      </c>
      <c r="E1401">
        <v>40</v>
      </c>
      <c r="F1401">
        <v>38.369541167999998</v>
      </c>
      <c r="G1401">
        <v>1337.5397949000001</v>
      </c>
      <c r="H1401">
        <v>1335.6811522999999</v>
      </c>
      <c r="I1401">
        <v>1327.0361327999999</v>
      </c>
      <c r="J1401">
        <v>1325.4451904</v>
      </c>
      <c r="K1401">
        <v>1650</v>
      </c>
      <c r="L1401">
        <v>0</v>
      </c>
      <c r="M1401">
        <v>0</v>
      </c>
      <c r="N1401">
        <v>1650</v>
      </c>
    </row>
    <row r="1402" spans="1:14" x14ac:dyDescent="0.25">
      <c r="A1402">
        <v>790.13805100000002</v>
      </c>
      <c r="B1402" s="1">
        <f>DATE(2012,6,29) + TIME(3,18,47)</f>
        <v>41089.138043981482</v>
      </c>
      <c r="C1402">
        <v>80</v>
      </c>
      <c r="D1402">
        <v>79.963134765999996</v>
      </c>
      <c r="E1402">
        <v>40</v>
      </c>
      <c r="F1402">
        <v>38.367202759000001</v>
      </c>
      <c r="G1402">
        <v>1337.5373535000001</v>
      </c>
      <c r="H1402">
        <v>1335.6805420000001</v>
      </c>
      <c r="I1402">
        <v>1327.0323486</v>
      </c>
      <c r="J1402">
        <v>1325.4382324000001</v>
      </c>
      <c r="K1402">
        <v>1650</v>
      </c>
      <c r="L1402">
        <v>0</v>
      </c>
      <c r="M1402">
        <v>0</v>
      </c>
      <c r="N1402">
        <v>1650</v>
      </c>
    </row>
    <row r="1403" spans="1:14" x14ac:dyDescent="0.25">
      <c r="A1403">
        <v>790.79808300000002</v>
      </c>
      <c r="B1403" s="1">
        <f>DATE(2012,6,29) + TIME(19,9,14)</f>
        <v>41089.798078703701</v>
      </c>
      <c r="C1403">
        <v>80</v>
      </c>
      <c r="D1403">
        <v>79.963119507000002</v>
      </c>
      <c r="E1403">
        <v>40</v>
      </c>
      <c r="F1403">
        <v>38.365940094000003</v>
      </c>
      <c r="G1403">
        <v>1337.5350341999999</v>
      </c>
      <c r="H1403">
        <v>1335.6799315999999</v>
      </c>
      <c r="I1403">
        <v>1327.0286865</v>
      </c>
      <c r="J1403">
        <v>1325.4315185999999</v>
      </c>
      <c r="K1403">
        <v>1650</v>
      </c>
      <c r="L1403">
        <v>0</v>
      </c>
      <c r="M1403">
        <v>0</v>
      </c>
      <c r="N1403">
        <v>1650</v>
      </c>
    </row>
    <row r="1404" spans="1:14" x14ac:dyDescent="0.25">
      <c r="A1404">
        <v>792</v>
      </c>
      <c r="B1404" s="1">
        <f>DATE(2012,7,1) + TIME(0,0,0)</f>
        <v>41091</v>
      </c>
      <c r="C1404">
        <v>80</v>
      </c>
      <c r="D1404">
        <v>79.963104247999993</v>
      </c>
      <c r="E1404">
        <v>40</v>
      </c>
      <c r="F1404">
        <v>38.365596771</v>
      </c>
      <c r="G1404">
        <v>1337.5328368999999</v>
      </c>
      <c r="H1404">
        <v>1335.6793213000001</v>
      </c>
      <c r="I1404">
        <v>1327.0247803</v>
      </c>
      <c r="J1404">
        <v>1325.4243164</v>
      </c>
      <c r="K1404">
        <v>1650</v>
      </c>
      <c r="L1404">
        <v>0</v>
      </c>
      <c r="M1404">
        <v>0</v>
      </c>
      <c r="N1404">
        <v>1650</v>
      </c>
    </row>
    <row r="1405" spans="1:14" x14ac:dyDescent="0.25">
      <c r="A1405">
        <v>793.31849699999998</v>
      </c>
      <c r="B1405" s="1">
        <f>DATE(2012,7,2) + TIME(7,38,38)</f>
        <v>41092.318495370368</v>
      </c>
      <c r="C1405">
        <v>80</v>
      </c>
      <c r="D1405">
        <v>79.963088988999999</v>
      </c>
      <c r="E1405">
        <v>40</v>
      </c>
      <c r="F1405">
        <v>38.367919921999999</v>
      </c>
      <c r="G1405">
        <v>1337.5286865</v>
      </c>
      <c r="H1405">
        <v>1335.6782227000001</v>
      </c>
      <c r="I1405">
        <v>1327.0194091999999</v>
      </c>
      <c r="J1405">
        <v>1325.4140625</v>
      </c>
      <c r="K1405">
        <v>1650</v>
      </c>
      <c r="L1405">
        <v>0</v>
      </c>
      <c r="M1405">
        <v>0</v>
      </c>
      <c r="N1405">
        <v>1650</v>
      </c>
    </row>
    <row r="1406" spans="1:14" x14ac:dyDescent="0.25">
      <c r="A1406">
        <v>794.64118900000005</v>
      </c>
      <c r="B1406" s="1">
        <f>DATE(2012,7,3) + TIME(15,23,18)</f>
        <v>41093.641180555554</v>
      </c>
      <c r="C1406">
        <v>80</v>
      </c>
      <c r="D1406">
        <v>79.963066100999995</v>
      </c>
      <c r="E1406">
        <v>40</v>
      </c>
      <c r="F1406">
        <v>38.373733520999998</v>
      </c>
      <c r="G1406">
        <v>1337.5241699000001</v>
      </c>
      <c r="H1406">
        <v>1335.6770019999999</v>
      </c>
      <c r="I1406">
        <v>1327.0135498</v>
      </c>
      <c r="J1406">
        <v>1325.402832</v>
      </c>
      <c r="K1406">
        <v>1650</v>
      </c>
      <c r="L1406">
        <v>0</v>
      </c>
      <c r="M1406">
        <v>0</v>
      </c>
      <c r="N1406">
        <v>1650</v>
      </c>
    </row>
    <row r="1407" spans="1:14" x14ac:dyDescent="0.25">
      <c r="A1407">
        <v>795.32335</v>
      </c>
      <c r="B1407" s="1">
        <f>DATE(2012,7,4) + TIME(7,45,37)</f>
        <v>41094.323344907411</v>
      </c>
      <c r="C1407">
        <v>80</v>
      </c>
      <c r="D1407">
        <v>79.963035583000007</v>
      </c>
      <c r="E1407">
        <v>40</v>
      </c>
      <c r="F1407">
        <v>38.380535125999998</v>
      </c>
      <c r="G1407">
        <v>1337.5197754000001</v>
      </c>
      <c r="H1407">
        <v>1335.6759033000001</v>
      </c>
      <c r="I1407">
        <v>1327.0084228999999</v>
      </c>
      <c r="J1407">
        <v>1325.3923339999999</v>
      </c>
      <c r="K1407">
        <v>1650</v>
      </c>
      <c r="L1407">
        <v>0</v>
      </c>
      <c r="M1407">
        <v>0</v>
      </c>
      <c r="N1407">
        <v>1650</v>
      </c>
    </row>
    <row r="1408" spans="1:14" x14ac:dyDescent="0.25">
      <c r="A1408">
        <v>796.00551099999996</v>
      </c>
      <c r="B1408" s="1">
        <f>DATE(2012,7,5) + TIME(0,7,56)</f>
        <v>41095.005509259259</v>
      </c>
      <c r="C1408">
        <v>80</v>
      </c>
      <c r="D1408">
        <v>79.963020325000002</v>
      </c>
      <c r="E1408">
        <v>40</v>
      </c>
      <c r="F1408">
        <v>38.388351440000001</v>
      </c>
      <c r="G1408">
        <v>1337.5175781</v>
      </c>
      <c r="H1408">
        <v>1335.675293</v>
      </c>
      <c r="I1408">
        <v>1327.0046387</v>
      </c>
      <c r="J1408">
        <v>1325.3852539</v>
      </c>
      <c r="K1408">
        <v>1650</v>
      </c>
      <c r="L1408">
        <v>0</v>
      </c>
      <c r="M1408">
        <v>0</v>
      </c>
      <c r="N1408">
        <v>1650</v>
      </c>
    </row>
    <row r="1409" spans="1:14" x14ac:dyDescent="0.25">
      <c r="A1409">
        <v>796.68767300000002</v>
      </c>
      <c r="B1409" s="1">
        <f>DATE(2012,7,5) + TIME(16,30,14)</f>
        <v>41095.687662037039</v>
      </c>
      <c r="C1409">
        <v>80</v>
      </c>
      <c r="D1409">
        <v>79.963005065999994</v>
      </c>
      <c r="E1409">
        <v>40</v>
      </c>
      <c r="F1409">
        <v>38.397365569999998</v>
      </c>
      <c r="G1409">
        <v>1337.5155029</v>
      </c>
      <c r="H1409">
        <v>1335.6746826000001</v>
      </c>
      <c r="I1409">
        <v>1327.0012207</v>
      </c>
      <c r="J1409">
        <v>1325.3785399999999</v>
      </c>
      <c r="K1409">
        <v>1650</v>
      </c>
      <c r="L1409">
        <v>0</v>
      </c>
      <c r="M1409">
        <v>0</v>
      </c>
      <c r="N1409">
        <v>1650</v>
      </c>
    </row>
    <row r="1410" spans="1:14" x14ac:dyDescent="0.25">
      <c r="A1410">
        <v>797.36917300000005</v>
      </c>
      <c r="B1410" s="1">
        <f>DATE(2012,7,6) + TIME(8,51,36)</f>
        <v>41096.369166666664</v>
      </c>
      <c r="C1410">
        <v>80</v>
      </c>
      <c r="D1410">
        <v>79.962989807</v>
      </c>
      <c r="E1410">
        <v>40</v>
      </c>
      <c r="F1410">
        <v>38.407718658</v>
      </c>
      <c r="G1410">
        <v>1337.5133057</v>
      </c>
      <c r="H1410">
        <v>1335.6740723</v>
      </c>
      <c r="I1410">
        <v>1326.9980469</v>
      </c>
      <c r="J1410">
        <v>1325.3720702999999</v>
      </c>
      <c r="K1410">
        <v>1650</v>
      </c>
      <c r="L1410">
        <v>0</v>
      </c>
      <c r="M1410">
        <v>0</v>
      </c>
      <c r="N1410">
        <v>1650</v>
      </c>
    </row>
    <row r="1411" spans="1:14" x14ac:dyDescent="0.25">
      <c r="A1411">
        <v>798.05058099999997</v>
      </c>
      <c r="B1411" s="1">
        <f>DATE(2012,7,7) + TIME(1,12,50)</f>
        <v>41097.050578703704</v>
      </c>
      <c r="C1411">
        <v>80</v>
      </c>
      <c r="D1411">
        <v>79.962982178000004</v>
      </c>
      <c r="E1411">
        <v>40</v>
      </c>
      <c r="F1411">
        <v>38.419540404999999</v>
      </c>
      <c r="G1411">
        <v>1337.5112305</v>
      </c>
      <c r="H1411">
        <v>1335.6734618999999</v>
      </c>
      <c r="I1411">
        <v>1326.9949951000001</v>
      </c>
      <c r="J1411">
        <v>1325.3658447</v>
      </c>
      <c r="K1411">
        <v>1650</v>
      </c>
      <c r="L1411">
        <v>0</v>
      </c>
      <c r="M1411">
        <v>0</v>
      </c>
      <c r="N1411">
        <v>1650</v>
      </c>
    </row>
    <row r="1412" spans="1:14" x14ac:dyDescent="0.25">
      <c r="A1412">
        <v>798.73199</v>
      </c>
      <c r="B1412" s="1">
        <f>DATE(2012,7,7) + TIME(17,34,3)</f>
        <v>41097.731979166667</v>
      </c>
      <c r="C1412">
        <v>80</v>
      </c>
      <c r="D1412">
        <v>79.962966918999996</v>
      </c>
      <c r="E1412">
        <v>40</v>
      </c>
      <c r="F1412">
        <v>38.432964325</v>
      </c>
      <c r="G1412">
        <v>1337.5091553</v>
      </c>
      <c r="H1412">
        <v>1335.6728516000001</v>
      </c>
      <c r="I1412">
        <v>1326.9919434000001</v>
      </c>
      <c r="J1412">
        <v>1325.3597411999999</v>
      </c>
      <c r="K1412">
        <v>1650</v>
      </c>
      <c r="L1412">
        <v>0</v>
      </c>
      <c r="M1412">
        <v>0</v>
      </c>
      <c r="N1412">
        <v>1650</v>
      </c>
    </row>
    <row r="1413" spans="1:14" x14ac:dyDescent="0.25">
      <c r="A1413">
        <v>799.41339800000003</v>
      </c>
      <c r="B1413" s="1">
        <f>DATE(2012,7,8) + TIME(9,55,17)</f>
        <v>41098.413391203707</v>
      </c>
      <c r="C1413">
        <v>80</v>
      </c>
      <c r="D1413">
        <v>79.962959290000001</v>
      </c>
      <c r="E1413">
        <v>40</v>
      </c>
      <c r="F1413">
        <v>38.448108673</v>
      </c>
      <c r="G1413">
        <v>1337.5070800999999</v>
      </c>
      <c r="H1413">
        <v>1335.6722411999999</v>
      </c>
      <c r="I1413">
        <v>1326.9890137</v>
      </c>
      <c r="J1413">
        <v>1325.3537598</v>
      </c>
      <c r="K1413">
        <v>1650</v>
      </c>
      <c r="L1413">
        <v>0</v>
      </c>
      <c r="M1413">
        <v>0</v>
      </c>
      <c r="N1413">
        <v>1650</v>
      </c>
    </row>
    <row r="1414" spans="1:14" x14ac:dyDescent="0.25">
      <c r="A1414">
        <v>800.09480699999995</v>
      </c>
      <c r="B1414" s="1">
        <f>DATE(2012,7,9) + TIME(2,16,31)</f>
        <v>41099.09480324074</v>
      </c>
      <c r="C1414">
        <v>80</v>
      </c>
      <c r="D1414">
        <v>79.962951660000002</v>
      </c>
      <c r="E1414">
        <v>40</v>
      </c>
      <c r="F1414">
        <v>38.465095519999998</v>
      </c>
      <c r="G1414">
        <v>1337.5050048999999</v>
      </c>
      <c r="H1414">
        <v>1335.6716309000001</v>
      </c>
      <c r="I1414">
        <v>1326.9862060999999</v>
      </c>
      <c r="J1414">
        <v>1325.3479004000001</v>
      </c>
      <c r="K1414">
        <v>1650</v>
      </c>
      <c r="L1414">
        <v>0</v>
      </c>
      <c r="M1414">
        <v>0</v>
      </c>
      <c r="N1414">
        <v>1650</v>
      </c>
    </row>
    <row r="1415" spans="1:14" x14ac:dyDescent="0.25">
      <c r="A1415">
        <v>800.77621599999998</v>
      </c>
      <c r="B1415" s="1">
        <f>DATE(2012,7,9) + TIME(18,37,45)</f>
        <v>41099.77621527778</v>
      </c>
      <c r="C1415">
        <v>80</v>
      </c>
      <c r="D1415">
        <v>79.962944031000006</v>
      </c>
      <c r="E1415">
        <v>40</v>
      </c>
      <c r="F1415">
        <v>38.484046935999999</v>
      </c>
      <c r="G1415">
        <v>1337.5029297000001</v>
      </c>
      <c r="H1415">
        <v>1335.6710204999999</v>
      </c>
      <c r="I1415">
        <v>1326.9835204999999</v>
      </c>
      <c r="J1415">
        <v>1325.3420410000001</v>
      </c>
      <c r="K1415">
        <v>1650</v>
      </c>
      <c r="L1415">
        <v>0</v>
      </c>
      <c r="M1415">
        <v>0</v>
      </c>
      <c r="N1415">
        <v>1650</v>
      </c>
    </row>
    <row r="1416" spans="1:14" x14ac:dyDescent="0.25">
      <c r="A1416">
        <v>802.13903300000004</v>
      </c>
      <c r="B1416" s="1">
        <f>DATE(2012,7,11) + TIME(3,20,12)</f>
        <v>41101.139027777775</v>
      </c>
      <c r="C1416">
        <v>80</v>
      </c>
      <c r="D1416">
        <v>79.962944031000006</v>
      </c>
      <c r="E1416">
        <v>40</v>
      </c>
      <c r="F1416">
        <v>38.514968871999997</v>
      </c>
      <c r="G1416">
        <v>1337.5009766000001</v>
      </c>
      <c r="H1416">
        <v>1335.6704102000001</v>
      </c>
      <c r="I1416">
        <v>1326.9801024999999</v>
      </c>
      <c r="J1416">
        <v>1325.3354492000001</v>
      </c>
      <c r="K1416">
        <v>1650</v>
      </c>
      <c r="L1416">
        <v>0</v>
      </c>
      <c r="M1416">
        <v>0</v>
      </c>
      <c r="N1416">
        <v>1650</v>
      </c>
    </row>
    <row r="1417" spans="1:14" x14ac:dyDescent="0.25">
      <c r="A1417">
        <v>803.50534900000002</v>
      </c>
      <c r="B1417" s="1">
        <f>DATE(2012,7,12) + TIME(12,7,42)</f>
        <v>41102.505347222221</v>
      </c>
      <c r="C1417">
        <v>80</v>
      </c>
      <c r="D1417">
        <v>79.962936400999993</v>
      </c>
      <c r="E1417">
        <v>40</v>
      </c>
      <c r="F1417">
        <v>38.558422088999997</v>
      </c>
      <c r="G1417">
        <v>1337.4969481999999</v>
      </c>
      <c r="H1417">
        <v>1335.6691894999999</v>
      </c>
      <c r="I1417">
        <v>1326.9758300999999</v>
      </c>
      <c r="J1417">
        <v>1325.3255615</v>
      </c>
      <c r="K1417">
        <v>1650</v>
      </c>
      <c r="L1417">
        <v>0</v>
      </c>
      <c r="M1417">
        <v>0</v>
      </c>
      <c r="N1417">
        <v>1650</v>
      </c>
    </row>
    <row r="1418" spans="1:14" x14ac:dyDescent="0.25">
      <c r="A1418">
        <v>804.21154799999999</v>
      </c>
      <c r="B1418" s="1">
        <f>DATE(2012,7,13) + TIME(5,4,37)</f>
        <v>41103.211539351854</v>
      </c>
      <c r="C1418">
        <v>80</v>
      </c>
      <c r="D1418">
        <v>79.962913513000004</v>
      </c>
      <c r="E1418">
        <v>40</v>
      </c>
      <c r="F1418">
        <v>38.596717834000003</v>
      </c>
      <c r="G1418">
        <v>1337.4930420000001</v>
      </c>
      <c r="H1418">
        <v>1335.6679687999999</v>
      </c>
      <c r="I1418">
        <v>1326.9722899999999</v>
      </c>
      <c r="J1418">
        <v>1325.3160399999999</v>
      </c>
      <c r="K1418">
        <v>1650</v>
      </c>
      <c r="L1418">
        <v>0</v>
      </c>
      <c r="M1418">
        <v>0</v>
      </c>
      <c r="N1418">
        <v>1650</v>
      </c>
    </row>
    <row r="1419" spans="1:14" x14ac:dyDescent="0.25">
      <c r="A1419">
        <v>804.91774699999996</v>
      </c>
      <c r="B1419" s="1">
        <f>DATE(2012,7,13) + TIME(22,1,33)</f>
        <v>41103.917743055557</v>
      </c>
      <c r="C1419">
        <v>80</v>
      </c>
      <c r="D1419">
        <v>79.962905883999994</v>
      </c>
      <c r="E1419">
        <v>40</v>
      </c>
      <c r="F1419">
        <v>38.635566711000003</v>
      </c>
      <c r="G1419">
        <v>1337.4910889</v>
      </c>
      <c r="H1419">
        <v>1335.6673584</v>
      </c>
      <c r="I1419">
        <v>1326.9692382999999</v>
      </c>
      <c r="J1419">
        <v>1325.3096923999999</v>
      </c>
      <c r="K1419">
        <v>1650</v>
      </c>
      <c r="L1419">
        <v>0</v>
      </c>
      <c r="M1419">
        <v>0</v>
      </c>
      <c r="N1419">
        <v>1650</v>
      </c>
    </row>
    <row r="1420" spans="1:14" x14ac:dyDescent="0.25">
      <c r="A1420">
        <v>805.62394500000005</v>
      </c>
      <c r="B1420" s="1">
        <f>DATE(2012,7,14) + TIME(14,58,28)</f>
        <v>41104.623935185184</v>
      </c>
      <c r="C1420">
        <v>80</v>
      </c>
      <c r="D1420">
        <v>79.962890625</v>
      </c>
      <c r="E1420">
        <v>40</v>
      </c>
      <c r="F1420">
        <v>38.676086425999998</v>
      </c>
      <c r="G1420">
        <v>1337.4891356999999</v>
      </c>
      <c r="H1420">
        <v>1335.6667480000001</v>
      </c>
      <c r="I1420">
        <v>1326.9665527</v>
      </c>
      <c r="J1420">
        <v>1325.3037108999999</v>
      </c>
      <c r="K1420">
        <v>1650</v>
      </c>
      <c r="L1420">
        <v>0</v>
      </c>
      <c r="M1420">
        <v>0</v>
      </c>
      <c r="N1420">
        <v>1650</v>
      </c>
    </row>
    <row r="1421" spans="1:14" x14ac:dyDescent="0.25">
      <c r="A1421">
        <v>806.33014400000002</v>
      </c>
      <c r="B1421" s="1">
        <f>DATE(2012,7,15) + TIME(7,55,24)</f>
        <v>41105.330138888887</v>
      </c>
      <c r="C1421">
        <v>80</v>
      </c>
      <c r="D1421">
        <v>79.962882996000005</v>
      </c>
      <c r="E1421">
        <v>40</v>
      </c>
      <c r="F1421">
        <v>38.719051360999998</v>
      </c>
      <c r="G1421">
        <v>1337.4871826000001</v>
      </c>
      <c r="H1421">
        <v>1335.6661377</v>
      </c>
      <c r="I1421">
        <v>1326.9641113</v>
      </c>
      <c r="J1421">
        <v>1325.2979736</v>
      </c>
      <c r="K1421">
        <v>1650</v>
      </c>
      <c r="L1421">
        <v>0</v>
      </c>
      <c r="M1421">
        <v>0</v>
      </c>
      <c r="N1421">
        <v>1650</v>
      </c>
    </row>
    <row r="1422" spans="1:14" x14ac:dyDescent="0.25">
      <c r="A1422">
        <v>807.03634299999999</v>
      </c>
      <c r="B1422" s="1">
        <f>DATE(2012,7,16) + TIME(0,52,20)</f>
        <v>41106.03634259259</v>
      </c>
      <c r="C1422">
        <v>80</v>
      </c>
      <c r="D1422">
        <v>79.962882996000005</v>
      </c>
      <c r="E1422">
        <v>40</v>
      </c>
      <c r="F1422">
        <v>38.765041351000001</v>
      </c>
      <c r="G1422">
        <v>1337.4852295000001</v>
      </c>
      <c r="H1422">
        <v>1335.6655272999999</v>
      </c>
      <c r="I1422">
        <v>1326.9617920000001</v>
      </c>
      <c r="J1422">
        <v>1325.2924805</v>
      </c>
      <c r="K1422">
        <v>1650</v>
      </c>
      <c r="L1422">
        <v>0</v>
      </c>
      <c r="M1422">
        <v>0</v>
      </c>
      <c r="N1422">
        <v>1650</v>
      </c>
    </row>
    <row r="1423" spans="1:14" x14ac:dyDescent="0.25">
      <c r="A1423">
        <v>807.74254199999996</v>
      </c>
      <c r="B1423" s="1">
        <f>DATE(2012,7,16) + TIME(17,49,15)</f>
        <v>41106.742534722223</v>
      </c>
      <c r="C1423">
        <v>80</v>
      </c>
      <c r="D1423">
        <v>79.962875366000006</v>
      </c>
      <c r="E1423">
        <v>40</v>
      </c>
      <c r="F1423">
        <v>38.814495086999997</v>
      </c>
      <c r="G1423">
        <v>1337.4832764</v>
      </c>
      <c r="H1423">
        <v>1335.6649170000001</v>
      </c>
      <c r="I1423">
        <v>1326.9595947</v>
      </c>
      <c r="J1423">
        <v>1325.2871094</v>
      </c>
      <c r="K1423">
        <v>1650</v>
      </c>
      <c r="L1423">
        <v>0</v>
      </c>
      <c r="M1423">
        <v>0</v>
      </c>
      <c r="N1423">
        <v>1650</v>
      </c>
    </row>
    <row r="1424" spans="1:14" x14ac:dyDescent="0.25">
      <c r="A1424">
        <v>808.44874000000004</v>
      </c>
      <c r="B1424" s="1">
        <f>DATE(2012,7,17) + TIME(10,46,11)</f>
        <v>41107.448738425926</v>
      </c>
      <c r="C1424">
        <v>80</v>
      </c>
      <c r="D1424">
        <v>79.962867736999996</v>
      </c>
      <c r="E1424">
        <v>40</v>
      </c>
      <c r="F1424">
        <v>38.867778778000002</v>
      </c>
      <c r="G1424">
        <v>1337.4814452999999</v>
      </c>
      <c r="H1424">
        <v>1335.6643065999999</v>
      </c>
      <c r="I1424">
        <v>1326.9575195</v>
      </c>
      <c r="J1424">
        <v>1325.2819824000001</v>
      </c>
      <c r="K1424">
        <v>1650</v>
      </c>
      <c r="L1424">
        <v>0</v>
      </c>
      <c r="M1424">
        <v>0</v>
      </c>
      <c r="N1424">
        <v>1650</v>
      </c>
    </row>
    <row r="1425" spans="1:14" x14ac:dyDescent="0.25">
      <c r="A1425">
        <v>809.15493900000001</v>
      </c>
      <c r="B1425" s="1">
        <f>DATE(2012,7,18) + TIME(3,43,6)</f>
        <v>41108.154930555553</v>
      </c>
      <c r="C1425">
        <v>80</v>
      </c>
      <c r="D1425">
        <v>79.962867736999996</v>
      </c>
      <c r="E1425">
        <v>40</v>
      </c>
      <c r="F1425">
        <v>38.925205231</v>
      </c>
      <c r="G1425">
        <v>1337.4796143000001</v>
      </c>
      <c r="H1425">
        <v>1335.6636963000001</v>
      </c>
      <c r="I1425">
        <v>1326.9555664</v>
      </c>
      <c r="J1425">
        <v>1325.2768555</v>
      </c>
      <c r="K1425">
        <v>1650</v>
      </c>
      <c r="L1425">
        <v>0</v>
      </c>
      <c r="M1425">
        <v>0</v>
      </c>
      <c r="N1425">
        <v>1650</v>
      </c>
    </row>
    <row r="1426" spans="1:14" x14ac:dyDescent="0.25">
      <c r="A1426">
        <v>810.56733699999995</v>
      </c>
      <c r="B1426" s="1">
        <f>DATE(2012,7,19) + TIME(13,36,57)</f>
        <v>41109.567326388889</v>
      </c>
      <c r="C1426">
        <v>80</v>
      </c>
      <c r="D1426">
        <v>79.962875366000006</v>
      </c>
      <c r="E1426">
        <v>40</v>
      </c>
      <c r="F1426">
        <v>39.015037536999998</v>
      </c>
      <c r="G1426">
        <v>1337.4776611</v>
      </c>
      <c r="H1426">
        <v>1335.6630858999999</v>
      </c>
      <c r="I1426">
        <v>1326.9527588000001</v>
      </c>
      <c r="J1426">
        <v>1325.2712402</v>
      </c>
      <c r="K1426">
        <v>1650</v>
      </c>
      <c r="L1426">
        <v>0</v>
      </c>
      <c r="M1426">
        <v>0</v>
      </c>
      <c r="N1426">
        <v>1650</v>
      </c>
    </row>
    <row r="1427" spans="1:14" x14ac:dyDescent="0.25">
      <c r="A1427">
        <v>811.98734000000002</v>
      </c>
      <c r="B1427" s="1">
        <f>DATE(2012,7,20) + TIME(23,41,46)</f>
        <v>41110.987337962964</v>
      </c>
      <c r="C1427">
        <v>80</v>
      </c>
      <c r="D1427">
        <v>79.962867736999996</v>
      </c>
      <c r="E1427">
        <v>40</v>
      </c>
      <c r="F1427">
        <v>39.137355804000002</v>
      </c>
      <c r="G1427">
        <v>1337.473999</v>
      </c>
      <c r="H1427">
        <v>1335.6618652</v>
      </c>
      <c r="I1427">
        <v>1326.9503173999999</v>
      </c>
      <c r="J1427">
        <v>1325.2629394999999</v>
      </c>
      <c r="K1427">
        <v>1650</v>
      </c>
      <c r="L1427">
        <v>0</v>
      </c>
      <c r="M1427">
        <v>0</v>
      </c>
      <c r="N1427">
        <v>1650</v>
      </c>
    </row>
    <row r="1428" spans="1:14" x14ac:dyDescent="0.25">
      <c r="A1428">
        <v>813.41796699999998</v>
      </c>
      <c r="B1428" s="1">
        <f>DATE(2012,7,22) + TIME(10,1,52)</f>
        <v>41112.417962962965</v>
      </c>
      <c r="C1428">
        <v>80</v>
      </c>
      <c r="D1428">
        <v>79.962867736999996</v>
      </c>
      <c r="E1428">
        <v>40</v>
      </c>
      <c r="F1428">
        <v>39.287040709999999</v>
      </c>
      <c r="G1428">
        <v>1337.4703368999999</v>
      </c>
      <c r="H1428">
        <v>1335.6606445</v>
      </c>
      <c r="I1428">
        <v>1326.9475098</v>
      </c>
      <c r="J1428">
        <v>1325.2545166</v>
      </c>
      <c r="K1428">
        <v>1650</v>
      </c>
      <c r="L1428">
        <v>0</v>
      </c>
      <c r="M1428">
        <v>0</v>
      </c>
      <c r="N1428">
        <v>1650</v>
      </c>
    </row>
    <row r="1429" spans="1:14" x14ac:dyDescent="0.25">
      <c r="A1429">
        <v>814.14295700000002</v>
      </c>
      <c r="B1429" s="1">
        <f>DATE(2012,7,23) + TIME(3,25,51)</f>
        <v>41113.142951388887</v>
      </c>
      <c r="C1429">
        <v>80</v>
      </c>
      <c r="D1429">
        <v>79.962844849000007</v>
      </c>
      <c r="E1429">
        <v>40</v>
      </c>
      <c r="F1429">
        <v>39.409664153999998</v>
      </c>
      <c r="G1429">
        <v>1337.4667969</v>
      </c>
      <c r="H1429">
        <v>1335.6593018000001</v>
      </c>
      <c r="I1429">
        <v>1326.9464111</v>
      </c>
      <c r="J1429">
        <v>1325.2471923999999</v>
      </c>
      <c r="K1429">
        <v>1650</v>
      </c>
      <c r="L1429">
        <v>0</v>
      </c>
      <c r="M1429">
        <v>0</v>
      </c>
      <c r="N1429">
        <v>1650</v>
      </c>
    </row>
    <row r="1430" spans="1:14" x14ac:dyDescent="0.25">
      <c r="A1430">
        <v>814.86794699999996</v>
      </c>
      <c r="B1430" s="1">
        <f>DATE(2012,7,23) + TIME(20,49,50)</f>
        <v>41113.867939814816</v>
      </c>
      <c r="C1430">
        <v>80</v>
      </c>
      <c r="D1430">
        <v>79.962837218999994</v>
      </c>
      <c r="E1430">
        <v>40</v>
      </c>
      <c r="F1430">
        <v>39.528507232999999</v>
      </c>
      <c r="G1430">
        <v>1337.4649658000001</v>
      </c>
      <c r="H1430">
        <v>1335.6586914</v>
      </c>
      <c r="I1430">
        <v>1326.9445800999999</v>
      </c>
      <c r="J1430">
        <v>1325.2425536999999</v>
      </c>
      <c r="K1430">
        <v>1650</v>
      </c>
      <c r="L1430">
        <v>0</v>
      </c>
      <c r="M1430">
        <v>0</v>
      </c>
      <c r="N1430">
        <v>1650</v>
      </c>
    </row>
    <row r="1431" spans="1:14" x14ac:dyDescent="0.25">
      <c r="A1431">
        <v>815.592938</v>
      </c>
      <c r="B1431" s="1">
        <f>DATE(2012,7,24) + TIME(14,13,49)</f>
        <v>41114.592928240738</v>
      </c>
      <c r="C1431">
        <v>80</v>
      </c>
      <c r="D1431">
        <v>79.962837218999994</v>
      </c>
      <c r="E1431">
        <v>40</v>
      </c>
      <c r="F1431">
        <v>39.647823334000002</v>
      </c>
      <c r="G1431">
        <v>1337.4631348</v>
      </c>
      <c r="H1431">
        <v>1335.6580810999999</v>
      </c>
      <c r="I1431">
        <v>1326.9429932</v>
      </c>
      <c r="J1431">
        <v>1325.2384033000001</v>
      </c>
      <c r="K1431">
        <v>1650</v>
      </c>
      <c r="L1431">
        <v>0</v>
      </c>
      <c r="M1431">
        <v>0</v>
      </c>
      <c r="N1431">
        <v>1650</v>
      </c>
    </row>
    <row r="1432" spans="1:14" x14ac:dyDescent="0.25">
      <c r="A1432">
        <v>816.31792800000005</v>
      </c>
      <c r="B1432" s="1">
        <f>DATE(2012,7,25) + TIME(7,37,48)</f>
        <v>41115.317916666667</v>
      </c>
      <c r="C1432">
        <v>80</v>
      </c>
      <c r="D1432">
        <v>79.962829589999998</v>
      </c>
      <c r="E1432">
        <v>40</v>
      </c>
      <c r="F1432">
        <v>39.770477294999999</v>
      </c>
      <c r="G1432">
        <v>1337.4614257999999</v>
      </c>
      <c r="H1432">
        <v>1335.6574707</v>
      </c>
      <c r="I1432">
        <v>1326.9417725000001</v>
      </c>
      <c r="J1432">
        <v>1325.2344971</v>
      </c>
      <c r="K1432">
        <v>1650</v>
      </c>
      <c r="L1432">
        <v>0</v>
      </c>
      <c r="M1432">
        <v>0</v>
      </c>
      <c r="N1432">
        <v>1650</v>
      </c>
    </row>
    <row r="1433" spans="1:14" x14ac:dyDescent="0.25">
      <c r="A1433">
        <v>817.04291799999999</v>
      </c>
      <c r="B1433" s="1">
        <f>DATE(2012,7,26) + TIME(1,1,48)</f>
        <v>41116.042916666665</v>
      </c>
      <c r="C1433">
        <v>80</v>
      </c>
      <c r="D1433">
        <v>79.962829589999998</v>
      </c>
      <c r="E1433">
        <v>40</v>
      </c>
      <c r="F1433">
        <v>39.898368834999999</v>
      </c>
      <c r="G1433">
        <v>1337.4597168</v>
      </c>
      <c r="H1433">
        <v>1335.6568603999999</v>
      </c>
      <c r="I1433">
        <v>1326.9406738</v>
      </c>
      <c r="J1433">
        <v>1325.2308350000001</v>
      </c>
      <c r="K1433">
        <v>1650</v>
      </c>
      <c r="L1433">
        <v>0</v>
      </c>
      <c r="M1433">
        <v>0</v>
      </c>
      <c r="N1433">
        <v>1650</v>
      </c>
    </row>
    <row r="1434" spans="1:14" x14ac:dyDescent="0.25">
      <c r="A1434">
        <v>817.76790800000003</v>
      </c>
      <c r="B1434" s="1">
        <f>DATE(2012,7,26) + TIME(18,25,47)</f>
        <v>41116.767905092594</v>
      </c>
      <c r="C1434">
        <v>80</v>
      </c>
      <c r="D1434">
        <v>79.962829589999998</v>
      </c>
      <c r="E1434">
        <v>40</v>
      </c>
      <c r="F1434">
        <v>40.032722473</v>
      </c>
      <c r="G1434">
        <v>1337.4578856999999</v>
      </c>
      <c r="H1434">
        <v>1335.65625</v>
      </c>
      <c r="I1434">
        <v>1326.9398193</v>
      </c>
      <c r="J1434">
        <v>1325.2275391000001</v>
      </c>
      <c r="K1434">
        <v>1650</v>
      </c>
      <c r="L1434">
        <v>0</v>
      </c>
      <c r="M1434">
        <v>0</v>
      </c>
      <c r="N1434">
        <v>1650</v>
      </c>
    </row>
    <row r="1435" spans="1:14" x14ac:dyDescent="0.25">
      <c r="A1435">
        <v>818.49289899999997</v>
      </c>
      <c r="B1435" s="1">
        <f>DATE(2012,7,27) + TIME(11,49,46)</f>
        <v>41117.492893518516</v>
      </c>
      <c r="C1435">
        <v>80</v>
      </c>
      <c r="D1435">
        <v>79.962829589999998</v>
      </c>
      <c r="E1435">
        <v>40</v>
      </c>
      <c r="F1435">
        <v>40.174327849999997</v>
      </c>
      <c r="G1435">
        <v>1337.4561768000001</v>
      </c>
      <c r="H1435">
        <v>1335.6556396000001</v>
      </c>
      <c r="I1435">
        <v>1326.9390868999999</v>
      </c>
      <c r="J1435">
        <v>1325.2244873</v>
      </c>
      <c r="K1435">
        <v>1650</v>
      </c>
      <c r="L1435">
        <v>0</v>
      </c>
      <c r="M1435">
        <v>0</v>
      </c>
      <c r="N1435">
        <v>1650</v>
      </c>
    </row>
    <row r="1436" spans="1:14" x14ac:dyDescent="0.25">
      <c r="A1436">
        <v>819.21788900000001</v>
      </c>
      <c r="B1436" s="1">
        <f>DATE(2012,7,28) + TIME(5,13,45)</f>
        <v>41118.217881944445</v>
      </c>
      <c r="C1436">
        <v>80</v>
      </c>
      <c r="D1436">
        <v>79.962821959999999</v>
      </c>
      <c r="E1436">
        <v>40</v>
      </c>
      <c r="F1436">
        <v>40.32359314</v>
      </c>
      <c r="G1436">
        <v>1337.4544678</v>
      </c>
      <c r="H1436">
        <v>1335.6550293</v>
      </c>
      <c r="I1436">
        <v>1326.9384766000001</v>
      </c>
      <c r="J1436">
        <v>1325.2216797000001</v>
      </c>
      <c r="K1436">
        <v>1650</v>
      </c>
      <c r="L1436">
        <v>0</v>
      </c>
      <c r="M1436">
        <v>0</v>
      </c>
      <c r="N1436">
        <v>1650</v>
      </c>
    </row>
    <row r="1437" spans="1:14" x14ac:dyDescent="0.25">
      <c r="A1437">
        <v>819.94287899999995</v>
      </c>
      <c r="B1437" s="1">
        <f>DATE(2012,7,28) + TIME(22,37,44)</f>
        <v>41118.942870370367</v>
      </c>
      <c r="C1437">
        <v>80</v>
      </c>
      <c r="D1437">
        <v>79.962821959999999</v>
      </c>
      <c r="E1437">
        <v>40</v>
      </c>
      <c r="F1437">
        <v>40.480731964</v>
      </c>
      <c r="G1437">
        <v>1337.4527588000001</v>
      </c>
      <c r="H1437">
        <v>1335.6542969</v>
      </c>
      <c r="I1437">
        <v>1326.9379882999999</v>
      </c>
      <c r="J1437">
        <v>1325.2191161999999</v>
      </c>
      <c r="K1437">
        <v>1650</v>
      </c>
      <c r="L1437">
        <v>0</v>
      </c>
      <c r="M1437">
        <v>0</v>
      </c>
      <c r="N1437">
        <v>1650</v>
      </c>
    </row>
    <row r="1438" spans="1:14" x14ac:dyDescent="0.25">
      <c r="A1438">
        <v>820.66786999999999</v>
      </c>
      <c r="B1438" s="1">
        <f>DATE(2012,7,29) + TIME(16,1,43)</f>
        <v>41119.667858796296</v>
      </c>
      <c r="C1438">
        <v>80</v>
      </c>
      <c r="D1438">
        <v>79.962821959999999</v>
      </c>
      <c r="E1438">
        <v>40</v>
      </c>
      <c r="F1438">
        <v>40.645824431999998</v>
      </c>
      <c r="G1438">
        <v>1337.4510498</v>
      </c>
      <c r="H1438">
        <v>1335.6536865</v>
      </c>
      <c r="I1438">
        <v>1326.9376221</v>
      </c>
      <c r="J1438">
        <v>1325.2166748</v>
      </c>
      <c r="K1438">
        <v>1650</v>
      </c>
      <c r="L1438">
        <v>0</v>
      </c>
      <c r="M1438">
        <v>0</v>
      </c>
      <c r="N1438">
        <v>1650</v>
      </c>
    </row>
    <row r="1439" spans="1:14" x14ac:dyDescent="0.25">
      <c r="A1439">
        <v>821.39286000000004</v>
      </c>
      <c r="B1439" s="1">
        <f>DATE(2012,7,30) + TIME(9,25,43)</f>
        <v>41120.392858796295</v>
      </c>
      <c r="C1439">
        <v>80</v>
      </c>
      <c r="D1439">
        <v>79.962821959999999</v>
      </c>
      <c r="E1439">
        <v>40</v>
      </c>
      <c r="F1439">
        <v>40.818843842</v>
      </c>
      <c r="G1439">
        <v>1337.4492187999999</v>
      </c>
      <c r="H1439">
        <v>1335.6529541</v>
      </c>
      <c r="I1439">
        <v>1326.9372559000001</v>
      </c>
      <c r="J1439">
        <v>1325.2144774999999</v>
      </c>
      <c r="K1439">
        <v>1650</v>
      </c>
      <c r="L1439">
        <v>0</v>
      </c>
      <c r="M1439">
        <v>0</v>
      </c>
      <c r="N1439">
        <v>1650</v>
      </c>
    </row>
    <row r="1440" spans="1:14" x14ac:dyDescent="0.25">
      <c r="A1440">
        <v>822.11784999999998</v>
      </c>
      <c r="B1440" s="1">
        <f>DATE(2012,7,31) + TIME(2,49,42)</f>
        <v>41121.117847222224</v>
      </c>
      <c r="C1440">
        <v>80</v>
      </c>
      <c r="D1440">
        <v>79.962821959999999</v>
      </c>
      <c r="E1440">
        <v>40</v>
      </c>
      <c r="F1440">
        <v>40.999713898000003</v>
      </c>
      <c r="G1440">
        <v>1337.4475098</v>
      </c>
      <c r="H1440">
        <v>1335.6522216999999</v>
      </c>
      <c r="I1440">
        <v>1326.9371338000001</v>
      </c>
      <c r="J1440">
        <v>1325.2125243999999</v>
      </c>
      <c r="K1440">
        <v>1650</v>
      </c>
      <c r="L1440">
        <v>0</v>
      </c>
      <c r="M1440">
        <v>0</v>
      </c>
      <c r="N1440">
        <v>1650</v>
      </c>
    </row>
    <row r="1441" spans="1:14" x14ac:dyDescent="0.25">
      <c r="A1441">
        <v>823</v>
      </c>
      <c r="B1441" s="1">
        <f>DATE(2012,8,1) + TIME(0,0,0)</f>
        <v>41122</v>
      </c>
      <c r="C1441">
        <v>80</v>
      </c>
      <c r="D1441">
        <v>79.962821959999999</v>
      </c>
      <c r="E1441">
        <v>40</v>
      </c>
      <c r="F1441">
        <v>41.210735321000001</v>
      </c>
      <c r="G1441">
        <v>1337.4456786999999</v>
      </c>
      <c r="H1441">
        <v>1335.6516113</v>
      </c>
      <c r="I1441">
        <v>1326.9364014</v>
      </c>
      <c r="J1441">
        <v>1325.2106934000001</v>
      </c>
      <c r="K1441">
        <v>1650</v>
      </c>
      <c r="L1441">
        <v>0</v>
      </c>
      <c r="M1441">
        <v>0</v>
      </c>
      <c r="N1441">
        <v>1650</v>
      </c>
    </row>
    <row r="1442" spans="1:14" x14ac:dyDescent="0.25">
      <c r="A1442">
        <v>824.44998099999998</v>
      </c>
      <c r="B1442" s="1">
        <f>DATE(2012,8,2) + TIME(10,47,58)</f>
        <v>41123.449976851851</v>
      </c>
      <c r="C1442">
        <v>80</v>
      </c>
      <c r="D1442">
        <v>79.962837218999994</v>
      </c>
      <c r="E1442">
        <v>40</v>
      </c>
      <c r="F1442">
        <v>41.503314971999998</v>
      </c>
      <c r="G1442">
        <v>1337.4436035000001</v>
      </c>
      <c r="H1442">
        <v>1335.6507568</v>
      </c>
      <c r="I1442">
        <v>1326.9354248</v>
      </c>
      <c r="J1442">
        <v>1325.2084961</v>
      </c>
      <c r="K1442">
        <v>1650</v>
      </c>
      <c r="L1442">
        <v>0</v>
      </c>
      <c r="M1442">
        <v>0</v>
      </c>
      <c r="N1442">
        <v>1650</v>
      </c>
    </row>
    <row r="1443" spans="1:14" x14ac:dyDescent="0.25">
      <c r="A1443">
        <v>825.94165899999996</v>
      </c>
      <c r="B1443" s="1">
        <f>DATE(2012,8,3) + TIME(22,35,59)</f>
        <v>41124.941655092596</v>
      </c>
      <c r="C1443">
        <v>80</v>
      </c>
      <c r="D1443">
        <v>79.962837218999994</v>
      </c>
      <c r="E1443">
        <v>40</v>
      </c>
      <c r="F1443">
        <v>41.880001067999999</v>
      </c>
      <c r="G1443">
        <v>1337.4401855000001</v>
      </c>
      <c r="H1443">
        <v>1335.6494141000001</v>
      </c>
      <c r="I1443">
        <v>1326.9362793</v>
      </c>
      <c r="J1443">
        <v>1325.2059326000001</v>
      </c>
      <c r="K1443">
        <v>1650</v>
      </c>
      <c r="L1443">
        <v>0</v>
      </c>
      <c r="M1443">
        <v>0</v>
      </c>
      <c r="N1443">
        <v>1650</v>
      </c>
    </row>
    <row r="1444" spans="1:14" x14ac:dyDescent="0.25">
      <c r="A1444">
        <v>826.72624099999996</v>
      </c>
      <c r="B1444" s="1">
        <f>DATE(2012,8,4) + TIME(17,25,47)</f>
        <v>41125.726238425923</v>
      </c>
      <c r="C1444">
        <v>80</v>
      </c>
      <c r="D1444">
        <v>79.962829589999998</v>
      </c>
      <c r="E1444">
        <v>40</v>
      </c>
      <c r="F1444">
        <v>42.193355560000001</v>
      </c>
      <c r="G1444">
        <v>1337.4367675999999</v>
      </c>
      <c r="H1444">
        <v>1335.6479492000001</v>
      </c>
      <c r="I1444">
        <v>1326.9393310999999</v>
      </c>
      <c r="J1444">
        <v>1325.2045897999999</v>
      </c>
      <c r="K1444">
        <v>1650</v>
      </c>
      <c r="L1444">
        <v>0</v>
      </c>
      <c r="M1444">
        <v>0</v>
      </c>
      <c r="N1444">
        <v>1650</v>
      </c>
    </row>
    <row r="1445" spans="1:14" x14ac:dyDescent="0.25">
      <c r="A1445">
        <v>828.10088099999996</v>
      </c>
      <c r="B1445" s="1">
        <f>DATE(2012,8,6) + TIME(2,25,16)</f>
        <v>41127.10087962963</v>
      </c>
      <c r="C1445">
        <v>80</v>
      </c>
      <c r="D1445">
        <v>79.962837218999994</v>
      </c>
      <c r="E1445">
        <v>40</v>
      </c>
      <c r="F1445">
        <v>42.578060149999999</v>
      </c>
      <c r="G1445">
        <v>1337.4349365</v>
      </c>
      <c r="H1445">
        <v>1335.6473389</v>
      </c>
      <c r="I1445">
        <v>1326.9373779</v>
      </c>
      <c r="J1445">
        <v>1325.2037353999999</v>
      </c>
      <c r="K1445">
        <v>1650</v>
      </c>
      <c r="L1445">
        <v>0</v>
      </c>
      <c r="M1445">
        <v>0</v>
      </c>
      <c r="N1445">
        <v>1650</v>
      </c>
    </row>
    <row r="1446" spans="1:14" x14ac:dyDescent="0.25">
      <c r="A1446">
        <v>829.63491799999997</v>
      </c>
      <c r="B1446" s="1">
        <f>DATE(2012,8,7) + TIME(15,14,16)</f>
        <v>41128.63490740741</v>
      </c>
      <c r="C1446">
        <v>80</v>
      </c>
      <c r="D1446">
        <v>79.962844849000007</v>
      </c>
      <c r="E1446">
        <v>40</v>
      </c>
      <c r="F1446">
        <v>43.034717559999997</v>
      </c>
      <c r="G1446">
        <v>1337.4318848</v>
      </c>
      <c r="H1446">
        <v>1335.6461182</v>
      </c>
      <c r="I1446">
        <v>1326.9381103999999</v>
      </c>
      <c r="J1446">
        <v>1325.2028809000001</v>
      </c>
      <c r="K1446">
        <v>1650</v>
      </c>
      <c r="L1446">
        <v>0</v>
      </c>
      <c r="M1446">
        <v>0</v>
      </c>
      <c r="N1446">
        <v>1650</v>
      </c>
    </row>
    <row r="1447" spans="1:14" x14ac:dyDescent="0.25">
      <c r="A1447">
        <v>831.21241999999995</v>
      </c>
      <c r="B1447" s="1">
        <f>DATE(2012,8,9) + TIME(5,5,53)</f>
        <v>41130.212418981479</v>
      </c>
      <c r="C1447">
        <v>80</v>
      </c>
      <c r="D1447">
        <v>79.962852478000002</v>
      </c>
      <c r="E1447">
        <v>40</v>
      </c>
      <c r="F1447">
        <v>43.545063018999997</v>
      </c>
      <c r="G1447">
        <v>1337.4285889</v>
      </c>
      <c r="H1447">
        <v>1335.6446533000001</v>
      </c>
      <c r="I1447">
        <v>1326.9395752</v>
      </c>
      <c r="J1447">
        <v>1325.2027588000001</v>
      </c>
      <c r="K1447">
        <v>1650</v>
      </c>
      <c r="L1447">
        <v>0</v>
      </c>
      <c r="M1447">
        <v>0</v>
      </c>
      <c r="N1447">
        <v>1650</v>
      </c>
    </row>
    <row r="1448" spans="1:14" x14ac:dyDescent="0.25">
      <c r="A1448">
        <v>832.79285100000004</v>
      </c>
      <c r="B1448" s="1">
        <f>DATE(2012,8,10) + TIME(19,1,42)</f>
        <v>41131.792847222219</v>
      </c>
      <c r="C1448">
        <v>80</v>
      </c>
      <c r="D1448">
        <v>79.962852478000002</v>
      </c>
      <c r="E1448">
        <v>40</v>
      </c>
      <c r="F1448">
        <v>44.094451904000003</v>
      </c>
      <c r="G1448">
        <v>1337.4251709</v>
      </c>
      <c r="H1448">
        <v>1335.6433105000001</v>
      </c>
      <c r="I1448">
        <v>1326.9414062000001</v>
      </c>
      <c r="J1448">
        <v>1325.2033690999999</v>
      </c>
      <c r="K1448">
        <v>1650</v>
      </c>
      <c r="L1448">
        <v>0</v>
      </c>
      <c r="M1448">
        <v>0</v>
      </c>
      <c r="N1448">
        <v>1650</v>
      </c>
    </row>
    <row r="1449" spans="1:14" x14ac:dyDescent="0.25">
      <c r="A1449">
        <v>834.38482099999999</v>
      </c>
      <c r="B1449" s="1">
        <f>DATE(2012,8,12) + TIME(9,14,8)</f>
        <v>41133.384814814817</v>
      </c>
      <c r="C1449">
        <v>80</v>
      </c>
      <c r="D1449">
        <v>79.962860106999997</v>
      </c>
      <c r="E1449">
        <v>40</v>
      </c>
      <c r="F1449">
        <v>44.674942016999999</v>
      </c>
      <c r="G1449">
        <v>1337.421875</v>
      </c>
      <c r="H1449">
        <v>1335.6419678</v>
      </c>
      <c r="I1449">
        <v>1326.9433594</v>
      </c>
      <c r="J1449">
        <v>1325.2048339999999</v>
      </c>
      <c r="K1449">
        <v>1650</v>
      </c>
      <c r="L1449">
        <v>0</v>
      </c>
      <c r="M1449">
        <v>0</v>
      </c>
      <c r="N1449">
        <v>1650</v>
      </c>
    </row>
    <row r="1450" spans="1:14" x14ac:dyDescent="0.25">
      <c r="A1450">
        <v>836.03776600000003</v>
      </c>
      <c r="B1450" s="1">
        <f>DATE(2012,8,14) + TIME(0,54,22)</f>
        <v>41135.037754629629</v>
      </c>
      <c r="C1450">
        <v>80</v>
      </c>
      <c r="D1450">
        <v>79.962867736999996</v>
      </c>
      <c r="E1450">
        <v>40</v>
      </c>
      <c r="F1450">
        <v>45.288730620999999</v>
      </c>
      <c r="G1450">
        <v>1337.4187012</v>
      </c>
      <c r="H1450">
        <v>1335.640625</v>
      </c>
      <c r="I1450">
        <v>1326.9455565999999</v>
      </c>
      <c r="J1450">
        <v>1325.2070312000001</v>
      </c>
      <c r="K1450">
        <v>1650</v>
      </c>
      <c r="L1450">
        <v>0</v>
      </c>
      <c r="M1450">
        <v>0</v>
      </c>
      <c r="N1450">
        <v>1650</v>
      </c>
    </row>
    <row r="1451" spans="1:14" x14ac:dyDescent="0.25">
      <c r="A1451">
        <v>837.73947299999998</v>
      </c>
      <c r="B1451" s="1">
        <f>DATE(2012,8,15) + TIME(17,44,50)</f>
        <v>41136.73946759259</v>
      </c>
      <c r="C1451">
        <v>80</v>
      </c>
      <c r="D1451">
        <v>79.962875366000006</v>
      </c>
      <c r="E1451">
        <v>40</v>
      </c>
      <c r="F1451">
        <v>45.934345245000003</v>
      </c>
      <c r="G1451">
        <v>1337.4154053</v>
      </c>
      <c r="H1451">
        <v>1335.6392822</v>
      </c>
      <c r="I1451">
        <v>1326.9481201000001</v>
      </c>
      <c r="J1451">
        <v>1325.2100829999999</v>
      </c>
      <c r="K1451">
        <v>1650</v>
      </c>
      <c r="L1451">
        <v>0</v>
      </c>
      <c r="M1451">
        <v>0</v>
      </c>
      <c r="N1451">
        <v>1650</v>
      </c>
    </row>
    <row r="1452" spans="1:14" x14ac:dyDescent="0.25">
      <c r="A1452">
        <v>839.48472300000003</v>
      </c>
      <c r="B1452" s="1">
        <f>DATE(2012,8,17) + TIME(11,38,0)</f>
        <v>41138.484722222223</v>
      </c>
      <c r="C1452">
        <v>80</v>
      </c>
      <c r="D1452">
        <v>79.962882996000005</v>
      </c>
      <c r="E1452">
        <v>40</v>
      </c>
      <c r="F1452">
        <v>46.603984832999998</v>
      </c>
      <c r="G1452">
        <v>1337.4121094</v>
      </c>
      <c r="H1452">
        <v>1335.6379394999999</v>
      </c>
      <c r="I1452">
        <v>1326.9510498</v>
      </c>
      <c r="J1452">
        <v>1325.2137451000001</v>
      </c>
      <c r="K1452">
        <v>1650</v>
      </c>
      <c r="L1452">
        <v>0</v>
      </c>
      <c r="M1452">
        <v>0</v>
      </c>
      <c r="N1452">
        <v>1650</v>
      </c>
    </row>
    <row r="1453" spans="1:14" x14ac:dyDescent="0.25">
      <c r="A1453">
        <v>841.29442700000004</v>
      </c>
      <c r="B1453" s="1">
        <f>DATE(2012,8,19) + TIME(7,3,58)</f>
        <v>41140.294421296298</v>
      </c>
      <c r="C1453">
        <v>80</v>
      </c>
      <c r="D1453">
        <v>79.962890625</v>
      </c>
      <c r="E1453">
        <v>40</v>
      </c>
      <c r="F1453">
        <v>47.291530608999999</v>
      </c>
      <c r="G1453">
        <v>1337.4088135</v>
      </c>
      <c r="H1453">
        <v>1335.6365966999999</v>
      </c>
      <c r="I1453">
        <v>1326.9542236</v>
      </c>
      <c r="J1453">
        <v>1325.2181396000001</v>
      </c>
      <c r="K1453">
        <v>1650</v>
      </c>
      <c r="L1453">
        <v>0</v>
      </c>
      <c r="M1453">
        <v>0</v>
      </c>
      <c r="N1453">
        <v>1650</v>
      </c>
    </row>
    <row r="1454" spans="1:14" x14ac:dyDescent="0.25">
      <c r="A1454">
        <v>843.14942299999996</v>
      </c>
      <c r="B1454" s="1">
        <f>DATE(2012,8,21) + TIME(3,35,10)</f>
        <v>41142.149421296293</v>
      </c>
      <c r="C1454">
        <v>80</v>
      </c>
      <c r="D1454">
        <v>79.962905883999994</v>
      </c>
      <c r="E1454">
        <v>40</v>
      </c>
      <c r="F1454">
        <v>47.990352631</v>
      </c>
      <c r="G1454">
        <v>1337.4053954999999</v>
      </c>
      <c r="H1454">
        <v>1335.6351318</v>
      </c>
      <c r="I1454">
        <v>1326.9580077999999</v>
      </c>
      <c r="J1454">
        <v>1325.2231445</v>
      </c>
      <c r="K1454">
        <v>1650</v>
      </c>
      <c r="L1454">
        <v>0</v>
      </c>
      <c r="M1454">
        <v>0</v>
      </c>
      <c r="N1454">
        <v>1650</v>
      </c>
    </row>
    <row r="1455" spans="1:14" x14ac:dyDescent="0.25">
      <c r="A1455">
        <v>845.04175999999995</v>
      </c>
      <c r="B1455" s="1">
        <f>DATE(2012,8,23) + TIME(1,0,8)</f>
        <v>41144.041759259257</v>
      </c>
      <c r="C1455">
        <v>80</v>
      </c>
      <c r="D1455">
        <v>79.962921143000003</v>
      </c>
      <c r="E1455">
        <v>40</v>
      </c>
      <c r="F1455">
        <v>48.691486359000002</v>
      </c>
      <c r="G1455">
        <v>1337.4020995999999</v>
      </c>
      <c r="H1455">
        <v>1335.6337891000001</v>
      </c>
      <c r="I1455">
        <v>1326.9620361</v>
      </c>
      <c r="J1455">
        <v>1325.2288818</v>
      </c>
      <c r="K1455">
        <v>1650</v>
      </c>
      <c r="L1455">
        <v>0</v>
      </c>
      <c r="M1455">
        <v>0</v>
      </c>
      <c r="N1455">
        <v>1650</v>
      </c>
    </row>
    <row r="1456" spans="1:14" x14ac:dyDescent="0.25">
      <c r="A1456">
        <v>846.99103600000001</v>
      </c>
      <c r="B1456" s="1">
        <f>DATE(2012,8,24) + TIME(23,47,5)</f>
        <v>41145.991030092591</v>
      </c>
      <c r="C1456">
        <v>80</v>
      </c>
      <c r="D1456">
        <v>79.962928771999998</v>
      </c>
      <c r="E1456">
        <v>40</v>
      </c>
      <c r="F1456">
        <v>49.390033721999998</v>
      </c>
      <c r="G1456">
        <v>1337.3988036999999</v>
      </c>
      <c r="H1456">
        <v>1335.6324463000001</v>
      </c>
      <c r="I1456">
        <v>1326.9664307</v>
      </c>
      <c r="J1456">
        <v>1325.2349853999999</v>
      </c>
      <c r="K1456">
        <v>1650</v>
      </c>
      <c r="L1456">
        <v>0</v>
      </c>
      <c r="M1456">
        <v>0</v>
      </c>
      <c r="N1456">
        <v>1650</v>
      </c>
    </row>
    <row r="1457" spans="1:14" x14ac:dyDescent="0.25">
      <c r="A1457">
        <v>849.01162099999999</v>
      </c>
      <c r="B1457" s="1">
        <f>DATE(2012,8,27) + TIME(0,16,44)</f>
        <v>41148.011620370373</v>
      </c>
      <c r="C1457">
        <v>80</v>
      </c>
      <c r="D1457">
        <v>79.962944031000006</v>
      </c>
      <c r="E1457">
        <v>40</v>
      </c>
      <c r="F1457">
        <v>50.084674835000001</v>
      </c>
      <c r="G1457">
        <v>1337.3955077999999</v>
      </c>
      <c r="H1457">
        <v>1335.6311035000001</v>
      </c>
      <c r="I1457">
        <v>1326.9710693</v>
      </c>
      <c r="J1457">
        <v>1325.2415771000001</v>
      </c>
      <c r="K1457">
        <v>1650</v>
      </c>
      <c r="L1457">
        <v>0</v>
      </c>
      <c r="M1457">
        <v>0</v>
      </c>
      <c r="N1457">
        <v>1650</v>
      </c>
    </row>
    <row r="1458" spans="1:14" x14ac:dyDescent="0.25">
      <c r="A1458">
        <v>851.055655</v>
      </c>
      <c r="B1458" s="1">
        <f>DATE(2012,8,29) + TIME(1,20,8)</f>
        <v>41150.055648148147</v>
      </c>
      <c r="C1458">
        <v>80</v>
      </c>
      <c r="D1458">
        <v>79.962966918999996</v>
      </c>
      <c r="E1458">
        <v>40</v>
      </c>
      <c r="F1458">
        <v>50.767471313000001</v>
      </c>
      <c r="G1458">
        <v>1337.3920897999999</v>
      </c>
      <c r="H1458">
        <v>1335.6296387</v>
      </c>
      <c r="I1458">
        <v>1326.9763184000001</v>
      </c>
      <c r="J1458">
        <v>1325.2486572</v>
      </c>
      <c r="K1458">
        <v>1650</v>
      </c>
      <c r="L1458">
        <v>0</v>
      </c>
      <c r="M1458">
        <v>0</v>
      </c>
      <c r="N1458">
        <v>1650</v>
      </c>
    </row>
    <row r="1459" spans="1:14" x14ac:dyDescent="0.25">
      <c r="A1459">
        <v>853.144139</v>
      </c>
      <c r="B1459" s="1">
        <f>DATE(2012,8,31) + TIME(3,27,33)</f>
        <v>41152.144131944442</v>
      </c>
      <c r="C1459">
        <v>80</v>
      </c>
      <c r="D1459">
        <v>79.962982178000004</v>
      </c>
      <c r="E1459">
        <v>40</v>
      </c>
      <c r="F1459">
        <v>51.430358886999997</v>
      </c>
      <c r="G1459">
        <v>1337.3887939000001</v>
      </c>
      <c r="H1459">
        <v>1335.6282959</v>
      </c>
      <c r="I1459">
        <v>1326.9819336</v>
      </c>
      <c r="J1459">
        <v>1325.2561035000001</v>
      </c>
      <c r="K1459">
        <v>1650</v>
      </c>
      <c r="L1459">
        <v>0</v>
      </c>
      <c r="M1459">
        <v>0</v>
      </c>
      <c r="N1459">
        <v>1650</v>
      </c>
    </row>
    <row r="1460" spans="1:14" x14ac:dyDescent="0.25">
      <c r="A1460">
        <v>854</v>
      </c>
      <c r="B1460" s="1">
        <f>DATE(2012,9,1) + TIME(0,0,0)</f>
        <v>41153</v>
      </c>
      <c r="C1460">
        <v>80</v>
      </c>
      <c r="D1460">
        <v>79.962974548000005</v>
      </c>
      <c r="E1460">
        <v>40</v>
      </c>
      <c r="F1460">
        <v>51.878746032999999</v>
      </c>
      <c r="G1460">
        <v>1337.3854980000001</v>
      </c>
      <c r="H1460">
        <v>1335.6269531</v>
      </c>
      <c r="I1460">
        <v>1326.9907227000001</v>
      </c>
      <c r="J1460">
        <v>1325.2642822</v>
      </c>
      <c r="K1460">
        <v>1650</v>
      </c>
      <c r="L1460">
        <v>0</v>
      </c>
      <c r="M1460">
        <v>0</v>
      </c>
      <c r="N1460">
        <v>1650</v>
      </c>
    </row>
    <row r="1461" spans="1:14" x14ac:dyDescent="0.25">
      <c r="A1461">
        <v>856.15511000000004</v>
      </c>
      <c r="B1461" s="1">
        <f>DATE(2012,9,3) + TIME(3,43,21)</f>
        <v>41155.155104166668</v>
      </c>
      <c r="C1461">
        <v>80</v>
      </c>
      <c r="D1461">
        <v>79.963005065999994</v>
      </c>
      <c r="E1461">
        <v>40</v>
      </c>
      <c r="F1461">
        <v>52.382717133</v>
      </c>
      <c r="G1461">
        <v>1337.3842772999999</v>
      </c>
      <c r="H1461">
        <v>1335.6264647999999</v>
      </c>
      <c r="I1461">
        <v>1326.9906006000001</v>
      </c>
      <c r="J1461">
        <v>1325.2697754000001</v>
      </c>
      <c r="K1461">
        <v>1650</v>
      </c>
      <c r="L1461">
        <v>0</v>
      </c>
      <c r="M1461">
        <v>0</v>
      </c>
      <c r="N1461">
        <v>1650</v>
      </c>
    </row>
    <row r="1462" spans="1:14" x14ac:dyDescent="0.25">
      <c r="A1462">
        <v>858.38476300000002</v>
      </c>
      <c r="B1462" s="1">
        <f>DATE(2012,9,5) + TIME(9,14,3)</f>
        <v>41157.384756944448</v>
      </c>
      <c r="C1462">
        <v>80</v>
      </c>
      <c r="D1462">
        <v>79.963027953999998</v>
      </c>
      <c r="E1462">
        <v>40</v>
      </c>
      <c r="F1462">
        <v>52.966125488000003</v>
      </c>
      <c r="G1462">
        <v>1337.3809814000001</v>
      </c>
      <c r="H1462">
        <v>1335.6251221</v>
      </c>
      <c r="I1462">
        <v>1326.996582</v>
      </c>
      <c r="J1462">
        <v>1325.2762451000001</v>
      </c>
      <c r="K1462">
        <v>1650</v>
      </c>
      <c r="L1462">
        <v>0</v>
      </c>
      <c r="M1462">
        <v>0</v>
      </c>
      <c r="N1462">
        <v>1650</v>
      </c>
    </row>
    <row r="1463" spans="1:14" x14ac:dyDescent="0.25">
      <c r="A1463">
        <v>860.65190099999995</v>
      </c>
      <c r="B1463" s="1">
        <f>DATE(2012,9,7) + TIME(15,38,44)</f>
        <v>41159.651898148149</v>
      </c>
      <c r="C1463">
        <v>80</v>
      </c>
      <c r="D1463">
        <v>79.963050842000001</v>
      </c>
      <c r="E1463">
        <v>40</v>
      </c>
      <c r="F1463">
        <v>53.564395904999998</v>
      </c>
      <c r="G1463">
        <v>1337.3776855000001</v>
      </c>
      <c r="H1463">
        <v>1335.6237793</v>
      </c>
      <c r="I1463">
        <v>1327.0032959</v>
      </c>
      <c r="J1463">
        <v>1325.2845459</v>
      </c>
      <c r="K1463">
        <v>1650</v>
      </c>
      <c r="L1463">
        <v>0</v>
      </c>
      <c r="M1463">
        <v>0</v>
      </c>
      <c r="N1463">
        <v>1650</v>
      </c>
    </row>
    <row r="1464" spans="1:14" x14ac:dyDescent="0.25">
      <c r="A1464">
        <v>862.97098100000005</v>
      </c>
      <c r="B1464" s="1">
        <f>DATE(2012,9,9) + TIME(23,18,12)</f>
        <v>41161.970972222225</v>
      </c>
      <c r="C1464">
        <v>80</v>
      </c>
      <c r="D1464">
        <v>79.963073730000005</v>
      </c>
      <c r="E1464">
        <v>40</v>
      </c>
      <c r="F1464">
        <v>54.154525757000002</v>
      </c>
      <c r="G1464">
        <v>1337.3743896000001</v>
      </c>
      <c r="H1464">
        <v>1335.6224365</v>
      </c>
      <c r="I1464">
        <v>1327.0102539</v>
      </c>
      <c r="J1464">
        <v>1325.2933350000001</v>
      </c>
      <c r="K1464">
        <v>1650</v>
      </c>
      <c r="L1464">
        <v>0</v>
      </c>
      <c r="M1464">
        <v>0</v>
      </c>
      <c r="N1464">
        <v>1650</v>
      </c>
    </row>
    <row r="1465" spans="1:14" x14ac:dyDescent="0.25">
      <c r="A1465">
        <v>865.35255800000004</v>
      </c>
      <c r="B1465" s="1">
        <f>DATE(2012,9,12) + TIME(8,27,41)</f>
        <v>41164.35255787037</v>
      </c>
      <c r="C1465">
        <v>80</v>
      </c>
      <c r="D1465">
        <v>79.963096618999998</v>
      </c>
      <c r="E1465">
        <v>40</v>
      </c>
      <c r="F1465">
        <v>54.731235503999997</v>
      </c>
      <c r="G1465">
        <v>1337.3712158000001</v>
      </c>
      <c r="H1465">
        <v>1335.6212158000001</v>
      </c>
      <c r="I1465">
        <v>1327.0173339999999</v>
      </c>
      <c r="J1465">
        <v>1325.3024902</v>
      </c>
      <c r="K1465">
        <v>1650</v>
      </c>
      <c r="L1465">
        <v>0</v>
      </c>
      <c r="M1465">
        <v>0</v>
      </c>
      <c r="N1465">
        <v>1650</v>
      </c>
    </row>
    <row r="1466" spans="1:14" x14ac:dyDescent="0.25">
      <c r="A1466">
        <v>867.80533200000002</v>
      </c>
      <c r="B1466" s="1">
        <f>DATE(2012,9,14) + TIME(19,19,40)</f>
        <v>41166.805324074077</v>
      </c>
      <c r="C1466">
        <v>80</v>
      </c>
      <c r="D1466">
        <v>79.963119507000002</v>
      </c>
      <c r="E1466">
        <v>40</v>
      </c>
      <c r="F1466">
        <v>55.292354584000002</v>
      </c>
      <c r="G1466">
        <v>1337.3680420000001</v>
      </c>
      <c r="H1466">
        <v>1335.6198730000001</v>
      </c>
      <c r="I1466">
        <v>1327.0246582</v>
      </c>
      <c r="J1466">
        <v>1325.3117675999999</v>
      </c>
      <c r="K1466">
        <v>1650</v>
      </c>
      <c r="L1466">
        <v>0</v>
      </c>
      <c r="M1466">
        <v>0</v>
      </c>
      <c r="N1466">
        <v>1650</v>
      </c>
    </row>
    <row r="1467" spans="1:14" x14ac:dyDescent="0.25">
      <c r="A1467">
        <v>870.28747999999996</v>
      </c>
      <c r="B1467" s="1">
        <f>DATE(2012,9,17) + TIME(6,53,58)</f>
        <v>41169.287476851852</v>
      </c>
      <c r="C1467">
        <v>80</v>
      </c>
      <c r="D1467">
        <v>79.963150024000001</v>
      </c>
      <c r="E1467">
        <v>40</v>
      </c>
      <c r="F1467">
        <v>55.836894989000001</v>
      </c>
      <c r="G1467">
        <v>1337.3648682</v>
      </c>
      <c r="H1467">
        <v>1335.6185303</v>
      </c>
      <c r="I1467">
        <v>1327.0321045000001</v>
      </c>
      <c r="J1467">
        <v>1325.3210449000001</v>
      </c>
      <c r="K1467">
        <v>1650</v>
      </c>
      <c r="L1467">
        <v>0</v>
      </c>
      <c r="M1467">
        <v>0</v>
      </c>
      <c r="N1467">
        <v>1650</v>
      </c>
    </row>
    <row r="1468" spans="1:14" x14ac:dyDescent="0.25">
      <c r="A1468">
        <v>872.81416899999999</v>
      </c>
      <c r="B1468" s="1">
        <f>DATE(2012,9,19) + TIME(19,32,24)</f>
        <v>41171.814166666663</v>
      </c>
      <c r="C1468">
        <v>80</v>
      </c>
      <c r="D1468">
        <v>79.963180542000003</v>
      </c>
      <c r="E1468">
        <v>40</v>
      </c>
      <c r="F1468">
        <v>56.360496521000002</v>
      </c>
      <c r="G1468">
        <v>1337.3616943</v>
      </c>
      <c r="H1468">
        <v>1335.6173096</v>
      </c>
      <c r="I1468">
        <v>1327.0396728999999</v>
      </c>
      <c r="J1468">
        <v>1325.3304443</v>
      </c>
      <c r="K1468">
        <v>1650</v>
      </c>
      <c r="L1468">
        <v>0</v>
      </c>
      <c r="M1468">
        <v>0</v>
      </c>
      <c r="N1468">
        <v>1650</v>
      </c>
    </row>
    <row r="1469" spans="1:14" x14ac:dyDescent="0.25">
      <c r="A1469">
        <v>875.41408000000001</v>
      </c>
      <c r="B1469" s="1">
        <f>DATE(2012,9,22) + TIME(9,56,16)</f>
        <v>41174.414074074077</v>
      </c>
      <c r="C1469">
        <v>80</v>
      </c>
      <c r="D1469">
        <v>79.963211060000006</v>
      </c>
      <c r="E1469">
        <v>40</v>
      </c>
      <c r="F1469">
        <v>56.864891051999997</v>
      </c>
      <c r="G1469">
        <v>1337.3585204999999</v>
      </c>
      <c r="H1469">
        <v>1335.6160889</v>
      </c>
      <c r="I1469">
        <v>1327.0472411999999</v>
      </c>
      <c r="J1469">
        <v>1325.3397216999999</v>
      </c>
      <c r="K1469">
        <v>1650</v>
      </c>
      <c r="L1469">
        <v>0</v>
      </c>
      <c r="M1469">
        <v>0</v>
      </c>
      <c r="N1469">
        <v>1650</v>
      </c>
    </row>
    <row r="1470" spans="1:14" x14ac:dyDescent="0.25">
      <c r="A1470">
        <v>878.09853799999996</v>
      </c>
      <c r="B1470" s="1">
        <f>DATE(2012,9,25) + TIME(2,21,53)</f>
        <v>41177.098530092589</v>
      </c>
      <c r="C1470">
        <v>80</v>
      </c>
      <c r="D1470">
        <v>79.963241577000005</v>
      </c>
      <c r="E1470">
        <v>40</v>
      </c>
      <c r="F1470">
        <v>57.354450225999997</v>
      </c>
      <c r="G1470">
        <v>1337.3554687999999</v>
      </c>
      <c r="H1470">
        <v>1335.6148682</v>
      </c>
      <c r="I1470">
        <v>1327.0549315999999</v>
      </c>
      <c r="J1470">
        <v>1325.3488769999999</v>
      </c>
      <c r="K1470">
        <v>1650</v>
      </c>
      <c r="L1470">
        <v>0</v>
      </c>
      <c r="M1470">
        <v>0</v>
      </c>
      <c r="N1470">
        <v>1650</v>
      </c>
    </row>
    <row r="1471" spans="1:14" x14ac:dyDescent="0.25">
      <c r="A1471">
        <v>880.81044499999996</v>
      </c>
      <c r="B1471" s="1">
        <f>DATE(2012,9,27) + TIME(19,27,2)</f>
        <v>41179.810439814813</v>
      </c>
      <c r="C1471">
        <v>80</v>
      </c>
      <c r="D1471">
        <v>79.963272094999994</v>
      </c>
      <c r="E1471">
        <v>40</v>
      </c>
      <c r="F1471">
        <v>57.828964233000001</v>
      </c>
      <c r="G1471">
        <v>1337.3524170000001</v>
      </c>
      <c r="H1471">
        <v>1335.6136475000001</v>
      </c>
      <c r="I1471">
        <v>1327.0626221</v>
      </c>
      <c r="J1471">
        <v>1325.3580322</v>
      </c>
      <c r="K1471">
        <v>1650</v>
      </c>
      <c r="L1471">
        <v>0</v>
      </c>
      <c r="M1471">
        <v>0</v>
      </c>
      <c r="N1471">
        <v>1650</v>
      </c>
    </row>
    <row r="1472" spans="1:14" x14ac:dyDescent="0.25">
      <c r="A1472">
        <v>883.58154100000002</v>
      </c>
      <c r="B1472" s="1">
        <f>DATE(2012,9,30) + TIME(13,57,25)</f>
        <v>41182.58153935185</v>
      </c>
      <c r="C1472">
        <v>80</v>
      </c>
      <c r="D1472">
        <v>79.963302612000007</v>
      </c>
      <c r="E1472">
        <v>40</v>
      </c>
      <c r="F1472">
        <v>58.284267426</v>
      </c>
      <c r="G1472">
        <v>1337.3493652</v>
      </c>
      <c r="H1472">
        <v>1335.6125488</v>
      </c>
      <c r="I1472">
        <v>1327.0704346</v>
      </c>
      <c r="J1472">
        <v>1325.3670654</v>
      </c>
      <c r="K1472">
        <v>1650</v>
      </c>
      <c r="L1472">
        <v>0</v>
      </c>
      <c r="M1472">
        <v>0</v>
      </c>
      <c r="N1472">
        <v>1650</v>
      </c>
    </row>
    <row r="1473" spans="1:14" x14ac:dyDescent="0.25">
      <c r="A1473">
        <v>884</v>
      </c>
      <c r="B1473" s="1">
        <f>DATE(2012,10,1) + TIME(0,0,0)</f>
        <v>41183</v>
      </c>
      <c r="C1473">
        <v>80</v>
      </c>
      <c r="D1473">
        <v>79.963294982999997</v>
      </c>
      <c r="E1473">
        <v>40</v>
      </c>
      <c r="F1473">
        <v>58.477336884000003</v>
      </c>
      <c r="G1473">
        <v>1337.3464355000001</v>
      </c>
      <c r="H1473">
        <v>1335.6114502</v>
      </c>
      <c r="I1473">
        <v>1327.0817870999999</v>
      </c>
      <c r="J1473">
        <v>1325.3764647999999</v>
      </c>
      <c r="K1473">
        <v>1650</v>
      </c>
      <c r="L1473">
        <v>0</v>
      </c>
      <c r="M1473">
        <v>0</v>
      </c>
      <c r="N1473">
        <v>1650</v>
      </c>
    </row>
    <row r="1474" spans="1:14" x14ac:dyDescent="0.25">
      <c r="A1474">
        <v>886.86406099999999</v>
      </c>
      <c r="B1474" s="1">
        <f>DATE(2012,10,3) + TIME(20,44,14)</f>
        <v>41185.864050925928</v>
      </c>
      <c r="C1474">
        <v>80</v>
      </c>
      <c r="D1474">
        <v>79.963340759000005</v>
      </c>
      <c r="E1474">
        <v>40</v>
      </c>
      <c r="F1474">
        <v>58.815326691000003</v>
      </c>
      <c r="G1474">
        <v>1337.3459473</v>
      </c>
      <c r="H1474">
        <v>1335.6112060999999</v>
      </c>
      <c r="I1474">
        <v>1327.0800781</v>
      </c>
      <c r="J1474">
        <v>1325.3798827999999</v>
      </c>
      <c r="K1474">
        <v>1650</v>
      </c>
      <c r="L1474">
        <v>0</v>
      </c>
      <c r="M1474">
        <v>0</v>
      </c>
      <c r="N1474">
        <v>1650</v>
      </c>
    </row>
    <row r="1475" spans="1:14" x14ac:dyDescent="0.25">
      <c r="A1475">
        <v>889.80410400000005</v>
      </c>
      <c r="B1475" s="1">
        <f>DATE(2012,10,6) + TIME(19,17,54)</f>
        <v>41188.804097222222</v>
      </c>
      <c r="C1475">
        <v>80</v>
      </c>
      <c r="D1475">
        <v>79.963386536000002</v>
      </c>
      <c r="E1475">
        <v>40</v>
      </c>
      <c r="F1475">
        <v>59.21484375</v>
      </c>
      <c r="G1475">
        <v>1337.3428954999999</v>
      </c>
      <c r="H1475">
        <v>1335.6101074000001</v>
      </c>
      <c r="I1475">
        <v>1327.0871582</v>
      </c>
      <c r="J1475">
        <v>1325.3864745999999</v>
      </c>
      <c r="K1475">
        <v>1650</v>
      </c>
      <c r="L1475">
        <v>0</v>
      </c>
      <c r="M1475">
        <v>0</v>
      </c>
      <c r="N1475">
        <v>1650</v>
      </c>
    </row>
    <row r="1476" spans="1:14" x14ac:dyDescent="0.25">
      <c r="A1476">
        <v>892.79133000000002</v>
      </c>
      <c r="B1476" s="1">
        <f>DATE(2012,10,9) + TIME(18,59,30)</f>
        <v>41191.791319444441</v>
      </c>
      <c r="C1476">
        <v>80</v>
      </c>
      <c r="D1476">
        <v>79.963424683</v>
      </c>
      <c r="E1476">
        <v>40</v>
      </c>
      <c r="F1476">
        <v>59.614761352999999</v>
      </c>
      <c r="G1476">
        <v>1337.3399658000001</v>
      </c>
      <c r="H1476">
        <v>1335.6088867000001</v>
      </c>
      <c r="I1476">
        <v>1327.0947266000001</v>
      </c>
      <c r="J1476">
        <v>1325.3946533000001</v>
      </c>
      <c r="K1476">
        <v>1650</v>
      </c>
      <c r="L1476">
        <v>0</v>
      </c>
      <c r="M1476">
        <v>0</v>
      </c>
      <c r="N1476">
        <v>1650</v>
      </c>
    </row>
    <row r="1477" spans="1:14" x14ac:dyDescent="0.25">
      <c r="A1477">
        <v>895.85061299999995</v>
      </c>
      <c r="B1477" s="1">
        <f>DATE(2012,10,12) + TIME(20,24,52)</f>
        <v>41194.850601851853</v>
      </c>
      <c r="C1477">
        <v>80</v>
      </c>
      <c r="D1477">
        <v>79.963462829999997</v>
      </c>
      <c r="E1477">
        <v>40</v>
      </c>
      <c r="F1477">
        <v>60.002677917</v>
      </c>
      <c r="G1477">
        <v>1337.3370361</v>
      </c>
      <c r="H1477">
        <v>1335.6077881000001</v>
      </c>
      <c r="I1477">
        <v>1327.1025391000001</v>
      </c>
      <c r="J1477">
        <v>1325.4030762</v>
      </c>
      <c r="K1477">
        <v>1650</v>
      </c>
      <c r="L1477">
        <v>0</v>
      </c>
      <c r="M1477">
        <v>0</v>
      </c>
      <c r="N1477">
        <v>1650</v>
      </c>
    </row>
    <row r="1478" spans="1:14" x14ac:dyDescent="0.25">
      <c r="A1478">
        <v>898.97637299999997</v>
      </c>
      <c r="B1478" s="1">
        <f>DATE(2012,10,15) + TIME(23,25,58)</f>
        <v>41197.976365740738</v>
      </c>
      <c r="C1478">
        <v>80</v>
      </c>
      <c r="D1478">
        <v>79.963500976999995</v>
      </c>
      <c r="E1478">
        <v>40</v>
      </c>
      <c r="F1478">
        <v>60.376209258999999</v>
      </c>
      <c r="G1478">
        <v>1337.3341064000001</v>
      </c>
      <c r="H1478">
        <v>1335.6066894999999</v>
      </c>
      <c r="I1478">
        <v>1327.1102295000001</v>
      </c>
      <c r="J1478">
        <v>1325.411499</v>
      </c>
      <c r="K1478">
        <v>1650</v>
      </c>
      <c r="L1478">
        <v>0</v>
      </c>
      <c r="M1478">
        <v>0</v>
      </c>
      <c r="N1478">
        <v>1650</v>
      </c>
    </row>
    <row r="1479" spans="1:14" x14ac:dyDescent="0.25">
      <c r="A1479">
        <v>902.20291699999996</v>
      </c>
      <c r="B1479" s="1">
        <f>DATE(2012,10,19) + TIME(4,52,12)</f>
        <v>41201.202916666669</v>
      </c>
      <c r="C1479">
        <v>80</v>
      </c>
      <c r="D1479">
        <v>79.963546753000003</v>
      </c>
      <c r="E1479">
        <v>40</v>
      </c>
      <c r="F1479">
        <v>60.736610413000001</v>
      </c>
      <c r="G1479">
        <v>1337.3312988</v>
      </c>
      <c r="H1479">
        <v>1335.6057129000001</v>
      </c>
      <c r="I1479">
        <v>1327.1180420000001</v>
      </c>
      <c r="J1479">
        <v>1325.4199219</v>
      </c>
      <c r="K1479">
        <v>1650</v>
      </c>
      <c r="L1479">
        <v>0</v>
      </c>
      <c r="M1479">
        <v>0</v>
      </c>
      <c r="N1479">
        <v>1650</v>
      </c>
    </row>
    <row r="1480" spans="1:14" x14ac:dyDescent="0.25">
      <c r="A1480">
        <v>905.47463500000003</v>
      </c>
      <c r="B1480" s="1">
        <f>DATE(2012,10,22) + TIME(11,23,28)</f>
        <v>41204.474629629629</v>
      </c>
      <c r="C1480">
        <v>80</v>
      </c>
      <c r="D1480">
        <v>79.963592528999996</v>
      </c>
      <c r="E1480">
        <v>40</v>
      </c>
      <c r="F1480">
        <v>61.084953308000003</v>
      </c>
      <c r="G1480">
        <v>1337.3284911999999</v>
      </c>
      <c r="H1480">
        <v>1335.6046143000001</v>
      </c>
      <c r="I1480">
        <v>1327.1257324000001</v>
      </c>
      <c r="J1480">
        <v>1325.4281006000001</v>
      </c>
      <c r="K1480">
        <v>1650</v>
      </c>
      <c r="L1480">
        <v>0</v>
      </c>
      <c r="M1480">
        <v>0</v>
      </c>
      <c r="N1480">
        <v>1650</v>
      </c>
    </row>
    <row r="1481" spans="1:14" x14ac:dyDescent="0.25">
      <c r="A1481">
        <v>908.80769099999998</v>
      </c>
      <c r="B1481" s="1">
        <f>DATE(2012,10,25) + TIME(19,23,4)</f>
        <v>41207.807685185187</v>
      </c>
      <c r="C1481">
        <v>80</v>
      </c>
      <c r="D1481">
        <v>79.963638306000007</v>
      </c>
      <c r="E1481">
        <v>40</v>
      </c>
      <c r="F1481">
        <v>61.418766022</v>
      </c>
      <c r="G1481">
        <v>1337.3256836</v>
      </c>
      <c r="H1481">
        <v>1335.6036377</v>
      </c>
      <c r="I1481">
        <v>1327.1334228999999</v>
      </c>
      <c r="J1481">
        <v>1325.4362793</v>
      </c>
      <c r="K1481">
        <v>1650</v>
      </c>
      <c r="L1481">
        <v>0</v>
      </c>
      <c r="M1481">
        <v>0</v>
      </c>
      <c r="N1481">
        <v>1650</v>
      </c>
    </row>
    <row r="1482" spans="1:14" x14ac:dyDescent="0.25">
      <c r="A1482">
        <v>912.24566500000003</v>
      </c>
      <c r="B1482" s="1">
        <f>DATE(2012,10,29) + TIME(5,53,45)</f>
        <v>41211.245659722219</v>
      </c>
      <c r="C1482">
        <v>80</v>
      </c>
      <c r="D1482">
        <v>79.963684082</v>
      </c>
      <c r="E1482">
        <v>40</v>
      </c>
      <c r="F1482">
        <v>61.739212035999998</v>
      </c>
      <c r="G1482">
        <v>1337.322876</v>
      </c>
      <c r="H1482">
        <v>1335.6026611</v>
      </c>
      <c r="I1482">
        <v>1327.1409911999999</v>
      </c>
      <c r="J1482">
        <v>1325.4442139</v>
      </c>
      <c r="K1482">
        <v>1650</v>
      </c>
      <c r="L1482">
        <v>0</v>
      </c>
      <c r="M1482">
        <v>0</v>
      </c>
      <c r="N1482">
        <v>1650</v>
      </c>
    </row>
    <row r="1483" spans="1:14" x14ac:dyDescent="0.25">
      <c r="A1483">
        <v>915</v>
      </c>
      <c r="B1483" s="1">
        <f>DATE(2012,11,1) + TIME(0,0,0)</f>
        <v>41214</v>
      </c>
      <c r="C1483">
        <v>80</v>
      </c>
      <c r="D1483">
        <v>79.963722228999998</v>
      </c>
      <c r="E1483">
        <v>40</v>
      </c>
      <c r="F1483">
        <v>62.03383255</v>
      </c>
      <c r="G1483">
        <v>1337.3200684000001</v>
      </c>
      <c r="H1483">
        <v>1335.6015625</v>
      </c>
      <c r="I1483">
        <v>1327.1489257999999</v>
      </c>
      <c r="J1483">
        <v>1325.4520264</v>
      </c>
      <c r="K1483">
        <v>1650</v>
      </c>
      <c r="L1483">
        <v>0</v>
      </c>
      <c r="M1483">
        <v>0</v>
      </c>
      <c r="N1483">
        <v>1650</v>
      </c>
    </row>
    <row r="1484" spans="1:14" x14ac:dyDescent="0.25">
      <c r="A1484">
        <v>915.000001</v>
      </c>
      <c r="B1484" s="1">
        <f>DATE(2012,11,1) + TIME(0,0,0)</f>
        <v>41214</v>
      </c>
      <c r="C1484">
        <v>80</v>
      </c>
      <c r="D1484">
        <v>79.963653563999998</v>
      </c>
      <c r="E1484">
        <v>40</v>
      </c>
      <c r="F1484">
        <v>62.033893585000001</v>
      </c>
      <c r="G1484">
        <v>1335.1180420000001</v>
      </c>
      <c r="H1484">
        <v>1334.7509766000001</v>
      </c>
      <c r="I1484">
        <v>1329.4747314000001</v>
      </c>
      <c r="J1484">
        <v>1327.8132324000001</v>
      </c>
      <c r="K1484">
        <v>0</v>
      </c>
      <c r="L1484">
        <v>1650</v>
      </c>
      <c r="M1484">
        <v>1650</v>
      </c>
      <c r="N1484">
        <v>0</v>
      </c>
    </row>
    <row r="1485" spans="1:14" x14ac:dyDescent="0.25">
      <c r="A1485">
        <v>915.00000399999999</v>
      </c>
      <c r="B1485" s="1">
        <f>DATE(2012,11,1) + TIME(0,0,0)</f>
        <v>41214</v>
      </c>
      <c r="C1485">
        <v>80</v>
      </c>
      <c r="D1485">
        <v>79.963562011999997</v>
      </c>
      <c r="E1485">
        <v>40</v>
      </c>
      <c r="F1485">
        <v>62.033935546999999</v>
      </c>
      <c r="G1485">
        <v>1334.4774170000001</v>
      </c>
      <c r="H1485">
        <v>1334.1148682</v>
      </c>
      <c r="I1485">
        <v>1330.3125</v>
      </c>
      <c r="J1485">
        <v>1328.7371826000001</v>
      </c>
      <c r="K1485">
        <v>0</v>
      </c>
      <c r="L1485">
        <v>1650</v>
      </c>
      <c r="M1485">
        <v>1650</v>
      </c>
      <c r="N1485">
        <v>0</v>
      </c>
    </row>
    <row r="1486" spans="1:14" x14ac:dyDescent="0.25">
      <c r="A1486">
        <v>915.00001299999997</v>
      </c>
      <c r="B1486" s="1">
        <f>DATE(2012,11,1) + TIME(0,0,1)</f>
        <v>41214.000011574077</v>
      </c>
      <c r="C1486">
        <v>80</v>
      </c>
      <c r="D1486">
        <v>79.963462829999997</v>
      </c>
      <c r="E1486">
        <v>40</v>
      </c>
      <c r="F1486">
        <v>62.03383255</v>
      </c>
      <c r="G1486">
        <v>1333.8101807</v>
      </c>
      <c r="H1486">
        <v>1333.4216309000001</v>
      </c>
      <c r="I1486">
        <v>1331.3402100000001</v>
      </c>
      <c r="J1486">
        <v>1329.7507324000001</v>
      </c>
      <c r="K1486">
        <v>0</v>
      </c>
      <c r="L1486">
        <v>1650</v>
      </c>
      <c r="M1486">
        <v>1650</v>
      </c>
      <c r="N1486">
        <v>0</v>
      </c>
    </row>
    <row r="1487" spans="1:14" x14ac:dyDescent="0.25">
      <c r="A1487">
        <v>915.00004000000001</v>
      </c>
      <c r="B1487" s="1">
        <f>DATE(2012,11,1) + TIME(0,0,3)</f>
        <v>41214.000034722223</v>
      </c>
      <c r="C1487">
        <v>80</v>
      </c>
      <c r="D1487">
        <v>79.963363646999994</v>
      </c>
      <c r="E1487">
        <v>40</v>
      </c>
      <c r="F1487">
        <v>62.033233643000003</v>
      </c>
      <c r="G1487">
        <v>1333.1451416</v>
      </c>
      <c r="H1487">
        <v>1332.7188721</v>
      </c>
      <c r="I1487">
        <v>1332.3905029</v>
      </c>
      <c r="J1487">
        <v>1330.7657471</v>
      </c>
      <c r="K1487">
        <v>0</v>
      </c>
      <c r="L1487">
        <v>1650</v>
      </c>
      <c r="M1487">
        <v>1650</v>
      </c>
      <c r="N1487">
        <v>0</v>
      </c>
    </row>
    <row r="1488" spans="1:14" x14ac:dyDescent="0.25">
      <c r="A1488">
        <v>915.00012100000004</v>
      </c>
      <c r="B1488" s="1">
        <f>DATE(2012,11,1) + TIME(0,0,10)</f>
        <v>41214.000115740739</v>
      </c>
      <c r="C1488">
        <v>80</v>
      </c>
      <c r="D1488">
        <v>79.963264464999995</v>
      </c>
      <c r="E1488">
        <v>40</v>
      </c>
      <c r="F1488">
        <v>62.031116486000002</v>
      </c>
      <c r="G1488">
        <v>1332.4580077999999</v>
      </c>
      <c r="H1488">
        <v>1331.9892577999999</v>
      </c>
      <c r="I1488">
        <v>1333.4277344</v>
      </c>
      <c r="J1488">
        <v>1331.7683105000001</v>
      </c>
      <c r="K1488">
        <v>0</v>
      </c>
      <c r="L1488">
        <v>1650</v>
      </c>
      <c r="M1488">
        <v>1650</v>
      </c>
      <c r="N1488">
        <v>0</v>
      </c>
    </row>
    <row r="1489" spans="1:14" x14ac:dyDescent="0.25">
      <c r="A1489">
        <v>915.00036399999999</v>
      </c>
      <c r="B1489" s="1">
        <f>DATE(2012,11,1) + TIME(0,0,31)</f>
        <v>41214.000358796293</v>
      </c>
      <c r="C1489">
        <v>80</v>
      </c>
      <c r="D1489">
        <v>79.963134765999996</v>
      </c>
      <c r="E1489">
        <v>40</v>
      </c>
      <c r="F1489">
        <v>62.024314879999999</v>
      </c>
      <c r="G1489">
        <v>1331.7617187999999</v>
      </c>
      <c r="H1489">
        <v>1331.2481689000001</v>
      </c>
      <c r="I1489">
        <v>1334.4300536999999</v>
      </c>
      <c r="J1489">
        <v>1332.7260742000001</v>
      </c>
      <c r="K1489">
        <v>0</v>
      </c>
      <c r="L1489">
        <v>1650</v>
      </c>
      <c r="M1489">
        <v>1650</v>
      </c>
      <c r="N1489">
        <v>0</v>
      </c>
    </row>
    <row r="1490" spans="1:14" x14ac:dyDescent="0.25">
      <c r="A1490">
        <v>915.00109299999997</v>
      </c>
      <c r="B1490" s="1">
        <f>DATE(2012,11,1) + TIME(0,1,34)</f>
        <v>41214.001087962963</v>
      </c>
      <c r="C1490">
        <v>80</v>
      </c>
      <c r="D1490">
        <v>79.962966918999996</v>
      </c>
      <c r="E1490">
        <v>40</v>
      </c>
      <c r="F1490">
        <v>62.003078461000001</v>
      </c>
      <c r="G1490">
        <v>1331.161499</v>
      </c>
      <c r="H1490">
        <v>1330.6098632999999</v>
      </c>
      <c r="I1490">
        <v>1335.2800293</v>
      </c>
      <c r="J1490">
        <v>1333.5277100000001</v>
      </c>
      <c r="K1490">
        <v>0</v>
      </c>
      <c r="L1490">
        <v>1650</v>
      </c>
      <c r="M1490">
        <v>1650</v>
      </c>
      <c r="N1490">
        <v>0</v>
      </c>
    </row>
    <row r="1491" spans="1:14" x14ac:dyDescent="0.25">
      <c r="A1491">
        <v>915.00328000000002</v>
      </c>
      <c r="B1491" s="1">
        <f>DATE(2012,11,1) + TIME(0,4,43)</f>
        <v>41214.003275462965</v>
      </c>
      <c r="C1491">
        <v>80</v>
      </c>
      <c r="D1491">
        <v>79.962646484000004</v>
      </c>
      <c r="E1491">
        <v>40</v>
      </c>
      <c r="F1491">
        <v>61.938182830999999</v>
      </c>
      <c r="G1491">
        <v>1330.7615966999999</v>
      </c>
      <c r="H1491">
        <v>1330.1896973</v>
      </c>
      <c r="I1491">
        <v>1335.8411865</v>
      </c>
      <c r="J1491">
        <v>1334.0565185999999</v>
      </c>
      <c r="K1491">
        <v>0</v>
      </c>
      <c r="L1491">
        <v>1650</v>
      </c>
      <c r="M1491">
        <v>1650</v>
      </c>
      <c r="N1491">
        <v>0</v>
      </c>
    </row>
    <row r="1492" spans="1:14" x14ac:dyDescent="0.25">
      <c r="A1492">
        <v>915.00984100000005</v>
      </c>
      <c r="B1492" s="1">
        <f>DATE(2012,11,1) + TIME(0,14,10)</f>
        <v>41214.009837962964</v>
      </c>
      <c r="C1492">
        <v>80</v>
      </c>
      <c r="D1492">
        <v>79.961845397999994</v>
      </c>
      <c r="E1492">
        <v>40</v>
      </c>
      <c r="F1492">
        <v>61.744106293000002</v>
      </c>
      <c r="G1492">
        <v>1330.5645752</v>
      </c>
      <c r="H1492">
        <v>1329.9865723</v>
      </c>
      <c r="I1492">
        <v>1336.0949707</v>
      </c>
      <c r="J1492">
        <v>1334.2963867000001</v>
      </c>
      <c r="K1492">
        <v>0</v>
      </c>
      <c r="L1492">
        <v>1650</v>
      </c>
      <c r="M1492">
        <v>1650</v>
      </c>
      <c r="N1492">
        <v>0</v>
      </c>
    </row>
    <row r="1493" spans="1:14" x14ac:dyDescent="0.25">
      <c r="A1493">
        <v>915.02952400000004</v>
      </c>
      <c r="B1493" s="1">
        <f>DATE(2012,11,1) + TIME(0,42,30)</f>
        <v>41214.029513888891</v>
      </c>
      <c r="C1493">
        <v>80</v>
      </c>
      <c r="D1493">
        <v>79.959518433</v>
      </c>
      <c r="E1493">
        <v>40</v>
      </c>
      <c r="F1493">
        <v>61.179683685000001</v>
      </c>
      <c r="G1493">
        <v>1330.5039062000001</v>
      </c>
      <c r="H1493">
        <v>1329.9241943</v>
      </c>
      <c r="I1493">
        <v>1336.151001</v>
      </c>
      <c r="J1493">
        <v>1334.3457031</v>
      </c>
      <c r="K1493">
        <v>0</v>
      </c>
      <c r="L1493">
        <v>1650</v>
      </c>
      <c r="M1493">
        <v>1650</v>
      </c>
      <c r="N1493">
        <v>0</v>
      </c>
    </row>
    <row r="1494" spans="1:14" x14ac:dyDescent="0.25">
      <c r="A1494">
        <v>915.06439699999999</v>
      </c>
      <c r="B1494" s="1">
        <f>DATE(2012,11,1) + TIME(1,32,43)</f>
        <v>41214.064386574071</v>
      </c>
      <c r="C1494">
        <v>80</v>
      </c>
      <c r="D1494">
        <v>79.955459594999994</v>
      </c>
      <c r="E1494">
        <v>40</v>
      </c>
      <c r="F1494">
        <v>60.235580444</v>
      </c>
      <c r="G1494">
        <v>1330.4921875</v>
      </c>
      <c r="H1494">
        <v>1329.9106445</v>
      </c>
      <c r="I1494">
        <v>1336.1463623</v>
      </c>
      <c r="J1494">
        <v>1334.3364257999999</v>
      </c>
      <c r="K1494">
        <v>0</v>
      </c>
      <c r="L1494">
        <v>1650</v>
      </c>
      <c r="M1494">
        <v>1650</v>
      </c>
      <c r="N1494">
        <v>0</v>
      </c>
    </row>
    <row r="1495" spans="1:14" x14ac:dyDescent="0.25">
      <c r="A1495">
        <v>915.10133399999995</v>
      </c>
      <c r="B1495" s="1">
        <f>DATE(2012,11,1) + TIME(2,25,55)</f>
        <v>41214.101331018515</v>
      </c>
      <c r="C1495">
        <v>80</v>
      </c>
      <c r="D1495">
        <v>79.951171875</v>
      </c>
      <c r="E1495">
        <v>40</v>
      </c>
      <c r="F1495">
        <v>59.294662475999999</v>
      </c>
      <c r="G1495">
        <v>1330.4862060999999</v>
      </c>
      <c r="H1495">
        <v>1329.9020995999999</v>
      </c>
      <c r="I1495">
        <v>1336.1315918</v>
      </c>
      <c r="J1495">
        <v>1334.3203125</v>
      </c>
      <c r="K1495">
        <v>0</v>
      </c>
      <c r="L1495">
        <v>1650</v>
      </c>
      <c r="M1495">
        <v>1650</v>
      </c>
      <c r="N1495">
        <v>0</v>
      </c>
    </row>
    <row r="1496" spans="1:14" x14ac:dyDescent="0.25">
      <c r="A1496">
        <v>915.14059099999997</v>
      </c>
      <c r="B1496" s="1">
        <f>DATE(2012,11,1) + TIME(3,22,27)</f>
        <v>41214.140590277777</v>
      </c>
      <c r="C1496">
        <v>80</v>
      </c>
      <c r="D1496">
        <v>79.946640015</v>
      </c>
      <c r="E1496">
        <v>40</v>
      </c>
      <c r="F1496">
        <v>58.356285094999997</v>
      </c>
      <c r="G1496">
        <v>1330.480957</v>
      </c>
      <c r="H1496">
        <v>1329.8941649999999</v>
      </c>
      <c r="I1496">
        <v>1336.1169434000001</v>
      </c>
      <c r="J1496">
        <v>1334.3041992000001</v>
      </c>
      <c r="K1496">
        <v>0</v>
      </c>
      <c r="L1496">
        <v>1650</v>
      </c>
      <c r="M1496">
        <v>1650</v>
      </c>
      <c r="N1496">
        <v>0</v>
      </c>
    </row>
    <row r="1497" spans="1:14" x14ac:dyDescent="0.25">
      <c r="A1497">
        <v>915.18242599999996</v>
      </c>
      <c r="B1497" s="1">
        <f>DATE(2012,11,1) + TIME(4,22,41)</f>
        <v>41214.18241898148</v>
      </c>
      <c r="C1497">
        <v>80</v>
      </c>
      <c r="D1497">
        <v>79.941825867000006</v>
      </c>
      <c r="E1497">
        <v>40</v>
      </c>
      <c r="F1497">
        <v>57.420497894</v>
      </c>
      <c r="G1497">
        <v>1330.4754639</v>
      </c>
      <c r="H1497">
        <v>1329.8858643000001</v>
      </c>
      <c r="I1497">
        <v>1336.1022949000001</v>
      </c>
      <c r="J1497">
        <v>1334.2880858999999</v>
      </c>
      <c r="K1497">
        <v>0</v>
      </c>
      <c r="L1497">
        <v>1650</v>
      </c>
      <c r="M1497">
        <v>1650</v>
      </c>
      <c r="N1497">
        <v>0</v>
      </c>
    </row>
    <row r="1498" spans="1:14" x14ac:dyDescent="0.25">
      <c r="A1498">
        <v>915.22713099999999</v>
      </c>
      <c r="B1498" s="1">
        <f>DATE(2012,11,1) + TIME(5,27,4)</f>
        <v>41214.227129629631</v>
      </c>
      <c r="C1498">
        <v>80</v>
      </c>
      <c r="D1498">
        <v>79.936714171999995</v>
      </c>
      <c r="E1498">
        <v>40</v>
      </c>
      <c r="F1498">
        <v>56.487380981000001</v>
      </c>
      <c r="G1498">
        <v>1330.4697266000001</v>
      </c>
      <c r="H1498">
        <v>1329.8773193</v>
      </c>
      <c r="I1498">
        <v>1336.0876464999999</v>
      </c>
      <c r="J1498">
        <v>1334.2720947</v>
      </c>
      <c r="K1498">
        <v>0</v>
      </c>
      <c r="L1498">
        <v>1650</v>
      </c>
      <c r="M1498">
        <v>1650</v>
      </c>
      <c r="N1498">
        <v>0</v>
      </c>
    </row>
    <row r="1499" spans="1:14" x14ac:dyDescent="0.25">
      <c r="A1499">
        <v>915.27504099999999</v>
      </c>
      <c r="B1499" s="1">
        <f>DATE(2012,11,1) + TIME(6,36,3)</f>
        <v>41214.275034722225</v>
      </c>
      <c r="C1499">
        <v>80</v>
      </c>
      <c r="D1499">
        <v>79.931266785000005</v>
      </c>
      <c r="E1499">
        <v>40</v>
      </c>
      <c r="F1499">
        <v>55.557193755999997</v>
      </c>
      <c r="G1499">
        <v>1330.4637451000001</v>
      </c>
      <c r="H1499">
        <v>1329.8682861</v>
      </c>
      <c r="I1499">
        <v>1336.0731201000001</v>
      </c>
      <c r="J1499">
        <v>1334.2561035000001</v>
      </c>
      <c r="K1499">
        <v>0</v>
      </c>
      <c r="L1499">
        <v>1650</v>
      </c>
      <c r="M1499">
        <v>1650</v>
      </c>
      <c r="N1499">
        <v>0</v>
      </c>
    </row>
    <row r="1500" spans="1:14" x14ac:dyDescent="0.25">
      <c r="A1500">
        <v>915.32654700000001</v>
      </c>
      <c r="B1500" s="1">
        <f>DATE(2012,11,1) + TIME(7,50,13)</f>
        <v>41214.326539351852</v>
      </c>
      <c r="C1500">
        <v>80</v>
      </c>
      <c r="D1500">
        <v>79.925437927000004</v>
      </c>
      <c r="E1500">
        <v>40</v>
      </c>
      <c r="F1500">
        <v>54.630233765</v>
      </c>
      <c r="G1500">
        <v>1330.4575195</v>
      </c>
      <c r="H1500">
        <v>1329.8590088000001</v>
      </c>
      <c r="I1500">
        <v>1336.0587158000001</v>
      </c>
      <c r="J1500">
        <v>1334.2402344</v>
      </c>
      <c r="K1500">
        <v>0</v>
      </c>
      <c r="L1500">
        <v>1650</v>
      </c>
      <c r="M1500">
        <v>1650</v>
      </c>
      <c r="N1500">
        <v>0</v>
      </c>
    </row>
    <row r="1501" spans="1:14" x14ac:dyDescent="0.25">
      <c r="A1501">
        <v>915.38211100000001</v>
      </c>
      <c r="B1501" s="1">
        <f>DATE(2012,11,1) + TIME(9,10,14)</f>
        <v>41214.382106481484</v>
      </c>
      <c r="C1501">
        <v>80</v>
      </c>
      <c r="D1501">
        <v>79.919204711999996</v>
      </c>
      <c r="E1501">
        <v>40</v>
      </c>
      <c r="F1501">
        <v>53.706859588999997</v>
      </c>
      <c r="G1501">
        <v>1330.4509277</v>
      </c>
      <c r="H1501">
        <v>1329.8491211</v>
      </c>
      <c r="I1501">
        <v>1336.0443115</v>
      </c>
      <c r="J1501">
        <v>1334.2243652</v>
      </c>
      <c r="K1501">
        <v>0</v>
      </c>
      <c r="L1501">
        <v>1650</v>
      </c>
      <c r="M1501">
        <v>1650</v>
      </c>
      <c r="N1501">
        <v>0</v>
      </c>
    </row>
    <row r="1502" spans="1:14" x14ac:dyDescent="0.25">
      <c r="A1502">
        <v>915.44228599999997</v>
      </c>
      <c r="B1502" s="1">
        <f>DATE(2012,11,1) + TIME(10,36,53)</f>
        <v>41214.442280092589</v>
      </c>
      <c r="C1502">
        <v>80</v>
      </c>
      <c r="D1502">
        <v>79.912490844999994</v>
      </c>
      <c r="E1502">
        <v>40</v>
      </c>
      <c r="F1502">
        <v>52.787490845000001</v>
      </c>
      <c r="G1502">
        <v>1330.4440918</v>
      </c>
      <c r="H1502">
        <v>1329.8387451000001</v>
      </c>
      <c r="I1502">
        <v>1336.0300293</v>
      </c>
      <c r="J1502">
        <v>1334.2086182</v>
      </c>
      <c r="K1502">
        <v>0</v>
      </c>
      <c r="L1502">
        <v>1650</v>
      </c>
      <c r="M1502">
        <v>1650</v>
      </c>
      <c r="N1502">
        <v>0</v>
      </c>
    </row>
    <row r="1503" spans="1:14" x14ac:dyDescent="0.25">
      <c r="A1503">
        <v>915.50773800000002</v>
      </c>
      <c r="B1503" s="1">
        <f>DATE(2012,11,1) + TIME(12,11,8)</f>
        <v>41214.507731481484</v>
      </c>
      <c r="C1503">
        <v>80</v>
      </c>
      <c r="D1503">
        <v>79.905250549000002</v>
      </c>
      <c r="E1503">
        <v>40</v>
      </c>
      <c r="F1503">
        <v>51.872619628999999</v>
      </c>
      <c r="G1503">
        <v>1330.4367675999999</v>
      </c>
      <c r="H1503">
        <v>1329.8278809000001</v>
      </c>
      <c r="I1503">
        <v>1336.0158690999999</v>
      </c>
      <c r="J1503">
        <v>1334.1928711</v>
      </c>
      <c r="K1503">
        <v>0</v>
      </c>
      <c r="L1503">
        <v>1650</v>
      </c>
      <c r="M1503">
        <v>1650</v>
      </c>
      <c r="N1503">
        <v>0</v>
      </c>
    </row>
    <row r="1504" spans="1:14" x14ac:dyDescent="0.25">
      <c r="A1504">
        <v>915.57928100000004</v>
      </c>
      <c r="B1504" s="1">
        <f>DATE(2012,11,1) + TIME(13,54,9)</f>
        <v>41214.579270833332</v>
      </c>
      <c r="C1504">
        <v>80</v>
      </c>
      <c r="D1504">
        <v>79.897407532000003</v>
      </c>
      <c r="E1504">
        <v>40</v>
      </c>
      <c r="F1504">
        <v>50.962841034</v>
      </c>
      <c r="G1504">
        <v>1330.4290771000001</v>
      </c>
      <c r="H1504">
        <v>1329.8162841999999</v>
      </c>
      <c r="I1504">
        <v>1336.0018310999999</v>
      </c>
      <c r="J1504">
        <v>1334.1773682</v>
      </c>
      <c r="K1504">
        <v>0</v>
      </c>
      <c r="L1504">
        <v>1650</v>
      </c>
      <c r="M1504">
        <v>1650</v>
      </c>
      <c r="N1504">
        <v>0</v>
      </c>
    </row>
    <row r="1505" spans="1:14" x14ac:dyDescent="0.25">
      <c r="A1505">
        <v>915.657918</v>
      </c>
      <c r="B1505" s="1">
        <f>DATE(2012,11,1) + TIME(15,47,24)</f>
        <v>41214.657916666663</v>
      </c>
      <c r="C1505">
        <v>80</v>
      </c>
      <c r="D1505">
        <v>79.888870238999999</v>
      </c>
      <c r="E1505">
        <v>40</v>
      </c>
      <c r="F1505">
        <v>50.058876038000001</v>
      </c>
      <c r="G1505">
        <v>1330.4208983999999</v>
      </c>
      <c r="H1505">
        <v>1329.8040771000001</v>
      </c>
      <c r="I1505">
        <v>1335.9879149999999</v>
      </c>
      <c r="J1505">
        <v>1334.1619873</v>
      </c>
      <c r="K1505">
        <v>0</v>
      </c>
      <c r="L1505">
        <v>1650</v>
      </c>
      <c r="M1505">
        <v>1650</v>
      </c>
      <c r="N1505">
        <v>0</v>
      </c>
    </row>
    <row r="1506" spans="1:14" x14ac:dyDescent="0.25">
      <c r="A1506">
        <v>915.74491</v>
      </c>
      <c r="B1506" s="1">
        <f>DATE(2012,11,1) + TIME(17,52,40)</f>
        <v>41214.74490740741</v>
      </c>
      <c r="C1506">
        <v>80</v>
      </c>
      <c r="D1506">
        <v>79.879524231000005</v>
      </c>
      <c r="E1506">
        <v>40</v>
      </c>
      <c r="F1506">
        <v>49.161205291999998</v>
      </c>
      <c r="G1506">
        <v>1330.4122314000001</v>
      </c>
      <c r="H1506">
        <v>1329.7911377</v>
      </c>
      <c r="I1506">
        <v>1335.9743652</v>
      </c>
      <c r="J1506">
        <v>1334.1467285000001</v>
      </c>
      <c r="K1506">
        <v>0</v>
      </c>
      <c r="L1506">
        <v>1650</v>
      </c>
      <c r="M1506">
        <v>1650</v>
      </c>
      <c r="N1506">
        <v>0</v>
      </c>
    </row>
    <row r="1507" spans="1:14" x14ac:dyDescent="0.25">
      <c r="A1507">
        <v>915.84181799999999</v>
      </c>
      <c r="B1507" s="1">
        <f>DATE(2012,11,1) + TIME(20,12,13)</f>
        <v>41214.841817129629</v>
      </c>
      <c r="C1507">
        <v>80</v>
      </c>
      <c r="D1507">
        <v>79.869247436999999</v>
      </c>
      <c r="E1507">
        <v>40</v>
      </c>
      <c r="F1507">
        <v>48.271656036000003</v>
      </c>
      <c r="G1507">
        <v>1330.4029541</v>
      </c>
      <c r="H1507">
        <v>1329.7770995999999</v>
      </c>
      <c r="I1507">
        <v>1335.9609375</v>
      </c>
      <c r="J1507">
        <v>1334.1317139</v>
      </c>
      <c r="K1507">
        <v>0</v>
      </c>
      <c r="L1507">
        <v>1650</v>
      </c>
      <c r="M1507">
        <v>1650</v>
      </c>
      <c r="N1507">
        <v>0</v>
      </c>
    </row>
    <row r="1508" spans="1:14" x14ac:dyDescent="0.25">
      <c r="A1508">
        <v>915.94721900000002</v>
      </c>
      <c r="B1508" s="1">
        <f>DATE(2012,11,1) + TIME(22,43,59)</f>
        <v>41214.947210648148</v>
      </c>
      <c r="C1508">
        <v>80</v>
      </c>
      <c r="D1508">
        <v>79.858192443999997</v>
      </c>
      <c r="E1508">
        <v>40</v>
      </c>
      <c r="F1508">
        <v>47.416706085000001</v>
      </c>
      <c r="G1508">
        <v>1330.3929443</v>
      </c>
      <c r="H1508">
        <v>1329.7623291</v>
      </c>
      <c r="I1508">
        <v>1335.9481201000001</v>
      </c>
      <c r="J1508">
        <v>1334.1173096</v>
      </c>
      <c r="K1508">
        <v>0</v>
      </c>
      <c r="L1508">
        <v>1650</v>
      </c>
      <c r="M1508">
        <v>1650</v>
      </c>
      <c r="N1508">
        <v>0</v>
      </c>
    </row>
    <row r="1509" spans="1:14" x14ac:dyDescent="0.25">
      <c r="A1509">
        <v>916.05724699999996</v>
      </c>
      <c r="B1509" s="1">
        <f>DATE(2012,11,2) + TIME(1,22,26)</f>
        <v>41215.057245370372</v>
      </c>
      <c r="C1509">
        <v>80</v>
      </c>
      <c r="D1509">
        <v>79.846771239999995</v>
      </c>
      <c r="E1509">
        <v>40</v>
      </c>
      <c r="F1509">
        <v>46.629730225000003</v>
      </c>
      <c r="G1509">
        <v>1330.3825684000001</v>
      </c>
      <c r="H1509">
        <v>1329.7468262</v>
      </c>
      <c r="I1509">
        <v>1335.9362793</v>
      </c>
      <c r="J1509">
        <v>1334.104126</v>
      </c>
      <c r="K1509">
        <v>0</v>
      </c>
      <c r="L1509">
        <v>1650</v>
      </c>
      <c r="M1509">
        <v>1650</v>
      </c>
      <c r="N1509">
        <v>0</v>
      </c>
    </row>
    <row r="1510" spans="1:14" x14ac:dyDescent="0.25">
      <c r="A1510">
        <v>916.17174</v>
      </c>
      <c r="B1510" s="1">
        <f>DATE(2012,11,2) + TIME(4,7,18)</f>
        <v>41215.171736111108</v>
      </c>
      <c r="C1510">
        <v>80</v>
      </c>
      <c r="D1510">
        <v>79.835006714000002</v>
      </c>
      <c r="E1510">
        <v>40</v>
      </c>
      <c r="F1510">
        <v>45.908992767000001</v>
      </c>
      <c r="G1510">
        <v>1330.3720702999999</v>
      </c>
      <c r="H1510">
        <v>1329.7312012</v>
      </c>
      <c r="I1510">
        <v>1335.9257812000001</v>
      </c>
      <c r="J1510">
        <v>1334.0922852000001</v>
      </c>
      <c r="K1510">
        <v>0</v>
      </c>
      <c r="L1510">
        <v>1650</v>
      </c>
      <c r="M1510">
        <v>1650</v>
      </c>
      <c r="N1510">
        <v>0</v>
      </c>
    </row>
    <row r="1511" spans="1:14" x14ac:dyDescent="0.25">
      <c r="A1511">
        <v>916.29090799999994</v>
      </c>
      <c r="B1511" s="1">
        <f>DATE(2012,11,2) + TIME(6,58,54)</f>
        <v>41215.290902777779</v>
      </c>
      <c r="C1511">
        <v>80</v>
      </c>
      <c r="D1511">
        <v>79.822883606000005</v>
      </c>
      <c r="E1511">
        <v>40</v>
      </c>
      <c r="F1511">
        <v>45.250144958</v>
      </c>
      <c r="G1511">
        <v>1330.3614502</v>
      </c>
      <c r="H1511">
        <v>1329.7154541</v>
      </c>
      <c r="I1511">
        <v>1335.9165039</v>
      </c>
      <c r="J1511">
        <v>1334.0816649999999</v>
      </c>
      <c r="K1511">
        <v>0</v>
      </c>
      <c r="L1511">
        <v>1650</v>
      </c>
      <c r="M1511">
        <v>1650</v>
      </c>
      <c r="N1511">
        <v>0</v>
      </c>
    </row>
    <row r="1512" spans="1:14" x14ac:dyDescent="0.25">
      <c r="A1512">
        <v>916.41499599999997</v>
      </c>
      <c r="B1512" s="1">
        <f>DATE(2012,11,2) + TIME(9,57,35)</f>
        <v>41215.414988425924</v>
      </c>
      <c r="C1512">
        <v>80</v>
      </c>
      <c r="D1512">
        <v>79.810386657999999</v>
      </c>
      <c r="E1512">
        <v>40</v>
      </c>
      <c r="F1512">
        <v>44.649066925</v>
      </c>
      <c r="G1512">
        <v>1330.3508300999999</v>
      </c>
      <c r="H1512">
        <v>1329.6995850000001</v>
      </c>
      <c r="I1512">
        <v>1335.9083252</v>
      </c>
      <c r="J1512">
        <v>1334.0720214999999</v>
      </c>
      <c r="K1512">
        <v>0</v>
      </c>
      <c r="L1512">
        <v>1650</v>
      </c>
      <c r="M1512">
        <v>1650</v>
      </c>
      <c r="N1512">
        <v>0</v>
      </c>
    </row>
    <row r="1513" spans="1:14" x14ac:dyDescent="0.25">
      <c r="A1513">
        <v>916.54428800000005</v>
      </c>
      <c r="B1513" s="1">
        <f>DATE(2012,11,2) + TIME(13,3,46)</f>
        <v>41215.544282407405</v>
      </c>
      <c r="C1513">
        <v>80</v>
      </c>
      <c r="D1513">
        <v>79.79750061</v>
      </c>
      <c r="E1513">
        <v>40</v>
      </c>
      <c r="F1513">
        <v>44.101867675999998</v>
      </c>
      <c r="G1513">
        <v>1330.3399658000001</v>
      </c>
      <c r="H1513">
        <v>1329.6835937999999</v>
      </c>
      <c r="I1513">
        <v>1335.901001</v>
      </c>
      <c r="J1513">
        <v>1334.0634766000001</v>
      </c>
      <c r="K1513">
        <v>0</v>
      </c>
      <c r="L1513">
        <v>1650</v>
      </c>
      <c r="M1513">
        <v>1650</v>
      </c>
      <c r="N1513">
        <v>0</v>
      </c>
    </row>
    <row r="1514" spans="1:14" x14ac:dyDescent="0.25">
      <c r="A1514">
        <v>916.67908799999998</v>
      </c>
      <c r="B1514" s="1">
        <f>DATE(2012,11,2) + TIME(16,17,53)</f>
        <v>41215.679085648146</v>
      </c>
      <c r="C1514">
        <v>80</v>
      </c>
      <c r="D1514">
        <v>79.784210204999994</v>
      </c>
      <c r="E1514">
        <v>40</v>
      </c>
      <c r="F1514">
        <v>43.604915619000003</v>
      </c>
      <c r="G1514">
        <v>1330.3289795000001</v>
      </c>
      <c r="H1514">
        <v>1329.6673584</v>
      </c>
      <c r="I1514">
        <v>1335.8946533000001</v>
      </c>
      <c r="J1514">
        <v>1334.0557861</v>
      </c>
      <c r="K1514">
        <v>0</v>
      </c>
      <c r="L1514">
        <v>1650</v>
      </c>
      <c r="M1514">
        <v>1650</v>
      </c>
      <c r="N1514">
        <v>0</v>
      </c>
    </row>
    <row r="1515" spans="1:14" x14ac:dyDescent="0.25">
      <c r="A1515">
        <v>916.81970699999999</v>
      </c>
      <c r="B1515" s="1">
        <f>DATE(2012,11,2) + TIME(19,40,22)</f>
        <v>41215.819699074076</v>
      </c>
      <c r="C1515">
        <v>80</v>
      </c>
      <c r="D1515">
        <v>79.770484924000002</v>
      </c>
      <c r="E1515">
        <v>40</v>
      </c>
      <c r="F1515">
        <v>43.154895781999997</v>
      </c>
      <c r="G1515">
        <v>1330.3178711</v>
      </c>
      <c r="H1515">
        <v>1329.6508789</v>
      </c>
      <c r="I1515">
        <v>1335.8890381000001</v>
      </c>
      <c r="J1515">
        <v>1334.0489502</v>
      </c>
      <c r="K1515">
        <v>0</v>
      </c>
      <c r="L1515">
        <v>1650</v>
      </c>
      <c r="M1515">
        <v>1650</v>
      </c>
      <c r="N1515">
        <v>0</v>
      </c>
    </row>
    <row r="1516" spans="1:14" x14ac:dyDescent="0.25">
      <c r="A1516">
        <v>916.96643300000005</v>
      </c>
      <c r="B1516" s="1">
        <f>DATE(2012,11,2) + TIME(23,11,39)</f>
        <v>41215.966423611113</v>
      </c>
      <c r="C1516">
        <v>80</v>
      </c>
      <c r="D1516">
        <v>79.756324767999999</v>
      </c>
      <c r="E1516">
        <v>40</v>
      </c>
      <c r="F1516">
        <v>42.748783111999998</v>
      </c>
      <c r="G1516">
        <v>1330.3066406</v>
      </c>
      <c r="H1516">
        <v>1329.6342772999999</v>
      </c>
      <c r="I1516">
        <v>1335.8841553</v>
      </c>
      <c r="J1516">
        <v>1334.0428466999999</v>
      </c>
      <c r="K1516">
        <v>0</v>
      </c>
      <c r="L1516">
        <v>1650</v>
      </c>
      <c r="M1516">
        <v>1650</v>
      </c>
      <c r="N1516">
        <v>0</v>
      </c>
    </row>
    <row r="1517" spans="1:14" x14ac:dyDescent="0.25">
      <c r="A1517">
        <v>917.11971800000003</v>
      </c>
      <c r="B1517" s="1">
        <f>DATE(2012,11,3) + TIME(2,52,23)</f>
        <v>41216.119710648149</v>
      </c>
      <c r="C1517">
        <v>80</v>
      </c>
      <c r="D1517">
        <v>79.741683960000003</v>
      </c>
      <c r="E1517">
        <v>40</v>
      </c>
      <c r="F1517">
        <v>42.383361815999997</v>
      </c>
      <c r="G1517">
        <v>1330.2951660000001</v>
      </c>
      <c r="H1517">
        <v>1329.6174315999999</v>
      </c>
      <c r="I1517">
        <v>1335.8798827999999</v>
      </c>
      <c r="J1517">
        <v>1334.0374756000001</v>
      </c>
      <c r="K1517">
        <v>0</v>
      </c>
      <c r="L1517">
        <v>1650</v>
      </c>
      <c r="M1517">
        <v>1650</v>
      </c>
      <c r="N1517">
        <v>0</v>
      </c>
    </row>
    <row r="1518" spans="1:14" x14ac:dyDescent="0.25">
      <c r="A1518">
        <v>917.27999299999999</v>
      </c>
      <c r="B1518" s="1">
        <f>DATE(2012,11,3) + TIME(6,43,11)</f>
        <v>41216.279988425929</v>
      </c>
      <c r="C1518">
        <v>80</v>
      </c>
      <c r="D1518">
        <v>79.726539611999996</v>
      </c>
      <c r="E1518">
        <v>40</v>
      </c>
      <c r="F1518">
        <v>42.055767058999997</v>
      </c>
      <c r="G1518">
        <v>1330.2835693</v>
      </c>
      <c r="H1518">
        <v>1329.6003418</v>
      </c>
      <c r="I1518">
        <v>1335.8760986</v>
      </c>
      <c r="J1518">
        <v>1334.0327147999999</v>
      </c>
      <c r="K1518">
        <v>0</v>
      </c>
      <c r="L1518">
        <v>1650</v>
      </c>
      <c r="M1518">
        <v>1650</v>
      </c>
      <c r="N1518">
        <v>0</v>
      </c>
    </row>
    <row r="1519" spans="1:14" x14ac:dyDescent="0.25">
      <c r="A1519">
        <v>917.447721</v>
      </c>
      <c r="B1519" s="1">
        <f>DATE(2012,11,3) + TIME(10,44,43)</f>
        <v>41216.44771990741</v>
      </c>
      <c r="C1519">
        <v>80</v>
      </c>
      <c r="D1519">
        <v>79.710861206000004</v>
      </c>
      <c r="E1519">
        <v>40</v>
      </c>
      <c r="F1519">
        <v>41.763286591000004</v>
      </c>
      <c r="G1519">
        <v>1330.2716064000001</v>
      </c>
      <c r="H1519">
        <v>1329.5828856999999</v>
      </c>
      <c r="I1519">
        <v>1335.8728027</v>
      </c>
      <c r="J1519">
        <v>1334.0285644999999</v>
      </c>
      <c r="K1519">
        <v>0</v>
      </c>
      <c r="L1519">
        <v>1650</v>
      </c>
      <c r="M1519">
        <v>1650</v>
      </c>
      <c r="N1519">
        <v>0</v>
      </c>
    </row>
    <row r="1520" spans="1:14" x14ac:dyDescent="0.25">
      <c r="A1520">
        <v>917.62340400000005</v>
      </c>
      <c r="B1520" s="1">
        <f>DATE(2012,11,3) + TIME(14,57,42)</f>
        <v>41216.623402777775</v>
      </c>
      <c r="C1520">
        <v>80</v>
      </c>
      <c r="D1520">
        <v>79.694618224999999</v>
      </c>
      <c r="E1520">
        <v>40</v>
      </c>
      <c r="F1520">
        <v>41.503341675000001</v>
      </c>
      <c r="G1520">
        <v>1330.2595214999999</v>
      </c>
      <c r="H1520">
        <v>1329.5650635</v>
      </c>
      <c r="I1520">
        <v>1335.8699951000001</v>
      </c>
      <c r="J1520">
        <v>1334.0249022999999</v>
      </c>
      <c r="K1520">
        <v>0</v>
      </c>
      <c r="L1520">
        <v>1650</v>
      </c>
      <c r="M1520">
        <v>1650</v>
      </c>
      <c r="N1520">
        <v>0</v>
      </c>
    </row>
    <row r="1521" spans="1:14" x14ac:dyDescent="0.25">
      <c r="A1521">
        <v>917.80758700000001</v>
      </c>
      <c r="B1521" s="1">
        <f>DATE(2012,11,3) + TIME(19,22,55)</f>
        <v>41216.807581018518</v>
      </c>
      <c r="C1521">
        <v>80</v>
      </c>
      <c r="D1521">
        <v>79.677780150999993</v>
      </c>
      <c r="E1521">
        <v>40</v>
      </c>
      <c r="F1521">
        <v>41.273448944000002</v>
      </c>
      <c r="G1521">
        <v>1330.2471923999999</v>
      </c>
      <c r="H1521">
        <v>1329.5469971</v>
      </c>
      <c r="I1521">
        <v>1335.8674315999999</v>
      </c>
      <c r="J1521">
        <v>1334.0217285000001</v>
      </c>
      <c r="K1521">
        <v>0</v>
      </c>
      <c r="L1521">
        <v>1650</v>
      </c>
      <c r="M1521">
        <v>1650</v>
      </c>
      <c r="N1521">
        <v>0</v>
      </c>
    </row>
    <row r="1522" spans="1:14" x14ac:dyDescent="0.25">
      <c r="A1522">
        <v>918.00087099999996</v>
      </c>
      <c r="B1522" s="1">
        <f>DATE(2012,11,4) + TIME(0,1,15)</f>
        <v>41217.000868055555</v>
      </c>
      <c r="C1522">
        <v>80</v>
      </c>
      <c r="D1522">
        <v>79.660293578999998</v>
      </c>
      <c r="E1522">
        <v>40</v>
      </c>
      <c r="F1522">
        <v>41.071224213000001</v>
      </c>
      <c r="G1522">
        <v>1330.2344971</v>
      </c>
      <c r="H1522">
        <v>1329.5284423999999</v>
      </c>
      <c r="I1522">
        <v>1335.8651123</v>
      </c>
      <c r="J1522">
        <v>1334.0189209</v>
      </c>
      <c r="K1522">
        <v>0</v>
      </c>
      <c r="L1522">
        <v>1650</v>
      </c>
      <c r="M1522">
        <v>1650</v>
      </c>
      <c r="N1522">
        <v>0</v>
      </c>
    </row>
    <row r="1523" spans="1:14" x14ac:dyDescent="0.25">
      <c r="A1523">
        <v>918.20391199999995</v>
      </c>
      <c r="B1523" s="1">
        <f>DATE(2012,11,4) + TIME(4,53,38)</f>
        <v>41217.203912037039</v>
      </c>
      <c r="C1523">
        <v>80</v>
      </c>
      <c r="D1523">
        <v>79.642135620000005</v>
      </c>
      <c r="E1523">
        <v>40</v>
      </c>
      <c r="F1523">
        <v>40.894371032999999</v>
      </c>
      <c r="G1523">
        <v>1330.2214355000001</v>
      </c>
      <c r="H1523">
        <v>1329.5095214999999</v>
      </c>
      <c r="I1523">
        <v>1335.8630370999999</v>
      </c>
      <c r="J1523">
        <v>1334.0163574000001</v>
      </c>
      <c r="K1523">
        <v>0</v>
      </c>
      <c r="L1523">
        <v>1650</v>
      </c>
      <c r="M1523">
        <v>1650</v>
      </c>
      <c r="N1523">
        <v>0</v>
      </c>
    </row>
    <row r="1524" spans="1:14" x14ac:dyDescent="0.25">
      <c r="A1524">
        <v>918.41743699999995</v>
      </c>
      <c r="B1524" s="1">
        <f>DATE(2012,11,4) + TIME(10,1,6)</f>
        <v>41217.417430555557</v>
      </c>
      <c r="C1524">
        <v>80</v>
      </c>
      <c r="D1524">
        <v>79.623237610000004</v>
      </c>
      <c r="E1524">
        <v>40</v>
      </c>
      <c r="F1524">
        <v>40.740684508999998</v>
      </c>
      <c r="G1524">
        <v>1330.2081298999999</v>
      </c>
      <c r="H1524">
        <v>1329.4901123</v>
      </c>
      <c r="I1524">
        <v>1335.8612060999999</v>
      </c>
      <c r="J1524">
        <v>1334.0141602000001</v>
      </c>
      <c r="K1524">
        <v>0</v>
      </c>
      <c r="L1524">
        <v>1650</v>
      </c>
      <c r="M1524">
        <v>1650</v>
      </c>
      <c r="N1524">
        <v>0</v>
      </c>
    </row>
    <row r="1525" spans="1:14" x14ac:dyDescent="0.25">
      <c r="A1525">
        <v>918.642245</v>
      </c>
      <c r="B1525" s="1">
        <f>DATE(2012,11,4) + TIME(15,24,49)</f>
        <v>41217.642233796294</v>
      </c>
      <c r="C1525">
        <v>80</v>
      </c>
      <c r="D1525">
        <v>79.603561400999993</v>
      </c>
      <c r="E1525">
        <v>40</v>
      </c>
      <c r="F1525">
        <v>40.608032227000002</v>
      </c>
      <c r="G1525">
        <v>1330.1944579999999</v>
      </c>
      <c r="H1525">
        <v>1329.4702147999999</v>
      </c>
      <c r="I1525">
        <v>1335.8594971</v>
      </c>
      <c r="J1525">
        <v>1334.0123291</v>
      </c>
      <c r="K1525">
        <v>0</v>
      </c>
      <c r="L1525">
        <v>1650</v>
      </c>
      <c r="M1525">
        <v>1650</v>
      </c>
      <c r="N1525">
        <v>0</v>
      </c>
    </row>
    <row r="1526" spans="1:14" x14ac:dyDescent="0.25">
      <c r="A1526">
        <v>918.87912600000004</v>
      </c>
      <c r="B1526" s="1">
        <f>DATE(2012,11,4) + TIME(21,5,56)</f>
        <v>41217.879120370373</v>
      </c>
      <c r="C1526">
        <v>80</v>
      </c>
      <c r="D1526">
        <v>79.583045959000003</v>
      </c>
      <c r="E1526">
        <v>40</v>
      </c>
      <c r="F1526">
        <v>40.494411468999999</v>
      </c>
      <c r="G1526">
        <v>1330.1802978999999</v>
      </c>
      <c r="H1526">
        <v>1329.449707</v>
      </c>
      <c r="I1526">
        <v>1335.8579102000001</v>
      </c>
      <c r="J1526">
        <v>1334.0106201000001</v>
      </c>
      <c r="K1526">
        <v>0</v>
      </c>
      <c r="L1526">
        <v>1650</v>
      </c>
      <c r="M1526">
        <v>1650</v>
      </c>
      <c r="N1526">
        <v>0</v>
      </c>
    </row>
    <row r="1527" spans="1:14" x14ac:dyDescent="0.25">
      <c r="A1527">
        <v>919.12908200000004</v>
      </c>
      <c r="B1527" s="1">
        <f>DATE(2012,11,5) + TIME(3,5,52)</f>
        <v>41218.129074074073</v>
      </c>
      <c r="C1527">
        <v>80</v>
      </c>
      <c r="D1527">
        <v>79.561637877999999</v>
      </c>
      <c r="E1527">
        <v>40</v>
      </c>
      <c r="F1527">
        <v>40.397842406999999</v>
      </c>
      <c r="G1527">
        <v>1330.1656493999999</v>
      </c>
      <c r="H1527">
        <v>1329.4287108999999</v>
      </c>
      <c r="I1527">
        <v>1335.8563231999999</v>
      </c>
      <c r="J1527">
        <v>1334.0091553</v>
      </c>
      <c r="K1527">
        <v>0</v>
      </c>
      <c r="L1527">
        <v>1650</v>
      </c>
      <c r="M1527">
        <v>1650</v>
      </c>
      <c r="N1527">
        <v>0</v>
      </c>
    </row>
    <row r="1528" spans="1:14" x14ac:dyDescent="0.25">
      <c r="A1528">
        <v>919.39323899999999</v>
      </c>
      <c r="B1528" s="1">
        <f>DATE(2012,11,5) + TIME(9,26,15)</f>
        <v>41218.393229166664</v>
      </c>
      <c r="C1528">
        <v>80</v>
      </c>
      <c r="D1528">
        <v>79.539268493999998</v>
      </c>
      <c r="E1528">
        <v>40</v>
      </c>
      <c r="F1528">
        <v>40.316448211999997</v>
      </c>
      <c r="G1528">
        <v>1330.1506348</v>
      </c>
      <c r="H1528">
        <v>1329.4069824000001</v>
      </c>
      <c r="I1528">
        <v>1335.8548584</v>
      </c>
      <c r="J1528">
        <v>1334.0078125</v>
      </c>
      <c r="K1528">
        <v>0</v>
      </c>
      <c r="L1528">
        <v>1650</v>
      </c>
      <c r="M1528">
        <v>1650</v>
      </c>
      <c r="N1528">
        <v>0</v>
      </c>
    </row>
    <row r="1529" spans="1:14" x14ac:dyDescent="0.25">
      <c r="A1529">
        <v>919.67282699999998</v>
      </c>
      <c r="B1529" s="1">
        <f>DATE(2012,11,5) + TIME(16,8,52)</f>
        <v>41218.672824074078</v>
      </c>
      <c r="C1529">
        <v>80</v>
      </c>
      <c r="D1529">
        <v>79.515838622999993</v>
      </c>
      <c r="E1529">
        <v>40</v>
      </c>
      <c r="F1529">
        <v>40.248458862</v>
      </c>
      <c r="G1529">
        <v>1330.1351318</v>
      </c>
      <c r="H1529">
        <v>1329.3845214999999</v>
      </c>
      <c r="I1529">
        <v>1335.8532714999999</v>
      </c>
      <c r="J1529">
        <v>1334.0065918</v>
      </c>
      <c r="K1529">
        <v>0</v>
      </c>
      <c r="L1529">
        <v>1650</v>
      </c>
      <c r="M1529">
        <v>1650</v>
      </c>
      <c r="N1529">
        <v>0</v>
      </c>
    </row>
    <row r="1530" spans="1:14" x14ac:dyDescent="0.25">
      <c r="A1530">
        <v>919.96922199999995</v>
      </c>
      <c r="B1530" s="1">
        <f>DATE(2012,11,5) + TIME(23,15,40)</f>
        <v>41218.969212962962</v>
      </c>
      <c r="C1530">
        <v>80</v>
      </c>
      <c r="D1530">
        <v>79.491279602000006</v>
      </c>
      <c r="E1530">
        <v>40</v>
      </c>
      <c r="F1530">
        <v>40.192211151000002</v>
      </c>
      <c r="G1530">
        <v>1330.1190185999999</v>
      </c>
      <c r="H1530">
        <v>1329.3613281</v>
      </c>
      <c r="I1530">
        <v>1335.8518065999999</v>
      </c>
      <c r="J1530">
        <v>1334.0053711</v>
      </c>
      <c r="K1530">
        <v>0</v>
      </c>
      <c r="L1530">
        <v>1650</v>
      </c>
      <c r="M1530">
        <v>1650</v>
      </c>
      <c r="N1530">
        <v>0</v>
      </c>
    </row>
    <row r="1531" spans="1:14" x14ac:dyDescent="0.25">
      <c r="A1531">
        <v>920.28396099999998</v>
      </c>
      <c r="B1531" s="1">
        <f>DATE(2012,11,6) + TIME(6,48,54)</f>
        <v>41219.283958333333</v>
      </c>
      <c r="C1531">
        <v>80</v>
      </c>
      <c r="D1531">
        <v>79.465492248999993</v>
      </c>
      <c r="E1531">
        <v>40</v>
      </c>
      <c r="F1531">
        <v>40.146156310999999</v>
      </c>
      <c r="G1531">
        <v>1330.1021728999999</v>
      </c>
      <c r="H1531">
        <v>1329.3372803</v>
      </c>
      <c r="I1531">
        <v>1335.8502197</v>
      </c>
      <c r="J1531">
        <v>1334.0043945</v>
      </c>
      <c r="K1531">
        <v>0</v>
      </c>
      <c r="L1531">
        <v>1650</v>
      </c>
      <c r="M1531">
        <v>1650</v>
      </c>
      <c r="N1531">
        <v>0</v>
      </c>
    </row>
    <row r="1532" spans="1:14" x14ac:dyDescent="0.25">
      <c r="A1532">
        <v>920.61877800000002</v>
      </c>
      <c r="B1532" s="1">
        <f>DATE(2012,11,6) + TIME(14,51,2)</f>
        <v>41219.618773148148</v>
      </c>
      <c r="C1532">
        <v>80</v>
      </c>
      <c r="D1532">
        <v>79.438369750999996</v>
      </c>
      <c r="E1532">
        <v>40</v>
      </c>
      <c r="F1532">
        <v>40.108863831000001</v>
      </c>
      <c r="G1532">
        <v>1330.0848389</v>
      </c>
      <c r="H1532">
        <v>1329.3123779</v>
      </c>
      <c r="I1532">
        <v>1335.8486327999999</v>
      </c>
      <c r="J1532">
        <v>1334.0032959</v>
      </c>
      <c r="K1532">
        <v>0</v>
      </c>
      <c r="L1532">
        <v>1650</v>
      </c>
      <c r="M1532">
        <v>1650</v>
      </c>
      <c r="N1532">
        <v>0</v>
      </c>
    </row>
    <row r="1533" spans="1:14" x14ac:dyDescent="0.25">
      <c r="A1533">
        <v>920.97564199999999</v>
      </c>
      <c r="B1533" s="1">
        <f>DATE(2012,11,6) + TIME(23,24,55)</f>
        <v>41219.975636574076</v>
      </c>
      <c r="C1533">
        <v>80</v>
      </c>
      <c r="D1533">
        <v>79.409790039000001</v>
      </c>
      <c r="E1533">
        <v>40</v>
      </c>
      <c r="F1533">
        <v>40.079013824</v>
      </c>
      <c r="G1533">
        <v>1330.0666504000001</v>
      </c>
      <c r="H1533">
        <v>1329.286499</v>
      </c>
      <c r="I1533">
        <v>1335.8470459</v>
      </c>
      <c r="J1533">
        <v>1334.0023193</v>
      </c>
      <c r="K1533">
        <v>0</v>
      </c>
      <c r="L1533">
        <v>1650</v>
      </c>
      <c r="M1533">
        <v>1650</v>
      </c>
      <c r="N1533">
        <v>0</v>
      </c>
    </row>
    <row r="1534" spans="1:14" x14ac:dyDescent="0.25">
      <c r="A1534">
        <v>921.35679400000004</v>
      </c>
      <c r="B1534" s="1">
        <f>DATE(2012,11,7) + TIME(8,33,47)</f>
        <v>41220.356793981482</v>
      </c>
      <c r="C1534">
        <v>80</v>
      </c>
      <c r="D1534">
        <v>79.379615783999995</v>
      </c>
      <c r="E1534">
        <v>40</v>
      </c>
      <c r="F1534">
        <v>40.055408477999997</v>
      </c>
      <c r="G1534">
        <v>1330.0477295000001</v>
      </c>
      <c r="H1534">
        <v>1329.2593993999999</v>
      </c>
      <c r="I1534">
        <v>1335.8453368999999</v>
      </c>
      <c r="J1534">
        <v>1334.0013428</v>
      </c>
      <c r="K1534">
        <v>0</v>
      </c>
      <c r="L1534">
        <v>1650</v>
      </c>
      <c r="M1534">
        <v>1650</v>
      </c>
      <c r="N1534">
        <v>0</v>
      </c>
    </row>
    <row r="1535" spans="1:14" x14ac:dyDescent="0.25">
      <c r="A1535">
        <v>921.75642200000004</v>
      </c>
      <c r="B1535" s="1">
        <f>DATE(2012,11,7) + TIME(18,9,14)</f>
        <v>41220.756412037037</v>
      </c>
      <c r="C1535">
        <v>80</v>
      </c>
      <c r="D1535">
        <v>79.348205566000004</v>
      </c>
      <c r="E1535">
        <v>40</v>
      </c>
      <c r="F1535">
        <v>40.037261962999999</v>
      </c>
      <c r="G1535">
        <v>1330.0279541</v>
      </c>
      <c r="H1535">
        <v>1329.2313231999999</v>
      </c>
      <c r="I1535">
        <v>1335.8436279</v>
      </c>
      <c r="J1535">
        <v>1334.0003661999999</v>
      </c>
      <c r="K1535">
        <v>0</v>
      </c>
      <c r="L1535">
        <v>1650</v>
      </c>
      <c r="M1535">
        <v>1650</v>
      </c>
      <c r="N1535">
        <v>0</v>
      </c>
    </row>
    <row r="1536" spans="1:14" x14ac:dyDescent="0.25">
      <c r="A1536">
        <v>922.16566399999999</v>
      </c>
      <c r="B1536" s="1">
        <f>DATE(2012,11,8) + TIME(3,58,33)</f>
        <v>41221.165659722225</v>
      </c>
      <c r="C1536">
        <v>80</v>
      </c>
      <c r="D1536">
        <v>79.316093445000007</v>
      </c>
      <c r="E1536">
        <v>40</v>
      </c>
      <c r="F1536">
        <v>40.023670197000001</v>
      </c>
      <c r="G1536">
        <v>1330.0076904</v>
      </c>
      <c r="H1536">
        <v>1329.2025146000001</v>
      </c>
      <c r="I1536">
        <v>1335.8417969</v>
      </c>
      <c r="J1536">
        <v>1333.9992675999999</v>
      </c>
      <c r="K1536">
        <v>0</v>
      </c>
      <c r="L1536">
        <v>1650</v>
      </c>
      <c r="M1536">
        <v>1650</v>
      </c>
      <c r="N1536">
        <v>0</v>
      </c>
    </row>
    <row r="1537" spans="1:14" x14ac:dyDescent="0.25">
      <c r="A1537">
        <v>922.58575599999995</v>
      </c>
      <c r="B1537" s="1">
        <f>DATE(2012,11,8) + TIME(14,3,29)</f>
        <v>41221.585752314815</v>
      </c>
      <c r="C1537">
        <v>80</v>
      </c>
      <c r="D1537">
        <v>79.283248900999993</v>
      </c>
      <c r="E1537">
        <v>40</v>
      </c>
      <c r="F1537">
        <v>40.013496398999997</v>
      </c>
      <c r="G1537">
        <v>1329.9871826000001</v>
      </c>
      <c r="H1537">
        <v>1329.1734618999999</v>
      </c>
      <c r="I1537">
        <v>1335.8400879000001</v>
      </c>
      <c r="J1537">
        <v>1333.9982910000001</v>
      </c>
      <c r="K1537">
        <v>0</v>
      </c>
      <c r="L1537">
        <v>1650</v>
      </c>
      <c r="M1537">
        <v>1650</v>
      </c>
      <c r="N1537">
        <v>0</v>
      </c>
    </row>
    <row r="1538" spans="1:14" x14ac:dyDescent="0.25">
      <c r="A1538">
        <v>923.01772200000005</v>
      </c>
      <c r="B1538" s="1">
        <f>DATE(2012,11,9) + TIME(0,25,31)</f>
        <v>41222.01771990741</v>
      </c>
      <c r="C1538">
        <v>80</v>
      </c>
      <c r="D1538">
        <v>79.249649047999995</v>
      </c>
      <c r="E1538">
        <v>40</v>
      </c>
      <c r="F1538">
        <v>40.005889893000003</v>
      </c>
      <c r="G1538">
        <v>1329.9664307</v>
      </c>
      <c r="H1538">
        <v>1329.144043</v>
      </c>
      <c r="I1538">
        <v>1335.8382568</v>
      </c>
      <c r="J1538">
        <v>1333.9971923999999</v>
      </c>
      <c r="K1538">
        <v>0</v>
      </c>
      <c r="L1538">
        <v>1650</v>
      </c>
      <c r="M1538">
        <v>1650</v>
      </c>
      <c r="N1538">
        <v>0</v>
      </c>
    </row>
    <row r="1539" spans="1:14" x14ac:dyDescent="0.25">
      <c r="A1539">
        <v>923.46266500000002</v>
      </c>
      <c r="B1539" s="1">
        <f>DATE(2012,11,9) + TIME(11,6,14)</f>
        <v>41222.46266203704</v>
      </c>
      <c r="C1539">
        <v>80</v>
      </c>
      <c r="D1539">
        <v>79.215255737000007</v>
      </c>
      <c r="E1539">
        <v>40</v>
      </c>
      <c r="F1539">
        <v>40.000202178999999</v>
      </c>
      <c r="G1539">
        <v>1329.9454346</v>
      </c>
      <c r="H1539">
        <v>1329.1143798999999</v>
      </c>
      <c r="I1539">
        <v>1335.8365478999999</v>
      </c>
      <c r="J1539">
        <v>1333.9962158000001</v>
      </c>
      <c r="K1539">
        <v>0</v>
      </c>
      <c r="L1539">
        <v>1650</v>
      </c>
      <c r="M1539">
        <v>1650</v>
      </c>
      <c r="N1539">
        <v>0</v>
      </c>
    </row>
    <row r="1540" spans="1:14" x14ac:dyDescent="0.25">
      <c r="A1540">
        <v>923.92176900000004</v>
      </c>
      <c r="B1540" s="1">
        <f>DATE(2012,11,9) + TIME(22,7,20)</f>
        <v>41222.921759259261</v>
      </c>
      <c r="C1540">
        <v>80</v>
      </c>
      <c r="D1540">
        <v>79.180015564000001</v>
      </c>
      <c r="E1540">
        <v>40</v>
      </c>
      <c r="F1540">
        <v>39.995952606000003</v>
      </c>
      <c r="G1540">
        <v>1329.9241943</v>
      </c>
      <c r="H1540">
        <v>1329.0843506000001</v>
      </c>
      <c r="I1540">
        <v>1335.8347168</v>
      </c>
      <c r="J1540">
        <v>1333.9951172000001</v>
      </c>
      <c r="K1540">
        <v>0</v>
      </c>
      <c r="L1540">
        <v>1650</v>
      </c>
      <c r="M1540">
        <v>1650</v>
      </c>
      <c r="N1540">
        <v>0</v>
      </c>
    </row>
    <row r="1541" spans="1:14" x14ac:dyDescent="0.25">
      <c r="A1541">
        <v>924.39629400000001</v>
      </c>
      <c r="B1541" s="1">
        <f>DATE(2012,11,10) + TIME(9,30,39)</f>
        <v>41223.396284722221</v>
      </c>
      <c r="C1541">
        <v>80</v>
      </c>
      <c r="D1541">
        <v>79.143867493000002</v>
      </c>
      <c r="E1541">
        <v>40</v>
      </c>
      <c r="F1541">
        <v>39.992767334</v>
      </c>
      <c r="G1541">
        <v>1329.9025879000001</v>
      </c>
      <c r="H1541">
        <v>1329.0539550999999</v>
      </c>
      <c r="I1541">
        <v>1335.8330077999999</v>
      </c>
      <c r="J1541">
        <v>1333.9940185999999</v>
      </c>
      <c r="K1541">
        <v>0</v>
      </c>
      <c r="L1541">
        <v>1650</v>
      </c>
      <c r="M1541">
        <v>1650</v>
      </c>
      <c r="N1541">
        <v>0</v>
      </c>
    </row>
    <row r="1542" spans="1:14" x14ac:dyDescent="0.25">
      <c r="A1542">
        <v>924.88761099999999</v>
      </c>
      <c r="B1542" s="1">
        <f>DATE(2012,11,10) + TIME(21,18,9)</f>
        <v>41223.887604166666</v>
      </c>
      <c r="C1542">
        <v>80</v>
      </c>
      <c r="D1542">
        <v>79.106750488000003</v>
      </c>
      <c r="E1542">
        <v>40</v>
      </c>
      <c r="F1542">
        <v>39.990383147999999</v>
      </c>
      <c r="G1542">
        <v>1329.8807373</v>
      </c>
      <c r="H1542">
        <v>1329.0231934000001</v>
      </c>
      <c r="I1542">
        <v>1335.8311768000001</v>
      </c>
      <c r="J1542">
        <v>1333.9929199000001</v>
      </c>
      <c r="K1542">
        <v>0</v>
      </c>
      <c r="L1542">
        <v>1650</v>
      </c>
      <c r="M1542">
        <v>1650</v>
      </c>
      <c r="N1542">
        <v>0</v>
      </c>
    </row>
    <row r="1543" spans="1:14" x14ac:dyDescent="0.25">
      <c r="A1543">
        <v>925.39720799999998</v>
      </c>
      <c r="B1543" s="1">
        <f>DATE(2012,11,11) + TIME(9,31,58)</f>
        <v>41224.397199074076</v>
      </c>
      <c r="C1543">
        <v>80</v>
      </c>
      <c r="D1543">
        <v>79.068572997999993</v>
      </c>
      <c r="E1543">
        <v>40</v>
      </c>
      <c r="F1543">
        <v>39.988586425999998</v>
      </c>
      <c r="G1543">
        <v>1329.8585204999999</v>
      </c>
      <c r="H1543">
        <v>1328.9919434000001</v>
      </c>
      <c r="I1543">
        <v>1335.8294678</v>
      </c>
      <c r="J1543">
        <v>1333.9916992000001</v>
      </c>
      <c r="K1543">
        <v>0</v>
      </c>
      <c r="L1543">
        <v>1650</v>
      </c>
      <c r="M1543">
        <v>1650</v>
      </c>
      <c r="N1543">
        <v>0</v>
      </c>
    </row>
    <row r="1544" spans="1:14" x14ac:dyDescent="0.25">
      <c r="A1544">
        <v>925.92670499999997</v>
      </c>
      <c r="B1544" s="1">
        <f>DATE(2012,11,11) + TIME(22,14,27)</f>
        <v>41224.926701388889</v>
      </c>
      <c r="C1544">
        <v>80</v>
      </c>
      <c r="D1544">
        <v>79.029243468999994</v>
      </c>
      <c r="E1544">
        <v>40</v>
      </c>
      <c r="F1544">
        <v>39.987224578999999</v>
      </c>
      <c r="G1544">
        <v>1329.8358154</v>
      </c>
      <c r="H1544">
        <v>1328.9602050999999</v>
      </c>
      <c r="I1544">
        <v>1335.8277588000001</v>
      </c>
      <c r="J1544">
        <v>1333.9906006000001</v>
      </c>
      <c r="K1544">
        <v>0</v>
      </c>
      <c r="L1544">
        <v>1650</v>
      </c>
      <c r="M1544">
        <v>1650</v>
      </c>
      <c r="N1544">
        <v>0</v>
      </c>
    </row>
    <row r="1545" spans="1:14" x14ac:dyDescent="0.25">
      <c r="A1545">
        <v>926.47774800000002</v>
      </c>
      <c r="B1545" s="1">
        <f>DATE(2012,11,12) + TIME(11,27,57)</f>
        <v>41225.477743055555</v>
      </c>
      <c r="C1545">
        <v>80</v>
      </c>
      <c r="D1545">
        <v>78.988662719999994</v>
      </c>
      <c r="E1545">
        <v>40</v>
      </c>
      <c r="F1545">
        <v>39.986190796000002</v>
      </c>
      <c r="G1545">
        <v>1329.8127440999999</v>
      </c>
      <c r="H1545">
        <v>1328.9278564000001</v>
      </c>
      <c r="I1545">
        <v>1335.8259277</v>
      </c>
      <c r="J1545">
        <v>1333.9895019999999</v>
      </c>
      <c r="K1545">
        <v>0</v>
      </c>
      <c r="L1545">
        <v>1650</v>
      </c>
      <c r="M1545">
        <v>1650</v>
      </c>
      <c r="N1545">
        <v>0</v>
      </c>
    </row>
    <row r="1546" spans="1:14" x14ac:dyDescent="0.25">
      <c r="A1546">
        <v>927.05228299999999</v>
      </c>
      <c r="B1546" s="1">
        <f>DATE(2012,11,13) + TIME(1,15,17)</f>
        <v>41226.05228009259</v>
      </c>
      <c r="C1546">
        <v>80</v>
      </c>
      <c r="D1546">
        <v>78.946701050000001</v>
      </c>
      <c r="E1546">
        <v>40</v>
      </c>
      <c r="F1546">
        <v>39.985401154000002</v>
      </c>
      <c r="G1546">
        <v>1329.7890625</v>
      </c>
      <c r="H1546">
        <v>1328.8948975000001</v>
      </c>
      <c r="I1546">
        <v>1335.8242187999999</v>
      </c>
      <c r="J1546">
        <v>1333.9882812000001</v>
      </c>
      <c r="K1546">
        <v>0</v>
      </c>
      <c r="L1546">
        <v>1650</v>
      </c>
      <c r="M1546">
        <v>1650</v>
      </c>
      <c r="N1546">
        <v>0</v>
      </c>
    </row>
    <row r="1547" spans="1:14" x14ac:dyDescent="0.25">
      <c r="A1547">
        <v>927.65257999999994</v>
      </c>
      <c r="B1547" s="1">
        <f>DATE(2012,11,13) + TIME(15,39,42)</f>
        <v>41226.652569444443</v>
      </c>
      <c r="C1547">
        <v>80</v>
      </c>
      <c r="D1547">
        <v>78.903228760000005</v>
      </c>
      <c r="E1547">
        <v>40</v>
      </c>
      <c r="F1547">
        <v>39.984790801999999</v>
      </c>
      <c r="G1547">
        <v>1329.7648925999999</v>
      </c>
      <c r="H1547">
        <v>1328.8612060999999</v>
      </c>
      <c r="I1547">
        <v>1335.8225098</v>
      </c>
      <c r="J1547">
        <v>1333.9870605000001</v>
      </c>
      <c r="K1547">
        <v>0</v>
      </c>
      <c r="L1547">
        <v>1650</v>
      </c>
      <c r="M1547">
        <v>1650</v>
      </c>
      <c r="N1547">
        <v>0</v>
      </c>
    </row>
    <row r="1548" spans="1:14" x14ac:dyDescent="0.25">
      <c r="A1548">
        <v>928.28106300000002</v>
      </c>
      <c r="B1548" s="1">
        <f>DATE(2012,11,14) + TIME(6,44,43)</f>
        <v>41227.281053240738</v>
      </c>
      <c r="C1548">
        <v>80</v>
      </c>
      <c r="D1548">
        <v>78.858085631999998</v>
      </c>
      <c r="E1548">
        <v>40</v>
      </c>
      <c r="F1548">
        <v>39.984313964999998</v>
      </c>
      <c r="G1548">
        <v>1329.7402344</v>
      </c>
      <c r="H1548">
        <v>1328.8267822</v>
      </c>
      <c r="I1548">
        <v>1335.8208007999999</v>
      </c>
      <c r="J1548">
        <v>1333.9858397999999</v>
      </c>
      <c r="K1548">
        <v>0</v>
      </c>
      <c r="L1548">
        <v>1650</v>
      </c>
      <c r="M1548">
        <v>1650</v>
      </c>
      <c r="N1548">
        <v>0</v>
      </c>
    </row>
    <row r="1549" spans="1:14" x14ac:dyDescent="0.25">
      <c r="A1549">
        <v>928.94045000000006</v>
      </c>
      <c r="B1549" s="1">
        <f>DATE(2012,11,14) + TIME(22,34,14)</f>
        <v>41227.940439814818</v>
      </c>
      <c r="C1549">
        <v>80</v>
      </c>
      <c r="D1549">
        <v>78.811080933</v>
      </c>
      <c r="E1549">
        <v>40</v>
      </c>
      <c r="F1549">
        <v>39.983940124999997</v>
      </c>
      <c r="G1549">
        <v>1329.7147216999999</v>
      </c>
      <c r="H1549">
        <v>1328.7913818</v>
      </c>
      <c r="I1549">
        <v>1335.8190918</v>
      </c>
      <c r="J1549">
        <v>1333.9846190999999</v>
      </c>
      <c r="K1549">
        <v>0</v>
      </c>
      <c r="L1549">
        <v>1650</v>
      </c>
      <c r="M1549">
        <v>1650</v>
      </c>
      <c r="N1549">
        <v>0</v>
      </c>
    </row>
    <row r="1550" spans="1:14" x14ac:dyDescent="0.25">
      <c r="A1550">
        <v>929.63380199999995</v>
      </c>
      <c r="B1550" s="1">
        <f>DATE(2012,11,15) + TIME(15,12,40)</f>
        <v>41228.633796296293</v>
      </c>
      <c r="C1550">
        <v>80</v>
      </c>
      <c r="D1550">
        <v>78.762023925999998</v>
      </c>
      <c r="E1550">
        <v>40</v>
      </c>
      <c r="F1550">
        <v>39.983646393000001</v>
      </c>
      <c r="G1550">
        <v>1329.6885986</v>
      </c>
      <c r="H1550">
        <v>1328.7551269999999</v>
      </c>
      <c r="I1550">
        <v>1335.8173827999999</v>
      </c>
      <c r="J1550">
        <v>1333.9833983999999</v>
      </c>
      <c r="K1550">
        <v>0</v>
      </c>
      <c r="L1550">
        <v>1650</v>
      </c>
      <c r="M1550">
        <v>1650</v>
      </c>
      <c r="N1550">
        <v>0</v>
      </c>
    </row>
    <row r="1551" spans="1:14" x14ac:dyDescent="0.25">
      <c r="A1551">
        <v>930.36458800000003</v>
      </c>
      <c r="B1551" s="1">
        <f>DATE(2012,11,16) + TIME(8,45,0)</f>
        <v>41229.364583333336</v>
      </c>
      <c r="C1551">
        <v>80</v>
      </c>
      <c r="D1551">
        <v>78.710662842000005</v>
      </c>
      <c r="E1551">
        <v>40</v>
      </c>
      <c r="F1551">
        <v>39.983413696</v>
      </c>
      <c r="G1551">
        <v>1329.6616211</v>
      </c>
      <c r="H1551">
        <v>1328.7178954999999</v>
      </c>
      <c r="I1551">
        <v>1335.8156738</v>
      </c>
      <c r="J1551">
        <v>1333.9821777</v>
      </c>
      <c r="K1551">
        <v>0</v>
      </c>
      <c r="L1551">
        <v>1650</v>
      </c>
      <c r="M1551">
        <v>1650</v>
      </c>
      <c r="N1551">
        <v>0</v>
      </c>
    </row>
    <row r="1552" spans="1:14" x14ac:dyDescent="0.25">
      <c r="A1552">
        <v>931.13674400000002</v>
      </c>
      <c r="B1552" s="1">
        <f>DATE(2012,11,17) + TIME(3,16,54)</f>
        <v>41230.136736111112</v>
      </c>
      <c r="C1552">
        <v>80</v>
      </c>
      <c r="D1552">
        <v>78.656738281000003</v>
      </c>
      <c r="E1552">
        <v>40</v>
      </c>
      <c r="F1552">
        <v>39.983226776000002</v>
      </c>
      <c r="G1552">
        <v>1329.6336670000001</v>
      </c>
      <c r="H1552">
        <v>1328.6794434000001</v>
      </c>
      <c r="I1552">
        <v>1335.8139647999999</v>
      </c>
      <c r="J1552">
        <v>1333.980957</v>
      </c>
      <c r="K1552">
        <v>0</v>
      </c>
      <c r="L1552">
        <v>1650</v>
      </c>
      <c r="M1552">
        <v>1650</v>
      </c>
      <c r="N1552">
        <v>0</v>
      </c>
    </row>
    <row r="1553" spans="1:14" x14ac:dyDescent="0.25">
      <c r="A1553">
        <v>931.95479699999999</v>
      </c>
      <c r="B1553" s="1">
        <f>DATE(2012,11,17) + TIME(22,54,54)</f>
        <v>41230.954791666663</v>
      </c>
      <c r="C1553">
        <v>80</v>
      </c>
      <c r="D1553">
        <v>78.599922179999993</v>
      </c>
      <c r="E1553">
        <v>40</v>
      </c>
      <c r="F1553">
        <v>39.983074188000003</v>
      </c>
      <c r="G1553">
        <v>1329.6048584</v>
      </c>
      <c r="H1553">
        <v>1328.6396483999999</v>
      </c>
      <c r="I1553">
        <v>1335.8122559000001</v>
      </c>
      <c r="J1553">
        <v>1333.9797363</v>
      </c>
      <c r="K1553">
        <v>0</v>
      </c>
      <c r="L1553">
        <v>1650</v>
      </c>
      <c r="M1553">
        <v>1650</v>
      </c>
      <c r="N1553">
        <v>0</v>
      </c>
    </row>
    <row r="1554" spans="1:14" x14ac:dyDescent="0.25">
      <c r="A1554">
        <v>932.819345</v>
      </c>
      <c r="B1554" s="1">
        <f>DATE(2012,11,18) + TIME(19,39,51)</f>
        <v>41231.819340277776</v>
      </c>
      <c r="C1554">
        <v>80</v>
      </c>
      <c r="D1554">
        <v>78.540031432999996</v>
      </c>
      <c r="E1554">
        <v>40</v>
      </c>
      <c r="F1554">
        <v>39.982955933</v>
      </c>
      <c r="G1554">
        <v>1329.5749512</v>
      </c>
      <c r="H1554">
        <v>1328.5986327999999</v>
      </c>
      <c r="I1554">
        <v>1335.8105469</v>
      </c>
      <c r="J1554">
        <v>1333.9783935999999</v>
      </c>
      <c r="K1554">
        <v>0</v>
      </c>
      <c r="L1554">
        <v>1650</v>
      </c>
      <c r="M1554">
        <v>1650</v>
      </c>
      <c r="N1554">
        <v>0</v>
      </c>
    </row>
    <row r="1555" spans="1:14" x14ac:dyDescent="0.25">
      <c r="A1555">
        <v>933.71346000000005</v>
      </c>
      <c r="B1555" s="1">
        <f>DATE(2012,11,19) + TIME(17,7,22)</f>
        <v>41232.713449074072</v>
      </c>
      <c r="C1555">
        <v>80</v>
      </c>
      <c r="D1555">
        <v>78.477554321</v>
      </c>
      <c r="E1555">
        <v>40</v>
      </c>
      <c r="F1555">
        <v>39.982860565000003</v>
      </c>
      <c r="G1555">
        <v>1329.5439452999999</v>
      </c>
      <c r="H1555">
        <v>1328.5562743999999</v>
      </c>
      <c r="I1555">
        <v>1335.8087158000001</v>
      </c>
      <c r="J1555">
        <v>1333.9771728999999</v>
      </c>
      <c r="K1555">
        <v>0</v>
      </c>
      <c r="L1555">
        <v>1650</v>
      </c>
      <c r="M1555">
        <v>1650</v>
      </c>
      <c r="N1555">
        <v>0</v>
      </c>
    </row>
    <row r="1556" spans="1:14" x14ac:dyDescent="0.25">
      <c r="A1556">
        <v>934.64443200000005</v>
      </c>
      <c r="B1556" s="1">
        <f>DATE(2012,11,20) + TIME(15,27,58)</f>
        <v>41233.644421296296</v>
      </c>
      <c r="C1556">
        <v>80</v>
      </c>
      <c r="D1556">
        <v>78.412345885999997</v>
      </c>
      <c r="E1556">
        <v>40</v>
      </c>
      <c r="F1556">
        <v>39.982784271</v>
      </c>
      <c r="G1556">
        <v>1329.5124512</v>
      </c>
      <c r="H1556">
        <v>1328.5130615</v>
      </c>
      <c r="I1556">
        <v>1335.8071289</v>
      </c>
      <c r="J1556">
        <v>1333.9759521000001</v>
      </c>
      <c r="K1556">
        <v>0</v>
      </c>
      <c r="L1556">
        <v>1650</v>
      </c>
      <c r="M1556">
        <v>1650</v>
      </c>
      <c r="N1556">
        <v>0</v>
      </c>
    </row>
    <row r="1557" spans="1:14" x14ac:dyDescent="0.25">
      <c r="A1557">
        <v>935.61991599999999</v>
      </c>
      <c r="B1557" s="1">
        <f>DATE(2012,11,21) + TIME(14,52,40)</f>
        <v>41234.61990740741</v>
      </c>
      <c r="C1557">
        <v>80</v>
      </c>
      <c r="D1557">
        <v>78.344055175999998</v>
      </c>
      <c r="E1557">
        <v>40</v>
      </c>
      <c r="F1557">
        <v>39.982727050999998</v>
      </c>
      <c r="G1557">
        <v>1329.4802245999999</v>
      </c>
      <c r="H1557">
        <v>1328.4689940999999</v>
      </c>
      <c r="I1557">
        <v>1335.8054199000001</v>
      </c>
      <c r="J1557">
        <v>1333.9747314000001</v>
      </c>
      <c r="K1557">
        <v>0</v>
      </c>
      <c r="L1557">
        <v>1650</v>
      </c>
      <c r="M1557">
        <v>1650</v>
      </c>
      <c r="N1557">
        <v>0</v>
      </c>
    </row>
    <row r="1558" spans="1:14" x14ac:dyDescent="0.25">
      <c r="A1558">
        <v>936.63063699999998</v>
      </c>
      <c r="B1558" s="1">
        <f>DATE(2012,11,22) + TIME(15,8,7)</f>
        <v>41235.630636574075</v>
      </c>
      <c r="C1558">
        <v>80</v>
      </c>
      <c r="D1558">
        <v>78.272796631000006</v>
      </c>
      <c r="E1558">
        <v>40</v>
      </c>
      <c r="F1558">
        <v>39.982677459999998</v>
      </c>
      <c r="G1558">
        <v>1329.4471435999999</v>
      </c>
      <c r="H1558">
        <v>1328.4240723</v>
      </c>
      <c r="I1558">
        <v>1335.8038329999999</v>
      </c>
      <c r="J1558">
        <v>1333.9735106999999</v>
      </c>
      <c r="K1558">
        <v>0</v>
      </c>
      <c r="L1558">
        <v>1650</v>
      </c>
      <c r="M1558">
        <v>1650</v>
      </c>
      <c r="N1558">
        <v>0</v>
      </c>
    </row>
    <row r="1559" spans="1:14" x14ac:dyDescent="0.25">
      <c r="A1559">
        <v>937.65381100000002</v>
      </c>
      <c r="B1559" s="1">
        <f>DATE(2012,11,23) + TIME(15,41,29)</f>
        <v>41236.653807870367</v>
      </c>
      <c r="C1559">
        <v>80</v>
      </c>
      <c r="D1559">
        <v>78.199363708000007</v>
      </c>
      <c r="E1559">
        <v>40</v>
      </c>
      <c r="F1559">
        <v>39.982639313</v>
      </c>
      <c r="G1559">
        <v>1329.4136963000001</v>
      </c>
      <c r="H1559">
        <v>1328.378418</v>
      </c>
      <c r="I1559">
        <v>1335.8022461</v>
      </c>
      <c r="J1559">
        <v>1333.9722899999999</v>
      </c>
      <c r="K1559">
        <v>0</v>
      </c>
      <c r="L1559">
        <v>1650</v>
      </c>
      <c r="M1559">
        <v>1650</v>
      </c>
      <c r="N1559">
        <v>0</v>
      </c>
    </row>
    <row r="1560" spans="1:14" x14ac:dyDescent="0.25">
      <c r="A1560">
        <v>938.69714699999997</v>
      </c>
      <c r="B1560" s="1">
        <f>DATE(2012,11,24) + TIME(16,43,53)</f>
        <v>41237.697141203702</v>
      </c>
      <c r="C1560">
        <v>80</v>
      </c>
      <c r="D1560">
        <v>78.123855590999995</v>
      </c>
      <c r="E1560">
        <v>40</v>
      </c>
      <c r="F1560">
        <v>39.982604979999998</v>
      </c>
      <c r="G1560">
        <v>1329.3801269999999</v>
      </c>
      <c r="H1560">
        <v>1328.3328856999999</v>
      </c>
      <c r="I1560">
        <v>1335.8006591999999</v>
      </c>
      <c r="J1560">
        <v>1333.9711914</v>
      </c>
      <c r="K1560">
        <v>0</v>
      </c>
      <c r="L1560">
        <v>1650</v>
      </c>
      <c r="M1560">
        <v>1650</v>
      </c>
      <c r="N1560">
        <v>0</v>
      </c>
    </row>
    <row r="1561" spans="1:14" x14ac:dyDescent="0.25">
      <c r="A1561">
        <v>939.76848299999995</v>
      </c>
      <c r="B1561" s="1">
        <f>DATE(2012,11,25) + TIME(18,26,36)</f>
        <v>41238.768472222226</v>
      </c>
      <c r="C1561">
        <v>80</v>
      </c>
      <c r="D1561">
        <v>78.046012877999999</v>
      </c>
      <c r="E1561">
        <v>40</v>
      </c>
      <c r="F1561">
        <v>39.982578277999998</v>
      </c>
      <c r="G1561">
        <v>1329.3466797000001</v>
      </c>
      <c r="H1561">
        <v>1328.2873535000001</v>
      </c>
      <c r="I1561">
        <v>1335.7991943</v>
      </c>
      <c r="J1561">
        <v>1333.9700928</v>
      </c>
      <c r="K1561">
        <v>0</v>
      </c>
      <c r="L1561">
        <v>1650</v>
      </c>
      <c r="M1561">
        <v>1650</v>
      </c>
      <c r="N1561">
        <v>0</v>
      </c>
    </row>
    <row r="1562" spans="1:14" x14ac:dyDescent="0.25">
      <c r="A1562">
        <v>940.87623499999995</v>
      </c>
      <c r="B1562" s="1">
        <f>DATE(2012,11,26) + TIME(21,1,46)</f>
        <v>41239.876226851855</v>
      </c>
      <c r="C1562">
        <v>80</v>
      </c>
      <c r="D1562">
        <v>77.965339661000002</v>
      </c>
      <c r="E1562">
        <v>40</v>
      </c>
      <c r="F1562">
        <v>39.982555388999998</v>
      </c>
      <c r="G1562">
        <v>1329.3129882999999</v>
      </c>
      <c r="H1562">
        <v>1328.2416992000001</v>
      </c>
      <c r="I1562">
        <v>1335.7978516000001</v>
      </c>
      <c r="J1562">
        <v>1333.9691161999999</v>
      </c>
      <c r="K1562">
        <v>0</v>
      </c>
      <c r="L1562">
        <v>1650</v>
      </c>
      <c r="M1562">
        <v>1650</v>
      </c>
      <c r="N1562">
        <v>0</v>
      </c>
    </row>
    <row r="1563" spans="1:14" x14ac:dyDescent="0.25">
      <c r="A1563">
        <v>942.02983300000005</v>
      </c>
      <c r="B1563" s="1">
        <f>DATE(2012,11,28) + TIME(0,42,57)</f>
        <v>41241.029826388891</v>
      </c>
      <c r="C1563">
        <v>80</v>
      </c>
      <c r="D1563">
        <v>77.881187439000001</v>
      </c>
      <c r="E1563">
        <v>40</v>
      </c>
      <c r="F1563">
        <v>39.982532501000001</v>
      </c>
      <c r="G1563">
        <v>1329.2789307</v>
      </c>
      <c r="H1563">
        <v>1328.1956786999999</v>
      </c>
      <c r="I1563">
        <v>1335.7963867000001</v>
      </c>
      <c r="J1563">
        <v>1333.9681396000001</v>
      </c>
      <c r="K1563">
        <v>0</v>
      </c>
      <c r="L1563">
        <v>1650</v>
      </c>
      <c r="M1563">
        <v>1650</v>
      </c>
      <c r="N1563">
        <v>0</v>
      </c>
    </row>
    <row r="1564" spans="1:14" x14ac:dyDescent="0.25">
      <c r="A1564">
        <v>943.24023599999998</v>
      </c>
      <c r="B1564" s="1">
        <f>DATE(2012,11,29) + TIME(5,45,56)</f>
        <v>41242.240231481483</v>
      </c>
      <c r="C1564">
        <v>80</v>
      </c>
      <c r="D1564">
        <v>77.792739867999998</v>
      </c>
      <c r="E1564">
        <v>40</v>
      </c>
      <c r="F1564">
        <v>39.982513427999997</v>
      </c>
      <c r="G1564">
        <v>1329.2443848</v>
      </c>
      <c r="H1564">
        <v>1328.1490478999999</v>
      </c>
      <c r="I1564">
        <v>1335.7950439000001</v>
      </c>
      <c r="J1564">
        <v>1333.9671631000001</v>
      </c>
      <c r="K1564">
        <v>0</v>
      </c>
      <c r="L1564">
        <v>1650</v>
      </c>
      <c r="M1564">
        <v>1650</v>
      </c>
      <c r="N1564">
        <v>0</v>
      </c>
    </row>
    <row r="1565" spans="1:14" x14ac:dyDescent="0.25">
      <c r="A1565">
        <v>944.50047500000005</v>
      </c>
      <c r="B1565" s="1">
        <f>DATE(2012,11,30) + TIME(12,0,41)</f>
        <v>41243.500474537039</v>
      </c>
      <c r="C1565">
        <v>80</v>
      </c>
      <c r="D1565">
        <v>77.699668884000005</v>
      </c>
      <c r="E1565">
        <v>40</v>
      </c>
      <c r="F1565">
        <v>39.982494354000004</v>
      </c>
      <c r="G1565">
        <v>1329.2091064000001</v>
      </c>
      <c r="H1565">
        <v>1328.1016846</v>
      </c>
      <c r="I1565">
        <v>1335.7937012</v>
      </c>
      <c r="J1565">
        <v>1333.9663086</v>
      </c>
      <c r="K1565">
        <v>0</v>
      </c>
      <c r="L1565">
        <v>1650</v>
      </c>
      <c r="M1565">
        <v>1650</v>
      </c>
      <c r="N1565">
        <v>0</v>
      </c>
    </row>
    <row r="1566" spans="1:14" x14ac:dyDescent="0.25">
      <c r="A1566">
        <v>945</v>
      </c>
      <c r="B1566" s="1">
        <f>DATE(2012,12,1) + TIME(0,0,0)</f>
        <v>41244</v>
      </c>
      <c r="C1566">
        <v>80</v>
      </c>
      <c r="D1566">
        <v>77.641586304</v>
      </c>
      <c r="E1566">
        <v>40</v>
      </c>
      <c r="F1566">
        <v>39.982486725000001</v>
      </c>
      <c r="G1566">
        <v>1329.1745605000001</v>
      </c>
      <c r="H1566">
        <v>1328.0563964999999</v>
      </c>
      <c r="I1566">
        <v>1335.7922363</v>
      </c>
      <c r="J1566">
        <v>1333.965332</v>
      </c>
      <c r="K1566">
        <v>0</v>
      </c>
      <c r="L1566">
        <v>1650</v>
      </c>
      <c r="M1566">
        <v>1650</v>
      </c>
      <c r="N1566">
        <v>0</v>
      </c>
    </row>
    <row r="1567" spans="1:14" x14ac:dyDescent="0.25">
      <c r="A1567">
        <v>946.287553</v>
      </c>
      <c r="B1567" s="1">
        <f>DATE(2012,12,2) + TIME(6,54,4)</f>
        <v>41245.287546296298</v>
      </c>
      <c r="C1567">
        <v>80</v>
      </c>
      <c r="D1567">
        <v>77.555053710999999</v>
      </c>
      <c r="E1567">
        <v>40</v>
      </c>
      <c r="F1567">
        <v>39.982471466</v>
      </c>
      <c r="G1567">
        <v>1329.1551514</v>
      </c>
      <c r="H1567">
        <v>1328.0275879000001</v>
      </c>
      <c r="I1567">
        <v>1335.7918701000001</v>
      </c>
      <c r="J1567">
        <v>1333.9650879000001</v>
      </c>
      <c r="K1567">
        <v>0</v>
      </c>
      <c r="L1567">
        <v>1650</v>
      </c>
      <c r="M1567">
        <v>1650</v>
      </c>
      <c r="N1567">
        <v>0</v>
      </c>
    </row>
    <row r="1568" spans="1:14" x14ac:dyDescent="0.25">
      <c r="A1568">
        <v>947.62397099999998</v>
      </c>
      <c r="B1568" s="1">
        <f>DATE(2012,12,3) + TIME(14,58,31)</f>
        <v>41246.623969907407</v>
      </c>
      <c r="C1568">
        <v>80</v>
      </c>
      <c r="D1568">
        <v>77.457832335999996</v>
      </c>
      <c r="E1568">
        <v>40</v>
      </c>
      <c r="F1568">
        <v>39.982452393000003</v>
      </c>
      <c r="G1568">
        <v>1329.1214600000001</v>
      </c>
      <c r="H1568">
        <v>1327.9832764</v>
      </c>
      <c r="I1568">
        <v>1335.7905272999999</v>
      </c>
      <c r="J1568">
        <v>1333.9642334</v>
      </c>
      <c r="K1568">
        <v>0</v>
      </c>
      <c r="L1568">
        <v>1650</v>
      </c>
      <c r="M1568">
        <v>1650</v>
      </c>
      <c r="N1568">
        <v>0</v>
      </c>
    </row>
    <row r="1569" spans="1:14" x14ac:dyDescent="0.25">
      <c r="A1569">
        <v>948.98984399999995</v>
      </c>
      <c r="B1569" s="1">
        <f>DATE(2012,12,4) + TIME(23,45,22)</f>
        <v>41247.989837962959</v>
      </c>
      <c r="C1569">
        <v>80</v>
      </c>
      <c r="D1569">
        <v>77.353591918999996</v>
      </c>
      <c r="E1569">
        <v>40</v>
      </c>
      <c r="F1569">
        <v>39.982433319000002</v>
      </c>
      <c r="G1569">
        <v>1329.0860596</v>
      </c>
      <c r="H1569">
        <v>1327.9365233999999</v>
      </c>
      <c r="I1569">
        <v>1335.7893065999999</v>
      </c>
      <c r="J1569">
        <v>1333.963501</v>
      </c>
      <c r="K1569">
        <v>0</v>
      </c>
      <c r="L1569">
        <v>1650</v>
      </c>
      <c r="M1569">
        <v>1650</v>
      </c>
      <c r="N1569">
        <v>0</v>
      </c>
    </row>
    <row r="1570" spans="1:14" x14ac:dyDescent="0.25">
      <c r="A1570">
        <v>950.39759200000003</v>
      </c>
      <c r="B1570" s="1">
        <f>DATE(2012,12,6) + TIME(9,32,31)</f>
        <v>41249.397581018522</v>
      </c>
      <c r="C1570">
        <v>80</v>
      </c>
      <c r="D1570">
        <v>77.243865967000005</v>
      </c>
      <c r="E1570">
        <v>40</v>
      </c>
      <c r="F1570">
        <v>39.982418060000001</v>
      </c>
      <c r="G1570">
        <v>1329.0501709</v>
      </c>
      <c r="H1570">
        <v>1327.8886719</v>
      </c>
      <c r="I1570">
        <v>1335.7880858999999</v>
      </c>
      <c r="J1570">
        <v>1333.9627685999999</v>
      </c>
      <c r="K1570">
        <v>0</v>
      </c>
      <c r="L1570">
        <v>1650</v>
      </c>
      <c r="M1570">
        <v>1650</v>
      </c>
      <c r="N1570">
        <v>0</v>
      </c>
    </row>
    <row r="1571" spans="1:14" x14ac:dyDescent="0.25">
      <c r="A1571">
        <v>951.83809699999995</v>
      </c>
      <c r="B1571" s="1">
        <f>DATE(2012,12,7) + TIME(20,6,51)</f>
        <v>41250.838090277779</v>
      </c>
      <c r="C1571">
        <v>80</v>
      </c>
      <c r="D1571">
        <v>77.129302979000002</v>
      </c>
      <c r="E1571">
        <v>40</v>
      </c>
      <c r="F1571">
        <v>39.982398987000003</v>
      </c>
      <c r="G1571">
        <v>1329.0137939000001</v>
      </c>
      <c r="H1571">
        <v>1327.840332</v>
      </c>
      <c r="I1571">
        <v>1335.7868652</v>
      </c>
      <c r="J1571">
        <v>1333.9620361</v>
      </c>
      <c r="K1571">
        <v>0</v>
      </c>
      <c r="L1571">
        <v>1650</v>
      </c>
      <c r="M1571">
        <v>1650</v>
      </c>
      <c r="N1571">
        <v>0</v>
      </c>
    </row>
    <row r="1572" spans="1:14" x14ac:dyDescent="0.25">
      <c r="A1572">
        <v>953.31185000000005</v>
      </c>
      <c r="B1572" s="1">
        <f>DATE(2012,12,9) + TIME(7,29,3)</f>
        <v>41252.311840277776</v>
      </c>
      <c r="C1572">
        <v>80</v>
      </c>
      <c r="D1572">
        <v>77.010292053000001</v>
      </c>
      <c r="E1572">
        <v>40</v>
      </c>
      <c r="F1572">
        <v>39.982383728000002</v>
      </c>
      <c r="G1572">
        <v>1328.9774170000001</v>
      </c>
      <c r="H1572">
        <v>1327.7917480000001</v>
      </c>
      <c r="I1572">
        <v>1335.7856445</v>
      </c>
      <c r="J1572">
        <v>1333.9614257999999</v>
      </c>
      <c r="K1572">
        <v>0</v>
      </c>
      <c r="L1572">
        <v>1650</v>
      </c>
      <c r="M1572">
        <v>1650</v>
      </c>
      <c r="N1572">
        <v>0</v>
      </c>
    </row>
    <row r="1573" spans="1:14" x14ac:dyDescent="0.25">
      <c r="A1573">
        <v>954.83064000000002</v>
      </c>
      <c r="B1573" s="1">
        <f>DATE(2012,12,10) + TIME(19,56,7)</f>
        <v>41253.830636574072</v>
      </c>
      <c r="C1573">
        <v>80</v>
      </c>
      <c r="D1573">
        <v>76.886573791999993</v>
      </c>
      <c r="E1573">
        <v>40</v>
      </c>
      <c r="F1573">
        <v>39.982364654999998</v>
      </c>
      <c r="G1573">
        <v>1328.9407959</v>
      </c>
      <c r="H1573">
        <v>1327.7432861</v>
      </c>
      <c r="I1573">
        <v>1335.7845459</v>
      </c>
      <c r="J1573">
        <v>1333.9609375</v>
      </c>
      <c r="K1573">
        <v>0</v>
      </c>
      <c r="L1573">
        <v>1650</v>
      </c>
      <c r="M1573">
        <v>1650</v>
      </c>
      <c r="N1573">
        <v>0</v>
      </c>
    </row>
    <row r="1574" spans="1:14" x14ac:dyDescent="0.25">
      <c r="A1574">
        <v>956.40738999999996</v>
      </c>
      <c r="B1574" s="1">
        <f>DATE(2012,12,12) + TIME(9,46,38)</f>
        <v>41255.407384259262</v>
      </c>
      <c r="C1574">
        <v>80</v>
      </c>
      <c r="D1574">
        <v>76.757362365999995</v>
      </c>
      <c r="E1574">
        <v>40</v>
      </c>
      <c r="F1574">
        <v>39.982345580999997</v>
      </c>
      <c r="G1574">
        <v>1328.9041748</v>
      </c>
      <c r="H1574">
        <v>1327.6945800999999</v>
      </c>
      <c r="I1574">
        <v>1335.7833252</v>
      </c>
      <c r="J1574">
        <v>1333.9603271000001</v>
      </c>
      <c r="K1574">
        <v>0</v>
      </c>
      <c r="L1574">
        <v>1650</v>
      </c>
      <c r="M1574">
        <v>1650</v>
      </c>
      <c r="N1574">
        <v>0</v>
      </c>
    </row>
    <row r="1575" spans="1:14" x14ac:dyDescent="0.25">
      <c r="A1575">
        <v>958.05696999999998</v>
      </c>
      <c r="B1575" s="1">
        <f>DATE(2012,12,14) + TIME(1,22,2)</f>
        <v>41257.056967592594</v>
      </c>
      <c r="C1575">
        <v>80</v>
      </c>
      <c r="D1575">
        <v>76.621566771999994</v>
      </c>
      <c r="E1575">
        <v>40</v>
      </c>
      <c r="F1575">
        <v>39.982326508</v>
      </c>
      <c r="G1575">
        <v>1328.8670654</v>
      </c>
      <c r="H1575">
        <v>1327.6455077999999</v>
      </c>
      <c r="I1575">
        <v>1335.7822266000001</v>
      </c>
      <c r="J1575">
        <v>1333.9599608999999</v>
      </c>
      <c r="K1575">
        <v>0</v>
      </c>
      <c r="L1575">
        <v>1650</v>
      </c>
      <c r="M1575">
        <v>1650</v>
      </c>
      <c r="N1575">
        <v>0</v>
      </c>
    </row>
    <row r="1576" spans="1:14" x14ac:dyDescent="0.25">
      <c r="A1576">
        <v>959.74478999999997</v>
      </c>
      <c r="B1576" s="1">
        <f>DATE(2012,12,15) + TIME(17,52,29)</f>
        <v>41258.744780092595</v>
      </c>
      <c r="C1576">
        <v>80</v>
      </c>
      <c r="D1576">
        <v>76.479293823000006</v>
      </c>
      <c r="E1576">
        <v>40</v>
      </c>
      <c r="F1576">
        <v>39.982307433999999</v>
      </c>
      <c r="G1576">
        <v>1328.8293457</v>
      </c>
      <c r="H1576">
        <v>1327.5958252</v>
      </c>
      <c r="I1576">
        <v>1335.7811279</v>
      </c>
      <c r="J1576">
        <v>1333.9594727000001</v>
      </c>
      <c r="K1576">
        <v>0</v>
      </c>
      <c r="L1576">
        <v>1650</v>
      </c>
      <c r="M1576">
        <v>1650</v>
      </c>
      <c r="N1576">
        <v>0</v>
      </c>
    </row>
    <row r="1577" spans="1:14" x14ac:dyDescent="0.25">
      <c r="A1577">
        <v>961.45408499999996</v>
      </c>
      <c r="B1577" s="1">
        <f>DATE(2012,12,17) + TIME(10,53,52)</f>
        <v>41260.454074074078</v>
      </c>
      <c r="C1577">
        <v>80</v>
      </c>
      <c r="D1577">
        <v>76.331962584999999</v>
      </c>
      <c r="E1577">
        <v>40</v>
      </c>
      <c r="F1577">
        <v>39.982288361000002</v>
      </c>
      <c r="G1577">
        <v>1328.7915039</v>
      </c>
      <c r="H1577">
        <v>1327.5458983999999</v>
      </c>
      <c r="I1577">
        <v>1335.7800293</v>
      </c>
      <c r="J1577">
        <v>1333.9591064000001</v>
      </c>
      <c r="K1577">
        <v>0</v>
      </c>
      <c r="L1577">
        <v>1650</v>
      </c>
      <c r="M1577">
        <v>1650</v>
      </c>
      <c r="N1577">
        <v>0</v>
      </c>
    </row>
    <row r="1578" spans="1:14" x14ac:dyDescent="0.25">
      <c r="A1578">
        <v>963.19973200000004</v>
      </c>
      <c r="B1578" s="1">
        <f>DATE(2012,12,19) + TIME(4,47,36)</f>
        <v>41262.19972222222</v>
      </c>
      <c r="C1578">
        <v>80</v>
      </c>
      <c r="D1578">
        <v>76.180130004999995</v>
      </c>
      <c r="E1578">
        <v>40</v>
      </c>
      <c r="F1578">
        <v>39.982269287000001</v>
      </c>
      <c r="G1578">
        <v>1328.7539062000001</v>
      </c>
      <c r="H1578">
        <v>1327.4963379000001</v>
      </c>
      <c r="I1578">
        <v>1335.7789307</v>
      </c>
      <c r="J1578">
        <v>1333.9587402</v>
      </c>
      <c r="K1578">
        <v>0</v>
      </c>
      <c r="L1578">
        <v>1650</v>
      </c>
      <c r="M1578">
        <v>1650</v>
      </c>
      <c r="N1578">
        <v>0</v>
      </c>
    </row>
    <row r="1579" spans="1:14" x14ac:dyDescent="0.25">
      <c r="A1579">
        <v>964.99745199999995</v>
      </c>
      <c r="B1579" s="1">
        <f>DATE(2012,12,20) + TIME(23,56,19)</f>
        <v>41263.997442129628</v>
      </c>
      <c r="C1579">
        <v>80</v>
      </c>
      <c r="D1579">
        <v>76.023117064999994</v>
      </c>
      <c r="E1579">
        <v>40</v>
      </c>
      <c r="F1579">
        <v>39.982250213999997</v>
      </c>
      <c r="G1579">
        <v>1328.7164307</v>
      </c>
      <c r="H1579">
        <v>1327.4470214999999</v>
      </c>
      <c r="I1579">
        <v>1335.777832</v>
      </c>
      <c r="J1579">
        <v>1333.958374</v>
      </c>
      <c r="K1579">
        <v>0</v>
      </c>
      <c r="L1579">
        <v>1650</v>
      </c>
      <c r="M1579">
        <v>1650</v>
      </c>
      <c r="N1579">
        <v>0</v>
      </c>
    </row>
    <row r="1580" spans="1:14" x14ac:dyDescent="0.25">
      <c r="A1580">
        <v>966.84610599999996</v>
      </c>
      <c r="B1580" s="1">
        <f>DATE(2012,12,22) + TIME(20,18,23)</f>
        <v>41265.846099537041</v>
      </c>
      <c r="C1580">
        <v>80</v>
      </c>
      <c r="D1580">
        <v>75.860214232999994</v>
      </c>
      <c r="E1580">
        <v>40</v>
      </c>
      <c r="F1580">
        <v>39.982231140000003</v>
      </c>
      <c r="G1580">
        <v>1328.6789550999999</v>
      </c>
      <c r="H1580">
        <v>1327.3978271000001</v>
      </c>
      <c r="I1580">
        <v>1335.7768555</v>
      </c>
      <c r="J1580">
        <v>1333.9581298999999</v>
      </c>
      <c r="K1580">
        <v>0</v>
      </c>
      <c r="L1580">
        <v>1650</v>
      </c>
      <c r="M1580">
        <v>1650</v>
      </c>
      <c r="N1580">
        <v>0</v>
      </c>
    </row>
    <row r="1581" spans="1:14" x14ac:dyDescent="0.25">
      <c r="A1581">
        <v>968.72556599999996</v>
      </c>
      <c r="B1581" s="1">
        <f>DATE(2012,12,24) + TIME(17,24,48)</f>
        <v>41267.725555555553</v>
      </c>
      <c r="C1581">
        <v>80</v>
      </c>
      <c r="D1581">
        <v>75.691764832000004</v>
      </c>
      <c r="E1581">
        <v>40</v>
      </c>
      <c r="F1581">
        <v>39.982212066999999</v>
      </c>
      <c r="G1581">
        <v>1328.6413574000001</v>
      </c>
      <c r="H1581">
        <v>1327.3486327999999</v>
      </c>
      <c r="I1581">
        <v>1335.7757568</v>
      </c>
      <c r="J1581">
        <v>1333.9578856999999</v>
      </c>
      <c r="K1581">
        <v>0</v>
      </c>
      <c r="L1581">
        <v>1650</v>
      </c>
      <c r="M1581">
        <v>1650</v>
      </c>
      <c r="N1581">
        <v>0</v>
      </c>
    </row>
    <row r="1582" spans="1:14" x14ac:dyDescent="0.25">
      <c r="A1582">
        <v>970.65082199999995</v>
      </c>
      <c r="B1582" s="1">
        <f>DATE(2012,12,26) + TIME(15,37,11)</f>
        <v>41269.650821759256</v>
      </c>
      <c r="C1582">
        <v>80</v>
      </c>
      <c r="D1582">
        <v>75.518180846999996</v>
      </c>
      <c r="E1582">
        <v>40</v>
      </c>
      <c r="F1582">
        <v>39.982192992999998</v>
      </c>
      <c r="G1582">
        <v>1328.6040039</v>
      </c>
      <c r="H1582">
        <v>1327.2995605000001</v>
      </c>
      <c r="I1582">
        <v>1335.7747803</v>
      </c>
      <c r="J1582">
        <v>1333.9577637</v>
      </c>
      <c r="K1582">
        <v>0</v>
      </c>
      <c r="L1582">
        <v>1650</v>
      </c>
      <c r="M1582">
        <v>1650</v>
      </c>
      <c r="N1582">
        <v>0</v>
      </c>
    </row>
    <row r="1583" spans="1:14" x14ac:dyDescent="0.25">
      <c r="A1583">
        <v>972.63811499999997</v>
      </c>
      <c r="B1583" s="1">
        <f>DATE(2012,12,28) + TIME(15,18,53)</f>
        <v>41271.638113425928</v>
      </c>
      <c r="C1583">
        <v>80</v>
      </c>
      <c r="D1583">
        <v>75.338630675999994</v>
      </c>
      <c r="E1583">
        <v>40</v>
      </c>
      <c r="F1583">
        <v>39.982173920000001</v>
      </c>
      <c r="G1583">
        <v>1328.5667725000001</v>
      </c>
      <c r="H1583">
        <v>1327.2508545000001</v>
      </c>
      <c r="I1583">
        <v>1335.7736815999999</v>
      </c>
      <c r="J1583">
        <v>1333.9575195</v>
      </c>
      <c r="K1583">
        <v>0</v>
      </c>
      <c r="L1583">
        <v>1650</v>
      </c>
      <c r="M1583">
        <v>1650</v>
      </c>
      <c r="N1583">
        <v>0</v>
      </c>
    </row>
    <row r="1584" spans="1:14" x14ac:dyDescent="0.25">
      <c r="A1584">
        <v>974.70582300000001</v>
      </c>
      <c r="B1584" s="1">
        <f>DATE(2012,12,30) + TIME(16,56,23)</f>
        <v>41273.705821759257</v>
      </c>
      <c r="C1584">
        <v>80</v>
      </c>
      <c r="D1584">
        <v>75.151840210000003</v>
      </c>
      <c r="E1584">
        <v>40</v>
      </c>
      <c r="F1584">
        <v>39.982151031000001</v>
      </c>
      <c r="G1584">
        <v>1328.5292969</v>
      </c>
      <c r="H1584">
        <v>1327.2020264</v>
      </c>
      <c r="I1584">
        <v>1335.7727050999999</v>
      </c>
      <c r="J1584">
        <v>1333.9575195</v>
      </c>
      <c r="K1584">
        <v>0</v>
      </c>
      <c r="L1584">
        <v>1650</v>
      </c>
      <c r="M1584">
        <v>1650</v>
      </c>
      <c r="N1584">
        <v>0</v>
      </c>
    </row>
    <row r="1585" spans="1:14" x14ac:dyDescent="0.25">
      <c r="A1585">
        <v>976</v>
      </c>
      <c r="B1585" s="1">
        <f>DATE(2013,1,1) + TIME(0,0,0)</f>
        <v>41275</v>
      </c>
      <c r="C1585">
        <v>80</v>
      </c>
      <c r="D1585">
        <v>74.986762999999996</v>
      </c>
      <c r="E1585">
        <v>40</v>
      </c>
      <c r="F1585">
        <v>39.982135773000003</v>
      </c>
      <c r="G1585">
        <v>1328.4919434000001</v>
      </c>
      <c r="H1585">
        <v>1327.1540527</v>
      </c>
      <c r="I1585">
        <v>1335.7716064000001</v>
      </c>
      <c r="J1585">
        <v>1333.9573975000001</v>
      </c>
      <c r="K1585">
        <v>0</v>
      </c>
      <c r="L1585">
        <v>1650</v>
      </c>
      <c r="M1585">
        <v>1650</v>
      </c>
      <c r="N1585">
        <v>0</v>
      </c>
    </row>
    <row r="1586" spans="1:14" x14ac:dyDescent="0.25">
      <c r="A1586">
        <v>978.10423800000001</v>
      </c>
      <c r="B1586" s="1">
        <f>DATE(2013,1,3) + TIME(2,30,6)</f>
        <v>41277.10423611111</v>
      </c>
      <c r="C1586">
        <v>80</v>
      </c>
      <c r="D1586">
        <v>74.822479247999993</v>
      </c>
      <c r="E1586">
        <v>40</v>
      </c>
      <c r="F1586">
        <v>39.982116699000002</v>
      </c>
      <c r="G1586">
        <v>1328.4643555</v>
      </c>
      <c r="H1586">
        <v>1327.1153564000001</v>
      </c>
      <c r="I1586">
        <v>1335.7709961</v>
      </c>
      <c r="J1586">
        <v>1333.9573975000001</v>
      </c>
      <c r="K1586">
        <v>0</v>
      </c>
      <c r="L1586">
        <v>1650</v>
      </c>
      <c r="M1586">
        <v>1650</v>
      </c>
      <c r="N1586">
        <v>0</v>
      </c>
    </row>
    <row r="1587" spans="1:14" x14ac:dyDescent="0.25">
      <c r="A1587">
        <v>980.269316</v>
      </c>
      <c r="B1587" s="1">
        <f>DATE(2013,1,5) + TIME(6,27,48)</f>
        <v>41279.269305555557</v>
      </c>
      <c r="C1587">
        <v>80</v>
      </c>
      <c r="D1587">
        <v>74.629745482999994</v>
      </c>
      <c r="E1587">
        <v>40</v>
      </c>
      <c r="F1587">
        <v>39.982093810999999</v>
      </c>
      <c r="G1587">
        <v>1328.4296875</v>
      </c>
      <c r="H1587">
        <v>1327.0717772999999</v>
      </c>
      <c r="I1587">
        <v>1335.7700195</v>
      </c>
      <c r="J1587">
        <v>1333.9573975000001</v>
      </c>
      <c r="K1587">
        <v>0</v>
      </c>
      <c r="L1587">
        <v>1650</v>
      </c>
      <c r="M1587">
        <v>1650</v>
      </c>
      <c r="N1587">
        <v>0</v>
      </c>
    </row>
    <row r="1588" spans="1:14" x14ac:dyDescent="0.25">
      <c r="A1588">
        <v>982.48069999999996</v>
      </c>
      <c r="B1588" s="1">
        <f>DATE(2013,1,7) + TIME(11,32,12)</f>
        <v>41281.480694444443</v>
      </c>
      <c r="C1588">
        <v>80</v>
      </c>
      <c r="D1588">
        <v>74.424484253000003</v>
      </c>
      <c r="E1588">
        <v>40</v>
      </c>
      <c r="F1588">
        <v>39.982070923000002</v>
      </c>
      <c r="G1588">
        <v>1328.3933105000001</v>
      </c>
      <c r="H1588">
        <v>1327.0249022999999</v>
      </c>
      <c r="I1588">
        <v>1335.7689209</v>
      </c>
      <c r="J1588">
        <v>1333.9573975000001</v>
      </c>
      <c r="K1588">
        <v>0</v>
      </c>
      <c r="L1588">
        <v>1650</v>
      </c>
      <c r="M1588">
        <v>1650</v>
      </c>
      <c r="N1588">
        <v>0</v>
      </c>
    </row>
    <row r="1589" spans="1:14" x14ac:dyDescent="0.25">
      <c r="A1589">
        <v>984.75626799999998</v>
      </c>
      <c r="B1589" s="1">
        <f>DATE(2013,1,9) + TIME(18,9,1)</f>
        <v>41283.756261574075</v>
      </c>
      <c r="C1589">
        <v>80</v>
      </c>
      <c r="D1589">
        <v>74.211341857999997</v>
      </c>
      <c r="E1589">
        <v>40</v>
      </c>
      <c r="F1589">
        <v>39.982048034999998</v>
      </c>
      <c r="G1589">
        <v>1328.3565673999999</v>
      </c>
      <c r="H1589">
        <v>1326.9772949000001</v>
      </c>
      <c r="I1589">
        <v>1335.7679443</v>
      </c>
      <c r="J1589">
        <v>1333.9573975000001</v>
      </c>
      <c r="K1589">
        <v>0</v>
      </c>
      <c r="L1589">
        <v>1650</v>
      </c>
      <c r="M1589">
        <v>1650</v>
      </c>
      <c r="N1589">
        <v>0</v>
      </c>
    </row>
    <row r="1590" spans="1:14" x14ac:dyDescent="0.25">
      <c r="A1590">
        <v>987.07334000000003</v>
      </c>
      <c r="B1590" s="1">
        <f>DATE(2013,1,12) + TIME(1,45,36)</f>
        <v>41286.073333333334</v>
      </c>
      <c r="C1590">
        <v>80</v>
      </c>
      <c r="D1590">
        <v>73.991325377999999</v>
      </c>
      <c r="E1590">
        <v>40</v>
      </c>
      <c r="F1590">
        <v>39.982025145999998</v>
      </c>
      <c r="G1590">
        <v>1328.3195800999999</v>
      </c>
      <c r="H1590">
        <v>1326.9294434000001</v>
      </c>
      <c r="I1590">
        <v>1335.7668457</v>
      </c>
      <c r="J1590">
        <v>1333.9575195</v>
      </c>
      <c r="K1590">
        <v>0</v>
      </c>
      <c r="L1590">
        <v>1650</v>
      </c>
      <c r="M1590">
        <v>1650</v>
      </c>
      <c r="N1590">
        <v>0</v>
      </c>
    </row>
    <row r="1591" spans="1:14" x14ac:dyDescent="0.25">
      <c r="A1591">
        <v>989.44559900000002</v>
      </c>
      <c r="B1591" s="1">
        <f>DATE(2013,1,14) + TIME(10,41,39)</f>
        <v>41288.445590277777</v>
      </c>
      <c r="C1591">
        <v>80</v>
      </c>
      <c r="D1591">
        <v>73.765510559000006</v>
      </c>
      <c r="E1591">
        <v>40</v>
      </c>
      <c r="F1591">
        <v>39.982002258000001</v>
      </c>
      <c r="G1591">
        <v>1328.2828368999999</v>
      </c>
      <c r="H1591">
        <v>1326.8818358999999</v>
      </c>
      <c r="I1591">
        <v>1335.7658690999999</v>
      </c>
      <c r="J1591">
        <v>1333.9576416</v>
      </c>
      <c r="K1591">
        <v>0</v>
      </c>
      <c r="L1591">
        <v>1650</v>
      </c>
      <c r="M1591">
        <v>1650</v>
      </c>
      <c r="N1591">
        <v>0</v>
      </c>
    </row>
    <row r="1592" spans="1:14" x14ac:dyDescent="0.25">
      <c r="A1592">
        <v>991.89428899999996</v>
      </c>
      <c r="B1592" s="1">
        <f>DATE(2013,1,16) + TIME(21,27,46)</f>
        <v>41290.894282407404</v>
      </c>
      <c r="C1592">
        <v>80</v>
      </c>
      <c r="D1592">
        <v>73.533058166999993</v>
      </c>
      <c r="E1592">
        <v>40</v>
      </c>
      <c r="F1592">
        <v>39.981979369999998</v>
      </c>
      <c r="G1592">
        <v>1328.2460937999999</v>
      </c>
      <c r="H1592">
        <v>1326.8343506000001</v>
      </c>
      <c r="I1592">
        <v>1335.7647704999999</v>
      </c>
      <c r="J1592">
        <v>1333.9577637</v>
      </c>
      <c r="K1592">
        <v>0</v>
      </c>
      <c r="L1592">
        <v>1650</v>
      </c>
      <c r="M1592">
        <v>1650</v>
      </c>
      <c r="N1592">
        <v>0</v>
      </c>
    </row>
    <row r="1593" spans="1:14" x14ac:dyDescent="0.25">
      <c r="A1593">
        <v>994.42735100000004</v>
      </c>
      <c r="B1593" s="1">
        <f>DATE(2013,1,19) + TIME(10,15,23)</f>
        <v>41293.427349537036</v>
      </c>
      <c r="C1593">
        <v>80</v>
      </c>
      <c r="D1593">
        <v>73.292587280000006</v>
      </c>
      <c r="E1593">
        <v>40</v>
      </c>
      <c r="F1593">
        <v>39.981956482000001</v>
      </c>
      <c r="G1593">
        <v>1328.2092285000001</v>
      </c>
      <c r="H1593">
        <v>1326.7868652</v>
      </c>
      <c r="I1593">
        <v>1335.7637939000001</v>
      </c>
      <c r="J1593">
        <v>1333.9578856999999</v>
      </c>
      <c r="K1593">
        <v>0</v>
      </c>
      <c r="L1593">
        <v>1650</v>
      </c>
      <c r="M1593">
        <v>1650</v>
      </c>
      <c r="N1593">
        <v>0</v>
      </c>
    </row>
    <row r="1594" spans="1:14" x14ac:dyDescent="0.25">
      <c r="A1594">
        <v>996.98915</v>
      </c>
      <c r="B1594" s="1">
        <f>DATE(2013,1,21) + TIME(23,44,22)</f>
        <v>41295.98914351852</v>
      </c>
      <c r="C1594">
        <v>80</v>
      </c>
      <c r="D1594">
        <v>73.044624329000001</v>
      </c>
      <c r="E1594">
        <v>40</v>
      </c>
      <c r="F1594">
        <v>39.981929778999998</v>
      </c>
      <c r="G1594">
        <v>1328.1722411999999</v>
      </c>
      <c r="H1594">
        <v>1326.7391356999999</v>
      </c>
      <c r="I1594">
        <v>1335.7626952999999</v>
      </c>
      <c r="J1594">
        <v>1333.9580077999999</v>
      </c>
      <c r="K1594">
        <v>0</v>
      </c>
      <c r="L1594">
        <v>1650</v>
      </c>
      <c r="M1594">
        <v>1650</v>
      </c>
      <c r="N1594">
        <v>0</v>
      </c>
    </row>
    <row r="1595" spans="1:14" x14ac:dyDescent="0.25">
      <c r="A1595">
        <v>999.58238300000005</v>
      </c>
      <c r="B1595" s="1">
        <f>DATE(2013,1,24) + TIME(13,58,37)</f>
        <v>41298.582372685189</v>
      </c>
      <c r="C1595">
        <v>80</v>
      </c>
      <c r="D1595">
        <v>72.792190551999994</v>
      </c>
      <c r="E1595">
        <v>40</v>
      </c>
      <c r="F1595">
        <v>39.981906891000001</v>
      </c>
      <c r="G1595">
        <v>1328.1356201000001</v>
      </c>
      <c r="H1595">
        <v>1326.6917725000001</v>
      </c>
      <c r="I1595">
        <v>1335.7615966999999</v>
      </c>
      <c r="J1595">
        <v>1333.9582519999999</v>
      </c>
      <c r="K1595">
        <v>0</v>
      </c>
      <c r="L1595">
        <v>1650</v>
      </c>
      <c r="M1595">
        <v>1650</v>
      </c>
      <c r="N1595">
        <v>0</v>
      </c>
    </row>
    <row r="1596" spans="1:14" x14ac:dyDescent="0.25">
      <c r="A1596">
        <v>1002.228082</v>
      </c>
      <c r="B1596" s="1">
        <f>DATE(2013,1,27) + TIME(5,28,26)</f>
        <v>41301.228078703702</v>
      </c>
      <c r="C1596">
        <v>80</v>
      </c>
      <c r="D1596">
        <v>72.535461425999998</v>
      </c>
      <c r="E1596">
        <v>40</v>
      </c>
      <c r="F1596">
        <v>39.981880187999998</v>
      </c>
      <c r="G1596">
        <v>1328.0993652</v>
      </c>
      <c r="H1596">
        <v>1326.6450195</v>
      </c>
      <c r="I1596">
        <v>1335.7604980000001</v>
      </c>
      <c r="J1596">
        <v>1333.9584961</v>
      </c>
      <c r="K1596">
        <v>0</v>
      </c>
      <c r="L1596">
        <v>1650</v>
      </c>
      <c r="M1596">
        <v>1650</v>
      </c>
      <c r="N1596">
        <v>0</v>
      </c>
    </row>
    <row r="1597" spans="1:14" x14ac:dyDescent="0.25">
      <c r="A1597">
        <v>1004.948952</v>
      </c>
      <c r="B1597" s="1">
        <f>DATE(2013,1,29) + TIME(22,46,29)</f>
        <v>41303.948946759258</v>
      </c>
      <c r="C1597">
        <v>80</v>
      </c>
      <c r="D1597">
        <v>72.272926330999994</v>
      </c>
      <c r="E1597">
        <v>40</v>
      </c>
      <c r="F1597">
        <v>39.981857300000001</v>
      </c>
      <c r="G1597">
        <v>1328.0634766000001</v>
      </c>
      <c r="H1597">
        <v>1326.5987548999999</v>
      </c>
      <c r="I1597">
        <v>1335.7593993999999</v>
      </c>
      <c r="J1597">
        <v>1333.9586182</v>
      </c>
      <c r="K1597">
        <v>0</v>
      </c>
      <c r="L1597">
        <v>1650</v>
      </c>
      <c r="M1597">
        <v>1650</v>
      </c>
      <c r="N1597">
        <v>0</v>
      </c>
    </row>
    <row r="1598" spans="1:14" x14ac:dyDescent="0.25">
      <c r="A1598">
        <v>1007</v>
      </c>
      <c r="B1598" s="1">
        <f>DATE(2013,2,1) + TIME(0,0,0)</f>
        <v>41306</v>
      </c>
      <c r="C1598">
        <v>80</v>
      </c>
      <c r="D1598">
        <v>72.022758483999993</v>
      </c>
      <c r="E1598">
        <v>40</v>
      </c>
      <c r="F1598">
        <v>39.981834411999998</v>
      </c>
      <c r="G1598">
        <v>1328.0277100000001</v>
      </c>
      <c r="H1598">
        <v>1326.5533447</v>
      </c>
      <c r="I1598">
        <v>1335.7583007999999</v>
      </c>
      <c r="J1598">
        <v>1333.9588623</v>
      </c>
      <c r="K1598">
        <v>0</v>
      </c>
      <c r="L1598">
        <v>1650</v>
      </c>
      <c r="M1598">
        <v>1650</v>
      </c>
      <c r="N1598">
        <v>0</v>
      </c>
    </row>
    <row r="1599" spans="1:14" x14ac:dyDescent="0.25">
      <c r="A1599">
        <v>1009.786922</v>
      </c>
      <c r="B1599" s="1">
        <f>DATE(2013,2,3) + TIME(18,53,10)</f>
        <v>41308.786921296298</v>
      </c>
      <c r="C1599">
        <v>80</v>
      </c>
      <c r="D1599">
        <v>71.789283752000003</v>
      </c>
      <c r="E1599">
        <v>40</v>
      </c>
      <c r="F1599">
        <v>39.981811522999998</v>
      </c>
      <c r="G1599">
        <v>1327.9984131000001</v>
      </c>
      <c r="H1599">
        <v>1326.5135498</v>
      </c>
      <c r="I1599">
        <v>1335.7574463000001</v>
      </c>
      <c r="J1599">
        <v>1333.9591064000001</v>
      </c>
      <c r="K1599">
        <v>0</v>
      </c>
      <c r="L1599">
        <v>1650</v>
      </c>
      <c r="M1599">
        <v>1650</v>
      </c>
      <c r="N1599">
        <v>0</v>
      </c>
    </row>
    <row r="1600" spans="1:14" x14ac:dyDescent="0.25">
      <c r="A1600">
        <v>1012.728201</v>
      </c>
      <c r="B1600" s="1">
        <f>DATE(2013,2,6) + TIME(17,28,36)</f>
        <v>41311.728194444448</v>
      </c>
      <c r="C1600">
        <v>80</v>
      </c>
      <c r="D1600">
        <v>71.518440247000001</v>
      </c>
      <c r="E1600">
        <v>40</v>
      </c>
      <c r="F1600">
        <v>39.981788635000001</v>
      </c>
      <c r="G1600">
        <v>1327.9652100000001</v>
      </c>
      <c r="H1600">
        <v>1326.4720459</v>
      </c>
      <c r="I1600">
        <v>1335.7563477000001</v>
      </c>
      <c r="J1600">
        <v>1333.9593506000001</v>
      </c>
      <c r="K1600">
        <v>0</v>
      </c>
      <c r="L1600">
        <v>1650</v>
      </c>
      <c r="M1600">
        <v>1650</v>
      </c>
      <c r="N1600">
        <v>0</v>
      </c>
    </row>
    <row r="1601" spans="1:14" x14ac:dyDescent="0.25">
      <c r="A1601">
        <v>1015.723657</v>
      </c>
      <c r="B1601" s="1">
        <f>DATE(2013,2,9) + TIME(17,22,3)</f>
        <v>41314.723645833335</v>
      </c>
      <c r="C1601">
        <v>80</v>
      </c>
      <c r="D1601">
        <v>71.229797363000003</v>
      </c>
      <c r="E1601">
        <v>40</v>
      </c>
      <c r="F1601">
        <v>39.981761931999998</v>
      </c>
      <c r="G1601">
        <v>1327.9299315999999</v>
      </c>
      <c r="H1601">
        <v>1326.4273682</v>
      </c>
      <c r="I1601">
        <v>1335.7551269999999</v>
      </c>
      <c r="J1601">
        <v>1333.9595947</v>
      </c>
      <c r="K1601">
        <v>0</v>
      </c>
      <c r="L1601">
        <v>1650</v>
      </c>
      <c r="M1601">
        <v>1650</v>
      </c>
      <c r="N1601">
        <v>0</v>
      </c>
    </row>
    <row r="1602" spans="1:14" x14ac:dyDescent="0.25">
      <c r="A1602">
        <v>1018.748616</v>
      </c>
      <c r="B1602" s="1">
        <f>DATE(2013,2,12) + TIME(17,58,0)</f>
        <v>41317.748611111114</v>
      </c>
      <c r="C1602">
        <v>80</v>
      </c>
      <c r="D1602">
        <v>70.933685303000004</v>
      </c>
      <c r="E1602">
        <v>40</v>
      </c>
      <c r="F1602">
        <v>39.981735229000002</v>
      </c>
      <c r="G1602">
        <v>1327.8944091999999</v>
      </c>
      <c r="H1602">
        <v>1326.3818358999999</v>
      </c>
      <c r="I1602">
        <v>1335.7539062000001</v>
      </c>
      <c r="J1602">
        <v>1333.9598389</v>
      </c>
      <c r="K1602">
        <v>0</v>
      </c>
      <c r="L1602">
        <v>1650</v>
      </c>
      <c r="M1602">
        <v>1650</v>
      </c>
      <c r="N1602">
        <v>0</v>
      </c>
    </row>
    <row r="1603" spans="1:14" x14ac:dyDescent="0.25">
      <c r="A1603">
        <v>1021.828972</v>
      </c>
      <c r="B1603" s="1">
        <f>DATE(2013,2,15) + TIME(19,53,43)</f>
        <v>41320.828969907408</v>
      </c>
      <c r="C1603">
        <v>80</v>
      </c>
      <c r="D1603">
        <v>70.633331299000005</v>
      </c>
      <c r="E1603">
        <v>40</v>
      </c>
      <c r="F1603">
        <v>39.981712340999998</v>
      </c>
      <c r="G1603">
        <v>1327.8591309000001</v>
      </c>
      <c r="H1603">
        <v>1326.3365478999999</v>
      </c>
      <c r="I1603">
        <v>1335.7526855000001</v>
      </c>
      <c r="J1603">
        <v>1333.9602050999999</v>
      </c>
      <c r="K1603">
        <v>0</v>
      </c>
      <c r="L1603">
        <v>1650</v>
      </c>
      <c r="M1603">
        <v>1650</v>
      </c>
      <c r="N1603">
        <v>0</v>
      </c>
    </row>
    <row r="1604" spans="1:14" x14ac:dyDescent="0.25">
      <c r="A1604">
        <v>1024.992839</v>
      </c>
      <c r="B1604" s="1">
        <f>DATE(2013,2,18) + TIME(23,49,41)</f>
        <v>41323.992835648147</v>
      </c>
      <c r="C1604">
        <v>80</v>
      </c>
      <c r="D1604">
        <v>70.327392578000001</v>
      </c>
      <c r="E1604">
        <v>40</v>
      </c>
      <c r="F1604">
        <v>39.981685638000002</v>
      </c>
      <c r="G1604">
        <v>1327.8242187999999</v>
      </c>
      <c r="H1604">
        <v>1326.2918701000001</v>
      </c>
      <c r="I1604">
        <v>1335.7514647999999</v>
      </c>
      <c r="J1604">
        <v>1333.9604492000001</v>
      </c>
      <c r="K1604">
        <v>0</v>
      </c>
      <c r="L1604">
        <v>1650</v>
      </c>
      <c r="M1604">
        <v>1650</v>
      </c>
      <c r="N1604">
        <v>0</v>
      </c>
    </row>
    <row r="1605" spans="1:14" x14ac:dyDescent="0.25">
      <c r="A1605">
        <v>1028.2603810000001</v>
      </c>
      <c r="B1605" s="1">
        <f>DATE(2013,2,22) + TIME(6,14,56)</f>
        <v>41327.260370370372</v>
      </c>
      <c r="C1605">
        <v>80</v>
      </c>
      <c r="D1605">
        <v>70.013664246000005</v>
      </c>
      <c r="E1605">
        <v>40</v>
      </c>
      <c r="F1605">
        <v>39.981658936000002</v>
      </c>
      <c r="G1605">
        <v>1327.7894286999999</v>
      </c>
      <c r="H1605">
        <v>1326.2473144999999</v>
      </c>
      <c r="I1605">
        <v>1335.7501221</v>
      </c>
      <c r="J1605">
        <v>1333.9606934000001</v>
      </c>
      <c r="K1605">
        <v>0</v>
      </c>
      <c r="L1605">
        <v>1650</v>
      </c>
      <c r="M1605">
        <v>1650</v>
      </c>
      <c r="N1605">
        <v>0</v>
      </c>
    </row>
    <row r="1606" spans="1:14" x14ac:dyDescent="0.25">
      <c r="A1606">
        <v>1031.625781</v>
      </c>
      <c r="B1606" s="1">
        <f>DATE(2013,2,25) + TIME(15,1,7)</f>
        <v>41330.625775462962</v>
      </c>
      <c r="C1606">
        <v>80</v>
      </c>
      <c r="D1606">
        <v>69.690277100000003</v>
      </c>
      <c r="E1606">
        <v>40</v>
      </c>
      <c r="F1606">
        <v>39.981632232999999</v>
      </c>
      <c r="G1606">
        <v>1327.7546387</v>
      </c>
      <c r="H1606">
        <v>1326.2027588000001</v>
      </c>
      <c r="I1606">
        <v>1335.7489014</v>
      </c>
      <c r="J1606">
        <v>1333.9609375</v>
      </c>
      <c r="K1606">
        <v>0</v>
      </c>
      <c r="L1606">
        <v>1650</v>
      </c>
      <c r="M1606">
        <v>1650</v>
      </c>
      <c r="N1606">
        <v>0</v>
      </c>
    </row>
    <row r="1607" spans="1:14" x14ac:dyDescent="0.25">
      <c r="A1607">
        <v>1035</v>
      </c>
      <c r="B1607" s="1">
        <f>DATE(2013,3,1) + TIME(0,0,0)</f>
        <v>41334</v>
      </c>
      <c r="C1607">
        <v>80</v>
      </c>
      <c r="D1607">
        <v>69.359329224000007</v>
      </c>
      <c r="E1607">
        <v>40</v>
      </c>
      <c r="F1607">
        <v>39.981605530000003</v>
      </c>
      <c r="G1607">
        <v>1327.7197266000001</v>
      </c>
      <c r="H1607">
        <v>1326.1582031</v>
      </c>
      <c r="I1607">
        <v>1335.7475586</v>
      </c>
      <c r="J1607">
        <v>1333.9613036999999</v>
      </c>
      <c r="K1607">
        <v>0</v>
      </c>
      <c r="L1607">
        <v>1650</v>
      </c>
      <c r="M1607">
        <v>1650</v>
      </c>
      <c r="N1607">
        <v>0</v>
      </c>
    </row>
    <row r="1608" spans="1:14" x14ac:dyDescent="0.25">
      <c r="A1608">
        <v>1038.4552200000001</v>
      </c>
      <c r="B1608" s="1">
        <f>DATE(2013,3,4) + TIME(10,55,30)</f>
        <v>41337.455208333333</v>
      </c>
      <c r="C1608">
        <v>80</v>
      </c>
      <c r="D1608">
        <v>69.025535583000007</v>
      </c>
      <c r="E1608">
        <v>40</v>
      </c>
      <c r="F1608">
        <v>39.981582641999999</v>
      </c>
      <c r="G1608">
        <v>1327.6854248</v>
      </c>
      <c r="H1608">
        <v>1326.1141356999999</v>
      </c>
      <c r="I1608">
        <v>1335.7462158000001</v>
      </c>
      <c r="J1608">
        <v>1333.9615478999999</v>
      </c>
      <c r="K1608">
        <v>0</v>
      </c>
      <c r="L1608">
        <v>1650</v>
      </c>
      <c r="M1608">
        <v>1650</v>
      </c>
      <c r="N1608">
        <v>0</v>
      </c>
    </row>
    <row r="1609" spans="1:14" x14ac:dyDescent="0.25">
      <c r="A1609">
        <v>1042.0060470000001</v>
      </c>
      <c r="B1609" s="1">
        <f>DATE(2013,3,8) + TIME(0,8,42)</f>
        <v>41341.006041666667</v>
      </c>
      <c r="C1609">
        <v>80</v>
      </c>
      <c r="D1609">
        <v>68.685127257999994</v>
      </c>
      <c r="E1609">
        <v>40</v>
      </c>
      <c r="F1609">
        <v>39.981555939000003</v>
      </c>
      <c r="G1609">
        <v>1327.6513672000001</v>
      </c>
      <c r="H1609">
        <v>1326.0705565999999</v>
      </c>
      <c r="I1609">
        <v>1335.744751</v>
      </c>
      <c r="J1609">
        <v>1333.9617920000001</v>
      </c>
      <c r="K1609">
        <v>0</v>
      </c>
      <c r="L1609">
        <v>1650</v>
      </c>
      <c r="M1609">
        <v>1650</v>
      </c>
      <c r="N1609">
        <v>0</v>
      </c>
    </row>
    <row r="1610" spans="1:14" x14ac:dyDescent="0.25">
      <c r="A1610">
        <v>1045.6565969999999</v>
      </c>
      <c r="B1610" s="1">
        <f>DATE(2013,3,11) + TIME(15,45,29)</f>
        <v>41344.656585648147</v>
      </c>
      <c r="C1610">
        <v>80</v>
      </c>
      <c r="D1610">
        <v>68.336524963000002</v>
      </c>
      <c r="E1610">
        <v>40</v>
      </c>
      <c r="F1610">
        <v>39.981529236</v>
      </c>
      <c r="G1610">
        <v>1327.6174315999999</v>
      </c>
      <c r="H1610">
        <v>1326.0272216999999</v>
      </c>
      <c r="I1610">
        <v>1335.7432861</v>
      </c>
      <c r="J1610">
        <v>1333.9620361</v>
      </c>
      <c r="K1610">
        <v>0</v>
      </c>
      <c r="L1610">
        <v>1650</v>
      </c>
      <c r="M1610">
        <v>1650</v>
      </c>
      <c r="N1610">
        <v>0</v>
      </c>
    </row>
    <row r="1611" spans="1:14" x14ac:dyDescent="0.25">
      <c r="A1611">
        <v>1049.4454820000001</v>
      </c>
      <c r="B1611" s="1">
        <f>DATE(2013,3,15) + TIME(10,41,29)</f>
        <v>41348.445474537039</v>
      </c>
      <c r="C1611">
        <v>80</v>
      </c>
      <c r="D1611">
        <v>67.978744507000002</v>
      </c>
      <c r="E1611">
        <v>40</v>
      </c>
      <c r="F1611">
        <v>39.981502532999997</v>
      </c>
      <c r="G1611">
        <v>1327.5834961</v>
      </c>
      <c r="H1611">
        <v>1325.9838867000001</v>
      </c>
      <c r="I1611">
        <v>1335.7418213000001</v>
      </c>
      <c r="J1611">
        <v>1333.9621582</v>
      </c>
      <c r="K1611">
        <v>0</v>
      </c>
      <c r="L1611">
        <v>1650</v>
      </c>
      <c r="M1611">
        <v>1650</v>
      </c>
      <c r="N1611">
        <v>0</v>
      </c>
    </row>
    <row r="1612" spans="1:14" x14ac:dyDescent="0.25">
      <c r="A1612">
        <v>1053.345744</v>
      </c>
      <c r="B1612" s="1">
        <f>DATE(2013,3,19) + TIME(8,17,52)</f>
        <v>41352.34574074074</v>
      </c>
      <c r="C1612">
        <v>80</v>
      </c>
      <c r="D1612">
        <v>67.609657287999994</v>
      </c>
      <c r="E1612">
        <v>40</v>
      </c>
      <c r="F1612">
        <v>39.981479645</v>
      </c>
      <c r="G1612">
        <v>1327.5494385</v>
      </c>
      <c r="H1612">
        <v>1325.9404297000001</v>
      </c>
      <c r="I1612">
        <v>1335.7403564000001</v>
      </c>
      <c r="J1612">
        <v>1333.9624022999999</v>
      </c>
      <c r="K1612">
        <v>0</v>
      </c>
      <c r="L1612">
        <v>1650</v>
      </c>
      <c r="M1612">
        <v>1650</v>
      </c>
      <c r="N1612">
        <v>0</v>
      </c>
    </row>
    <row r="1613" spans="1:14" x14ac:dyDescent="0.25">
      <c r="A1613">
        <v>1057.2979929999999</v>
      </c>
      <c r="B1613" s="1">
        <f>DATE(2013,3,23) + TIME(7,9,6)</f>
        <v>41356.297986111109</v>
      </c>
      <c r="C1613">
        <v>80</v>
      </c>
      <c r="D1613">
        <v>67.231781006000006</v>
      </c>
      <c r="E1613">
        <v>40</v>
      </c>
      <c r="F1613">
        <v>39.981452941999997</v>
      </c>
      <c r="G1613">
        <v>1327.5153809000001</v>
      </c>
      <c r="H1613">
        <v>1325.8968506000001</v>
      </c>
      <c r="I1613">
        <v>1335.7387695</v>
      </c>
      <c r="J1613">
        <v>1333.9625243999999</v>
      </c>
      <c r="K1613">
        <v>0</v>
      </c>
      <c r="L1613">
        <v>1650</v>
      </c>
      <c r="M1613">
        <v>1650</v>
      </c>
      <c r="N1613">
        <v>0</v>
      </c>
    </row>
    <row r="1614" spans="1:14" x14ac:dyDescent="0.25">
      <c r="A1614">
        <v>1061.3359780000001</v>
      </c>
      <c r="B1614" s="1">
        <f>DATE(2013,3,27) + TIME(8,3,48)</f>
        <v>41360.335972222223</v>
      </c>
      <c r="C1614">
        <v>80</v>
      </c>
      <c r="D1614">
        <v>66.848991393999995</v>
      </c>
      <c r="E1614">
        <v>40</v>
      </c>
      <c r="F1614">
        <v>39.981426239000001</v>
      </c>
      <c r="G1614">
        <v>1327.4815673999999</v>
      </c>
      <c r="H1614">
        <v>1325.8536377</v>
      </c>
      <c r="I1614">
        <v>1335.7371826000001</v>
      </c>
      <c r="J1614">
        <v>1333.9627685999999</v>
      </c>
      <c r="K1614">
        <v>0</v>
      </c>
      <c r="L1614">
        <v>1650</v>
      </c>
      <c r="M1614">
        <v>1650</v>
      </c>
      <c r="N1614">
        <v>0</v>
      </c>
    </row>
    <row r="1615" spans="1:14" x14ac:dyDescent="0.25">
      <c r="A1615">
        <v>1065.492045</v>
      </c>
      <c r="B1615" s="1">
        <f>DATE(2013,3,31) + TIME(11,48,32)</f>
        <v>41364.492037037038</v>
      </c>
      <c r="C1615">
        <v>80</v>
      </c>
      <c r="D1615">
        <v>66.459327697999996</v>
      </c>
      <c r="E1615">
        <v>40</v>
      </c>
      <c r="F1615">
        <v>39.981403350999997</v>
      </c>
      <c r="G1615">
        <v>1327.4482422000001</v>
      </c>
      <c r="H1615">
        <v>1325.8107910000001</v>
      </c>
      <c r="I1615">
        <v>1335.7354736</v>
      </c>
      <c r="J1615">
        <v>1333.9628906</v>
      </c>
      <c r="K1615">
        <v>0</v>
      </c>
      <c r="L1615">
        <v>1650</v>
      </c>
      <c r="M1615">
        <v>1650</v>
      </c>
      <c r="N1615">
        <v>0</v>
      </c>
    </row>
    <row r="1616" spans="1:14" x14ac:dyDescent="0.25">
      <c r="A1616">
        <v>1066</v>
      </c>
      <c r="B1616" s="1">
        <f>DATE(2013,4,1) + TIME(0,0,0)</f>
        <v>41365</v>
      </c>
      <c r="C1616">
        <v>80</v>
      </c>
      <c r="D1616">
        <v>66.269653320000003</v>
      </c>
      <c r="E1616">
        <v>40</v>
      </c>
      <c r="F1616">
        <v>39.981395720999998</v>
      </c>
      <c r="G1616">
        <v>1327.4144286999999</v>
      </c>
      <c r="H1616">
        <v>1325.7719727000001</v>
      </c>
      <c r="I1616">
        <v>1335.7337646000001</v>
      </c>
      <c r="J1616">
        <v>1333.9628906</v>
      </c>
      <c r="K1616">
        <v>0</v>
      </c>
      <c r="L1616">
        <v>1650</v>
      </c>
      <c r="M1616">
        <v>1650</v>
      </c>
      <c r="N1616">
        <v>0</v>
      </c>
    </row>
    <row r="1617" spans="1:14" x14ac:dyDescent="0.25">
      <c r="A1617">
        <v>1070.3145750000001</v>
      </c>
      <c r="B1617" s="1">
        <f>DATE(2013,4,5) + TIME(7,32,59)</f>
        <v>41369.314571759256</v>
      </c>
      <c r="C1617">
        <v>80</v>
      </c>
      <c r="D1617">
        <v>65.989692688000005</v>
      </c>
      <c r="E1617">
        <v>40</v>
      </c>
      <c r="F1617">
        <v>39.981372833000002</v>
      </c>
      <c r="G1617">
        <v>1327.4067382999999</v>
      </c>
      <c r="H1617">
        <v>1325.7548827999999</v>
      </c>
      <c r="I1617">
        <v>1335.7336425999999</v>
      </c>
      <c r="J1617">
        <v>1333.9630127</v>
      </c>
      <c r="K1617">
        <v>0</v>
      </c>
      <c r="L1617">
        <v>1650</v>
      </c>
      <c r="M1617">
        <v>1650</v>
      </c>
      <c r="N1617">
        <v>0</v>
      </c>
    </row>
    <row r="1618" spans="1:14" x14ac:dyDescent="0.25">
      <c r="A1618">
        <v>1074.717361</v>
      </c>
      <c r="B1618" s="1">
        <f>DATE(2013,4,9) + TIME(17,13,0)</f>
        <v>41373.717361111114</v>
      </c>
      <c r="C1618">
        <v>80</v>
      </c>
      <c r="D1618">
        <v>65.594757079999994</v>
      </c>
      <c r="E1618">
        <v>40</v>
      </c>
      <c r="F1618">
        <v>39.981349944999998</v>
      </c>
      <c r="G1618">
        <v>1327.3769531</v>
      </c>
      <c r="H1618">
        <v>1325.7192382999999</v>
      </c>
      <c r="I1618">
        <v>1335.7318115</v>
      </c>
      <c r="J1618">
        <v>1333.9630127</v>
      </c>
      <c r="K1618">
        <v>0</v>
      </c>
      <c r="L1618">
        <v>1650</v>
      </c>
      <c r="M1618">
        <v>1650</v>
      </c>
      <c r="N1618">
        <v>0</v>
      </c>
    </row>
    <row r="1619" spans="1:14" x14ac:dyDescent="0.25">
      <c r="A1619">
        <v>1079.2147729999999</v>
      </c>
      <c r="B1619" s="1">
        <f>DATE(2013,4,14) + TIME(5,9,16)</f>
        <v>41378.214768518519</v>
      </c>
      <c r="C1619">
        <v>80</v>
      </c>
      <c r="D1619">
        <v>65.179183960000003</v>
      </c>
      <c r="E1619">
        <v>40</v>
      </c>
      <c r="F1619">
        <v>39.981327057000001</v>
      </c>
      <c r="G1619">
        <v>1327.3446045000001</v>
      </c>
      <c r="H1619">
        <v>1325.6781006000001</v>
      </c>
      <c r="I1619">
        <v>1335.7299805</v>
      </c>
      <c r="J1619">
        <v>1333.9631348</v>
      </c>
      <c r="K1619">
        <v>0</v>
      </c>
      <c r="L1619">
        <v>1650</v>
      </c>
      <c r="M1619">
        <v>1650</v>
      </c>
      <c r="N1619">
        <v>0</v>
      </c>
    </row>
    <row r="1620" spans="1:14" x14ac:dyDescent="0.25">
      <c r="A1620">
        <v>1083.8485780000001</v>
      </c>
      <c r="B1620" s="1">
        <f>DATE(2013,4,18) + TIME(20,21,57)</f>
        <v>41382.848576388889</v>
      </c>
      <c r="C1620">
        <v>80</v>
      </c>
      <c r="D1620">
        <v>64.754234314000001</v>
      </c>
      <c r="E1620">
        <v>40</v>
      </c>
      <c r="F1620">
        <v>39.981304168999998</v>
      </c>
      <c r="G1620">
        <v>1327.3121338000001</v>
      </c>
      <c r="H1620">
        <v>1325.6365966999999</v>
      </c>
      <c r="I1620">
        <v>1335.7281493999999</v>
      </c>
      <c r="J1620">
        <v>1333.9630127</v>
      </c>
      <c r="K1620">
        <v>0</v>
      </c>
      <c r="L1620">
        <v>1650</v>
      </c>
      <c r="M1620">
        <v>1650</v>
      </c>
      <c r="N1620">
        <v>0</v>
      </c>
    </row>
    <row r="1621" spans="1:14" x14ac:dyDescent="0.25">
      <c r="A1621">
        <v>1088.6610250000001</v>
      </c>
      <c r="B1621" s="1">
        <f>DATE(2013,4,23) + TIME(15,51,52)</f>
        <v>41387.66101851852</v>
      </c>
      <c r="C1621">
        <v>80</v>
      </c>
      <c r="D1621">
        <v>64.318328856999997</v>
      </c>
      <c r="E1621">
        <v>40</v>
      </c>
      <c r="F1621">
        <v>39.981281281000001</v>
      </c>
      <c r="G1621">
        <v>1327.2797852000001</v>
      </c>
      <c r="H1621">
        <v>1325.5952147999999</v>
      </c>
      <c r="I1621">
        <v>1335.7261963000001</v>
      </c>
      <c r="J1621">
        <v>1333.9630127</v>
      </c>
      <c r="K1621">
        <v>0</v>
      </c>
      <c r="L1621">
        <v>1650</v>
      </c>
      <c r="M1621">
        <v>1650</v>
      </c>
      <c r="N1621">
        <v>0</v>
      </c>
    </row>
    <row r="1622" spans="1:14" x14ac:dyDescent="0.25">
      <c r="A1622">
        <v>1093.557262</v>
      </c>
      <c r="B1622" s="1">
        <f>DATE(2013,4,28) + TIME(13,22,27)</f>
        <v>41392.557256944441</v>
      </c>
      <c r="C1622">
        <v>80</v>
      </c>
      <c r="D1622">
        <v>63.869773864999999</v>
      </c>
      <c r="E1622">
        <v>40</v>
      </c>
      <c r="F1622">
        <v>39.981258392000001</v>
      </c>
      <c r="G1622">
        <v>1327.2475586</v>
      </c>
      <c r="H1622">
        <v>1325.5539550999999</v>
      </c>
      <c r="I1622">
        <v>1335.7242432</v>
      </c>
      <c r="J1622">
        <v>1333.9628906</v>
      </c>
      <c r="K1622">
        <v>0</v>
      </c>
      <c r="L1622">
        <v>1650</v>
      </c>
      <c r="M1622">
        <v>1650</v>
      </c>
      <c r="N1622">
        <v>0</v>
      </c>
    </row>
    <row r="1623" spans="1:14" x14ac:dyDescent="0.25">
      <c r="A1623">
        <v>1096</v>
      </c>
      <c r="B1623" s="1">
        <f>DATE(2013,5,1) + TIME(0,0,0)</f>
        <v>41395</v>
      </c>
      <c r="C1623">
        <v>80</v>
      </c>
      <c r="D1623">
        <v>63.469272613999998</v>
      </c>
      <c r="E1623">
        <v>40</v>
      </c>
      <c r="F1623">
        <v>39.981239318999997</v>
      </c>
      <c r="G1623">
        <v>1327.215332</v>
      </c>
      <c r="H1623">
        <v>1325.5137939000001</v>
      </c>
      <c r="I1623">
        <v>1335.722168</v>
      </c>
      <c r="J1623">
        <v>1333.9627685999999</v>
      </c>
      <c r="K1623">
        <v>0</v>
      </c>
      <c r="L1623">
        <v>1650</v>
      </c>
      <c r="M1623">
        <v>1650</v>
      </c>
      <c r="N1623">
        <v>0</v>
      </c>
    </row>
    <row r="1624" spans="1:14" x14ac:dyDescent="0.25">
      <c r="A1624">
        <v>1096.0000010000001</v>
      </c>
      <c r="B1624" s="1">
        <f>DATE(2013,5,1) + TIME(0,0,0)</f>
        <v>41395</v>
      </c>
      <c r="C1624">
        <v>80</v>
      </c>
      <c r="D1624">
        <v>63.469383239999999</v>
      </c>
      <c r="E1624">
        <v>40</v>
      </c>
      <c r="F1624">
        <v>39.981185912999997</v>
      </c>
      <c r="G1624">
        <v>1329.5793457</v>
      </c>
      <c r="H1624">
        <v>1327.8898925999999</v>
      </c>
      <c r="I1624">
        <v>1333.4953613</v>
      </c>
      <c r="J1624">
        <v>1332.1223144999999</v>
      </c>
      <c r="K1624">
        <v>1650</v>
      </c>
      <c r="L1624">
        <v>0</v>
      </c>
      <c r="M1624">
        <v>0</v>
      </c>
      <c r="N1624">
        <v>1650</v>
      </c>
    </row>
    <row r="1625" spans="1:14" x14ac:dyDescent="0.25">
      <c r="A1625">
        <v>1096.000004</v>
      </c>
      <c r="B1625" s="1">
        <f>DATE(2013,5,1) + TIME(0,0,0)</f>
        <v>41395</v>
      </c>
      <c r="C1625">
        <v>80</v>
      </c>
      <c r="D1625">
        <v>63.469570160000004</v>
      </c>
      <c r="E1625">
        <v>40</v>
      </c>
      <c r="F1625">
        <v>39.981090545999997</v>
      </c>
      <c r="G1625">
        <v>1330.4285889</v>
      </c>
      <c r="H1625">
        <v>1328.8289795000001</v>
      </c>
      <c r="I1625">
        <v>1332.7180175999999</v>
      </c>
      <c r="J1625">
        <v>1331.3449707</v>
      </c>
      <c r="K1625">
        <v>1650</v>
      </c>
      <c r="L1625">
        <v>0</v>
      </c>
      <c r="M1625">
        <v>0</v>
      </c>
      <c r="N1625">
        <v>1650</v>
      </c>
    </row>
    <row r="1626" spans="1:14" x14ac:dyDescent="0.25">
      <c r="A1626">
        <v>1096.0000130000001</v>
      </c>
      <c r="B1626" s="1">
        <f>DATE(2013,5,1) + TIME(0,0,1)</f>
        <v>41395.000011574077</v>
      </c>
      <c r="C1626">
        <v>80</v>
      </c>
      <c r="D1626">
        <v>63.469894408999998</v>
      </c>
      <c r="E1626">
        <v>40</v>
      </c>
      <c r="F1626">
        <v>39.980979918999999</v>
      </c>
      <c r="G1626">
        <v>1331.4661865</v>
      </c>
      <c r="H1626">
        <v>1329.8450928</v>
      </c>
      <c r="I1626">
        <v>1331.7897949000001</v>
      </c>
      <c r="J1626">
        <v>1330.4169922000001</v>
      </c>
      <c r="K1626">
        <v>1650</v>
      </c>
      <c r="L1626">
        <v>0</v>
      </c>
      <c r="M1626">
        <v>0</v>
      </c>
      <c r="N1626">
        <v>1650</v>
      </c>
    </row>
    <row r="1627" spans="1:14" x14ac:dyDescent="0.25">
      <c r="A1627">
        <v>1096.0000399999999</v>
      </c>
      <c r="B1627" s="1">
        <f>DATE(2013,5,1) + TIME(0,0,3)</f>
        <v>41395.000034722223</v>
      </c>
      <c r="C1627">
        <v>80</v>
      </c>
      <c r="D1627">
        <v>63.470603943</v>
      </c>
      <c r="E1627">
        <v>40</v>
      </c>
      <c r="F1627">
        <v>39.980865479000002</v>
      </c>
      <c r="G1627">
        <v>1332.5245361</v>
      </c>
      <c r="H1627">
        <v>1330.8531493999999</v>
      </c>
      <c r="I1627">
        <v>1330.8637695</v>
      </c>
      <c r="J1627">
        <v>1329.4909668</v>
      </c>
      <c r="K1627">
        <v>1650</v>
      </c>
      <c r="L1627">
        <v>0</v>
      </c>
      <c r="M1627">
        <v>0</v>
      </c>
      <c r="N1627">
        <v>1650</v>
      </c>
    </row>
    <row r="1628" spans="1:14" x14ac:dyDescent="0.25">
      <c r="A1628">
        <v>1096.000121</v>
      </c>
      <c r="B1628" s="1">
        <f>DATE(2013,5,1) + TIME(0,0,10)</f>
        <v>41395.000115740739</v>
      </c>
      <c r="C1628">
        <v>80</v>
      </c>
      <c r="D1628">
        <v>63.472518921000002</v>
      </c>
      <c r="E1628">
        <v>40</v>
      </c>
      <c r="F1628">
        <v>39.980754851999997</v>
      </c>
      <c r="G1628">
        <v>1333.5611572</v>
      </c>
      <c r="H1628">
        <v>1331.84375</v>
      </c>
      <c r="I1628">
        <v>1329.9544678</v>
      </c>
      <c r="J1628">
        <v>1328.5771483999999</v>
      </c>
      <c r="K1628">
        <v>1650</v>
      </c>
      <c r="L1628">
        <v>0</v>
      </c>
      <c r="M1628">
        <v>0</v>
      </c>
      <c r="N1628">
        <v>1650</v>
      </c>
    </row>
    <row r="1629" spans="1:14" x14ac:dyDescent="0.25">
      <c r="A1629">
        <v>1096.000364</v>
      </c>
      <c r="B1629" s="1">
        <f>DATE(2013,5,1) + TIME(0,0,31)</f>
        <v>41395.000358796293</v>
      </c>
      <c r="C1629">
        <v>80</v>
      </c>
      <c r="D1629">
        <v>63.478122710999997</v>
      </c>
      <c r="E1629">
        <v>40</v>
      </c>
      <c r="F1629">
        <v>39.980632782000001</v>
      </c>
      <c r="G1629">
        <v>1334.5603027</v>
      </c>
      <c r="H1629">
        <v>1332.7978516000001</v>
      </c>
      <c r="I1629">
        <v>1329.0555420000001</v>
      </c>
      <c r="J1629">
        <v>1327.659668</v>
      </c>
      <c r="K1629">
        <v>1650</v>
      </c>
      <c r="L1629">
        <v>0</v>
      </c>
      <c r="M1629">
        <v>0</v>
      </c>
      <c r="N1629">
        <v>1650</v>
      </c>
    </row>
    <row r="1630" spans="1:14" x14ac:dyDescent="0.25">
      <c r="A1630">
        <v>1096.0010930000001</v>
      </c>
      <c r="B1630" s="1">
        <f>DATE(2013,5,1) + TIME(0,1,34)</f>
        <v>41395.001087962963</v>
      </c>
      <c r="C1630">
        <v>80</v>
      </c>
      <c r="D1630">
        <v>63.495018004999999</v>
      </c>
      <c r="E1630">
        <v>40</v>
      </c>
      <c r="F1630">
        <v>39.980491637999997</v>
      </c>
      <c r="G1630">
        <v>1335.4029541</v>
      </c>
      <c r="H1630">
        <v>1333.6011963000001</v>
      </c>
      <c r="I1630">
        <v>1328.2470702999999</v>
      </c>
      <c r="J1630">
        <v>1326.822876</v>
      </c>
      <c r="K1630">
        <v>1650</v>
      </c>
      <c r="L1630">
        <v>0</v>
      </c>
      <c r="M1630">
        <v>0</v>
      </c>
      <c r="N1630">
        <v>1650</v>
      </c>
    </row>
    <row r="1631" spans="1:14" x14ac:dyDescent="0.25">
      <c r="A1631">
        <v>1096.0032799999999</v>
      </c>
      <c r="B1631" s="1">
        <f>DATE(2013,5,1) + TIME(0,4,43)</f>
        <v>41395.003275462965</v>
      </c>
      <c r="C1631">
        <v>80</v>
      </c>
      <c r="D1631">
        <v>63.545917510999999</v>
      </c>
      <c r="E1631">
        <v>40</v>
      </c>
      <c r="F1631">
        <v>39.980297088999997</v>
      </c>
      <c r="G1631">
        <v>1335.9468993999999</v>
      </c>
      <c r="H1631">
        <v>1334.1239014</v>
      </c>
      <c r="I1631">
        <v>1327.6690673999999</v>
      </c>
      <c r="J1631">
        <v>1326.2269286999999</v>
      </c>
      <c r="K1631">
        <v>1650</v>
      </c>
      <c r="L1631">
        <v>0</v>
      </c>
      <c r="M1631">
        <v>0</v>
      </c>
      <c r="N1631">
        <v>1650</v>
      </c>
    </row>
    <row r="1632" spans="1:14" x14ac:dyDescent="0.25">
      <c r="A1632">
        <v>1096.0098410000001</v>
      </c>
      <c r="B1632" s="1">
        <f>DATE(2013,5,1) + TIME(0,14,10)</f>
        <v>41395.009837962964</v>
      </c>
      <c r="C1632">
        <v>80</v>
      </c>
      <c r="D1632">
        <v>63.697532654</v>
      </c>
      <c r="E1632">
        <v>40</v>
      </c>
      <c r="F1632">
        <v>39.979877471999998</v>
      </c>
      <c r="G1632">
        <v>1336.1960449000001</v>
      </c>
      <c r="H1632">
        <v>1334.3707274999999</v>
      </c>
      <c r="I1632">
        <v>1327.3862305</v>
      </c>
      <c r="J1632">
        <v>1325.9383545000001</v>
      </c>
      <c r="K1632">
        <v>1650</v>
      </c>
      <c r="L1632">
        <v>0</v>
      </c>
      <c r="M1632">
        <v>0</v>
      </c>
      <c r="N1632">
        <v>1650</v>
      </c>
    </row>
    <row r="1633" spans="1:14" x14ac:dyDescent="0.25">
      <c r="A1633">
        <v>1096.029524</v>
      </c>
      <c r="B1633" s="1">
        <f>DATE(2013,5,1) + TIME(0,42,30)</f>
        <v>41395.029513888891</v>
      </c>
      <c r="C1633">
        <v>80</v>
      </c>
      <c r="D1633">
        <v>64.139656067000004</v>
      </c>
      <c r="E1633">
        <v>40</v>
      </c>
      <c r="F1633">
        <v>39.978736877000003</v>
      </c>
      <c r="G1633">
        <v>1336.2517089999999</v>
      </c>
      <c r="H1633">
        <v>1334.4383545000001</v>
      </c>
      <c r="I1633">
        <v>1327.3176269999999</v>
      </c>
      <c r="J1633">
        <v>1325.8685303</v>
      </c>
      <c r="K1633">
        <v>1650</v>
      </c>
      <c r="L1633">
        <v>0</v>
      </c>
      <c r="M1633">
        <v>0</v>
      </c>
      <c r="N1633">
        <v>1650</v>
      </c>
    </row>
    <row r="1634" spans="1:14" x14ac:dyDescent="0.25">
      <c r="A1634">
        <v>1096.056832</v>
      </c>
      <c r="B1634" s="1">
        <f>DATE(2013,5,1) + TIME(1,21,50)</f>
        <v>41395.056828703702</v>
      </c>
      <c r="C1634">
        <v>80</v>
      </c>
      <c r="D1634">
        <v>64.732452393000003</v>
      </c>
      <c r="E1634">
        <v>40</v>
      </c>
      <c r="F1634">
        <v>39.977176665999998</v>
      </c>
      <c r="G1634">
        <v>1336.2591553</v>
      </c>
      <c r="H1634">
        <v>1334.4533690999999</v>
      </c>
      <c r="I1634">
        <v>1327.3126221</v>
      </c>
      <c r="J1634">
        <v>1325.8634033000001</v>
      </c>
      <c r="K1634">
        <v>1650</v>
      </c>
      <c r="L1634">
        <v>0</v>
      </c>
      <c r="M1634">
        <v>0</v>
      </c>
      <c r="N1634">
        <v>1650</v>
      </c>
    </row>
    <row r="1635" spans="1:14" x14ac:dyDescent="0.25">
      <c r="A1635">
        <v>1096.0847140000001</v>
      </c>
      <c r="B1635" s="1">
        <f>DATE(2013,5,1) + TIME(2,1,59)</f>
        <v>41395.084710648145</v>
      </c>
      <c r="C1635">
        <v>80</v>
      </c>
      <c r="D1635">
        <v>65.319152832</v>
      </c>
      <c r="E1635">
        <v>40</v>
      </c>
      <c r="F1635">
        <v>39.975597381999997</v>
      </c>
      <c r="G1635">
        <v>1336.2742920000001</v>
      </c>
      <c r="H1635">
        <v>1334.4689940999999</v>
      </c>
      <c r="I1635">
        <v>1327.3127440999999</v>
      </c>
      <c r="J1635">
        <v>1325.8634033000001</v>
      </c>
      <c r="K1635">
        <v>1650</v>
      </c>
      <c r="L1635">
        <v>0</v>
      </c>
      <c r="M1635">
        <v>0</v>
      </c>
      <c r="N1635">
        <v>1650</v>
      </c>
    </row>
    <row r="1636" spans="1:14" x14ac:dyDescent="0.25">
      <c r="A1636">
        <v>1096.113194</v>
      </c>
      <c r="B1636" s="1">
        <f>DATE(2013,5,1) + TIME(2,42,59)</f>
        <v>41395.113182870373</v>
      </c>
      <c r="C1636">
        <v>80</v>
      </c>
      <c r="D1636">
        <v>65.899559021000002</v>
      </c>
      <c r="E1636">
        <v>40</v>
      </c>
      <c r="F1636">
        <v>39.973999022999998</v>
      </c>
      <c r="G1636">
        <v>1336.2906493999999</v>
      </c>
      <c r="H1636">
        <v>1334.4848632999999</v>
      </c>
      <c r="I1636">
        <v>1327.3129882999999</v>
      </c>
      <c r="J1636">
        <v>1325.8635254000001</v>
      </c>
      <c r="K1636">
        <v>1650</v>
      </c>
      <c r="L1636">
        <v>0</v>
      </c>
      <c r="M1636">
        <v>0</v>
      </c>
      <c r="N1636">
        <v>1650</v>
      </c>
    </row>
    <row r="1637" spans="1:14" x14ac:dyDescent="0.25">
      <c r="A1637">
        <v>1096.142294</v>
      </c>
      <c r="B1637" s="1">
        <f>DATE(2013,5,1) + TIME(3,24,54)</f>
        <v>41395.142291666663</v>
      </c>
      <c r="C1637">
        <v>80</v>
      </c>
      <c r="D1637">
        <v>66.473396300999994</v>
      </c>
      <c r="E1637">
        <v>40</v>
      </c>
      <c r="F1637">
        <v>39.972373961999999</v>
      </c>
      <c r="G1637">
        <v>1336.309082</v>
      </c>
      <c r="H1637">
        <v>1334.5018310999999</v>
      </c>
      <c r="I1637">
        <v>1327.3131103999999</v>
      </c>
      <c r="J1637">
        <v>1325.8635254000001</v>
      </c>
      <c r="K1637">
        <v>1650</v>
      </c>
      <c r="L1637">
        <v>0</v>
      </c>
      <c r="M1637">
        <v>0</v>
      </c>
      <c r="N1637">
        <v>1650</v>
      </c>
    </row>
    <row r="1638" spans="1:14" x14ac:dyDescent="0.25">
      <c r="A1638">
        <v>1096.172039</v>
      </c>
      <c r="B1638" s="1">
        <f>DATE(2013,5,1) + TIME(4,7,44)</f>
        <v>41395.172037037039</v>
      </c>
      <c r="C1638">
        <v>80</v>
      </c>
      <c r="D1638">
        <v>67.040420531999999</v>
      </c>
      <c r="E1638">
        <v>40</v>
      </c>
      <c r="F1638">
        <v>39.970726012999997</v>
      </c>
      <c r="G1638">
        <v>1336.3294678</v>
      </c>
      <c r="H1638">
        <v>1334.5200195</v>
      </c>
      <c r="I1638">
        <v>1327.3132324000001</v>
      </c>
      <c r="J1638">
        <v>1325.8635254000001</v>
      </c>
      <c r="K1638">
        <v>1650</v>
      </c>
      <c r="L1638">
        <v>0</v>
      </c>
      <c r="M1638">
        <v>0</v>
      </c>
      <c r="N1638">
        <v>1650</v>
      </c>
    </row>
    <row r="1639" spans="1:14" x14ac:dyDescent="0.25">
      <c r="A1639">
        <v>1096.202464</v>
      </c>
      <c r="B1639" s="1">
        <f>DATE(2013,5,1) + TIME(4,51,32)</f>
        <v>41395.202453703707</v>
      </c>
      <c r="C1639">
        <v>80</v>
      </c>
      <c r="D1639">
        <v>67.600471497000001</v>
      </c>
      <c r="E1639">
        <v>40</v>
      </c>
      <c r="F1639">
        <v>39.969051360999998</v>
      </c>
      <c r="G1639">
        <v>1336.3519286999999</v>
      </c>
      <c r="H1639">
        <v>1334.5393065999999</v>
      </c>
      <c r="I1639">
        <v>1327.3133545000001</v>
      </c>
      <c r="J1639">
        <v>1325.8634033000001</v>
      </c>
      <c r="K1639">
        <v>1650</v>
      </c>
      <c r="L1639">
        <v>0</v>
      </c>
      <c r="M1639">
        <v>0</v>
      </c>
      <c r="N1639">
        <v>1650</v>
      </c>
    </row>
    <row r="1640" spans="1:14" x14ac:dyDescent="0.25">
      <c r="A1640">
        <v>1096.2335989999999</v>
      </c>
      <c r="B1640" s="1">
        <f>DATE(2013,5,1) + TIME(5,36,22)</f>
        <v>41395.233587962961</v>
      </c>
      <c r="C1640">
        <v>80</v>
      </c>
      <c r="D1640">
        <v>68.153289795000006</v>
      </c>
      <c r="E1640">
        <v>40</v>
      </c>
      <c r="F1640">
        <v>39.967350005999997</v>
      </c>
      <c r="G1640">
        <v>1336.3763428</v>
      </c>
      <c r="H1640">
        <v>1334.5599365</v>
      </c>
      <c r="I1640">
        <v>1327.3134766000001</v>
      </c>
      <c r="J1640">
        <v>1325.8634033000001</v>
      </c>
      <c r="K1640">
        <v>1650</v>
      </c>
      <c r="L1640">
        <v>0</v>
      </c>
      <c r="M1640">
        <v>0</v>
      </c>
      <c r="N1640">
        <v>1650</v>
      </c>
    </row>
    <row r="1641" spans="1:14" x14ac:dyDescent="0.25">
      <c r="A1641">
        <v>1096.2654789999999</v>
      </c>
      <c r="B1641" s="1">
        <f>DATE(2013,5,1) + TIME(6,22,17)</f>
        <v>41395.265474537038</v>
      </c>
      <c r="C1641">
        <v>80</v>
      </c>
      <c r="D1641">
        <v>68.698554993000002</v>
      </c>
      <c r="E1641">
        <v>40</v>
      </c>
      <c r="F1641">
        <v>39.965621947999999</v>
      </c>
      <c r="G1641">
        <v>1336.4027100000001</v>
      </c>
      <c r="H1641">
        <v>1334.581543</v>
      </c>
      <c r="I1641">
        <v>1327.3135986</v>
      </c>
      <c r="J1641">
        <v>1325.8632812000001</v>
      </c>
      <c r="K1641">
        <v>1650</v>
      </c>
      <c r="L1641">
        <v>0</v>
      </c>
      <c r="M1641">
        <v>0</v>
      </c>
      <c r="N1641">
        <v>1650</v>
      </c>
    </row>
    <row r="1642" spans="1:14" x14ac:dyDescent="0.25">
      <c r="A1642">
        <v>1096.2981050000001</v>
      </c>
      <c r="B1642" s="1">
        <f>DATE(2013,5,1) + TIME(7,9,16)</f>
        <v>41395.298101851855</v>
      </c>
      <c r="C1642">
        <v>80</v>
      </c>
      <c r="D1642">
        <v>69.235435486</v>
      </c>
      <c r="E1642">
        <v>40</v>
      </c>
      <c r="F1642">
        <v>39.963867188000002</v>
      </c>
      <c r="G1642">
        <v>1336.4307861</v>
      </c>
      <c r="H1642">
        <v>1334.6042480000001</v>
      </c>
      <c r="I1642">
        <v>1327.3137207</v>
      </c>
      <c r="J1642">
        <v>1325.8632812000001</v>
      </c>
      <c r="K1642">
        <v>1650</v>
      </c>
      <c r="L1642">
        <v>0</v>
      </c>
      <c r="M1642">
        <v>0</v>
      </c>
      <c r="N1642">
        <v>1650</v>
      </c>
    </row>
    <row r="1643" spans="1:14" x14ac:dyDescent="0.25">
      <c r="A1643">
        <v>1096.3315090000001</v>
      </c>
      <c r="B1643" s="1">
        <f>DATE(2013,5,1) + TIME(7,57,22)</f>
        <v>41395.331504629627</v>
      </c>
      <c r="C1643">
        <v>80</v>
      </c>
      <c r="D1643">
        <v>69.763481139999996</v>
      </c>
      <c r="E1643">
        <v>40</v>
      </c>
      <c r="F1643">
        <v>39.962085723999998</v>
      </c>
      <c r="G1643">
        <v>1336.4606934000001</v>
      </c>
      <c r="H1643">
        <v>1334.6279297000001</v>
      </c>
      <c r="I1643">
        <v>1327.3137207</v>
      </c>
      <c r="J1643">
        <v>1325.8631591999999</v>
      </c>
      <c r="K1643">
        <v>1650</v>
      </c>
      <c r="L1643">
        <v>0</v>
      </c>
      <c r="M1643">
        <v>0</v>
      </c>
      <c r="N1643">
        <v>1650</v>
      </c>
    </row>
    <row r="1644" spans="1:14" x14ac:dyDescent="0.25">
      <c r="A1644">
        <v>1096.3657270000001</v>
      </c>
      <c r="B1644" s="1">
        <f>DATE(2013,5,1) + TIME(8,46,38)</f>
        <v>41395.365717592591</v>
      </c>
      <c r="C1644">
        <v>80</v>
      </c>
      <c r="D1644">
        <v>70.282135010000005</v>
      </c>
      <c r="E1644">
        <v>40</v>
      </c>
      <c r="F1644">
        <v>39.960273743000002</v>
      </c>
      <c r="G1644">
        <v>1336.4921875</v>
      </c>
      <c r="H1644">
        <v>1334.6525879000001</v>
      </c>
      <c r="I1644">
        <v>1327.3138428</v>
      </c>
      <c r="J1644">
        <v>1325.8630370999999</v>
      </c>
      <c r="K1644">
        <v>1650</v>
      </c>
      <c r="L1644">
        <v>0</v>
      </c>
      <c r="M1644">
        <v>0</v>
      </c>
      <c r="N1644">
        <v>1650</v>
      </c>
    </row>
    <row r="1645" spans="1:14" x14ac:dyDescent="0.25">
      <c r="A1645">
        <v>1096.4007999999999</v>
      </c>
      <c r="B1645" s="1">
        <f>DATE(2013,5,1) + TIME(9,37,9)</f>
        <v>41395.40079861111</v>
      </c>
      <c r="C1645">
        <v>80</v>
      </c>
      <c r="D1645">
        <v>70.791000366000006</v>
      </c>
      <c r="E1645">
        <v>40</v>
      </c>
      <c r="F1645">
        <v>39.958431244000003</v>
      </c>
      <c r="G1645">
        <v>1336.5251464999999</v>
      </c>
      <c r="H1645">
        <v>1334.6782227000001</v>
      </c>
      <c r="I1645">
        <v>1327.3138428</v>
      </c>
      <c r="J1645">
        <v>1325.8629149999999</v>
      </c>
      <c r="K1645">
        <v>1650</v>
      </c>
      <c r="L1645">
        <v>0</v>
      </c>
      <c r="M1645">
        <v>0</v>
      </c>
      <c r="N1645">
        <v>1650</v>
      </c>
    </row>
    <row r="1646" spans="1:14" x14ac:dyDescent="0.25">
      <c r="A1646">
        <v>1096.436766</v>
      </c>
      <c r="B1646" s="1">
        <f>DATE(2013,5,1) + TIME(10,28,56)</f>
        <v>41395.436759259261</v>
      </c>
      <c r="C1646">
        <v>80</v>
      </c>
      <c r="D1646">
        <v>71.289802550999994</v>
      </c>
      <c r="E1646">
        <v>40</v>
      </c>
      <c r="F1646">
        <v>39.956558227999999</v>
      </c>
      <c r="G1646">
        <v>1336.5595702999999</v>
      </c>
      <c r="H1646">
        <v>1334.7045897999999</v>
      </c>
      <c r="I1646">
        <v>1327.3138428</v>
      </c>
      <c r="J1646">
        <v>1325.862793</v>
      </c>
      <c r="K1646">
        <v>1650</v>
      </c>
      <c r="L1646">
        <v>0</v>
      </c>
      <c r="M1646">
        <v>0</v>
      </c>
      <c r="N1646">
        <v>1650</v>
      </c>
    </row>
    <row r="1647" spans="1:14" x14ac:dyDescent="0.25">
      <c r="A1647">
        <v>1096.4736800000001</v>
      </c>
      <c r="B1647" s="1">
        <f>DATE(2013,5,1) + TIME(11,22,5)</f>
        <v>41395.473668981482</v>
      </c>
      <c r="C1647">
        <v>80</v>
      </c>
      <c r="D1647">
        <v>71.778175353999998</v>
      </c>
      <c r="E1647">
        <v>40</v>
      </c>
      <c r="F1647">
        <v>39.954647064</v>
      </c>
      <c r="G1647">
        <v>1336.5953368999999</v>
      </c>
      <c r="H1647">
        <v>1334.7318115</v>
      </c>
      <c r="I1647">
        <v>1327.3139647999999</v>
      </c>
      <c r="J1647">
        <v>1325.8625488</v>
      </c>
      <c r="K1647">
        <v>1650</v>
      </c>
      <c r="L1647">
        <v>0</v>
      </c>
      <c r="M1647">
        <v>0</v>
      </c>
      <c r="N1647">
        <v>1650</v>
      </c>
    </row>
    <row r="1648" spans="1:14" x14ac:dyDescent="0.25">
      <c r="A1648">
        <v>1096.5115900000001</v>
      </c>
      <c r="B1648" s="1">
        <f>DATE(2013,5,1) + TIME(12,16,41)</f>
        <v>41395.51158564815</v>
      </c>
      <c r="C1648">
        <v>80</v>
      </c>
      <c r="D1648">
        <v>72.255661011000001</v>
      </c>
      <c r="E1648">
        <v>40</v>
      </c>
      <c r="F1648">
        <v>39.952705383000001</v>
      </c>
      <c r="G1648">
        <v>1336.6324463000001</v>
      </c>
      <c r="H1648">
        <v>1334.7597656</v>
      </c>
      <c r="I1648">
        <v>1327.3139647999999</v>
      </c>
      <c r="J1648">
        <v>1325.8624268000001</v>
      </c>
      <c r="K1648">
        <v>1650</v>
      </c>
      <c r="L1648">
        <v>0</v>
      </c>
      <c r="M1648">
        <v>0</v>
      </c>
      <c r="N1648">
        <v>1650</v>
      </c>
    </row>
    <row r="1649" spans="1:14" x14ac:dyDescent="0.25">
      <c r="A1649">
        <v>1096.550551</v>
      </c>
      <c r="B1649" s="1">
        <f>DATE(2013,5,1) + TIME(13,12,47)</f>
        <v>41395.550543981481</v>
      </c>
      <c r="C1649">
        <v>80</v>
      </c>
      <c r="D1649">
        <v>72.721794127999999</v>
      </c>
      <c r="E1649">
        <v>40</v>
      </c>
      <c r="F1649">
        <v>39.950721741000002</v>
      </c>
      <c r="G1649">
        <v>1336.6707764</v>
      </c>
      <c r="H1649">
        <v>1334.7884521000001</v>
      </c>
      <c r="I1649">
        <v>1327.3139647999999</v>
      </c>
      <c r="J1649">
        <v>1325.8621826000001</v>
      </c>
      <c r="K1649">
        <v>1650</v>
      </c>
      <c r="L1649">
        <v>0</v>
      </c>
      <c r="M1649">
        <v>0</v>
      </c>
      <c r="N1649">
        <v>1650</v>
      </c>
    </row>
    <row r="1650" spans="1:14" x14ac:dyDescent="0.25">
      <c r="A1650">
        <v>1096.5906210000001</v>
      </c>
      <c r="B1650" s="1">
        <f>DATE(2013,5,1) + TIME(14,10,29)</f>
        <v>41395.590613425928</v>
      </c>
      <c r="C1650">
        <v>80</v>
      </c>
      <c r="D1650">
        <v>73.176094054999993</v>
      </c>
      <c r="E1650">
        <v>40</v>
      </c>
      <c r="F1650">
        <v>39.948699951000002</v>
      </c>
      <c r="G1650">
        <v>1336.7100829999999</v>
      </c>
      <c r="H1650">
        <v>1334.8176269999999</v>
      </c>
      <c r="I1650">
        <v>1327.3139647999999</v>
      </c>
      <c r="J1650">
        <v>1325.8620605000001</v>
      </c>
      <c r="K1650">
        <v>1650</v>
      </c>
      <c r="L1650">
        <v>0</v>
      </c>
      <c r="M1650">
        <v>0</v>
      </c>
      <c r="N1650">
        <v>1650</v>
      </c>
    </row>
    <row r="1651" spans="1:14" x14ac:dyDescent="0.25">
      <c r="A1651">
        <v>1096.6318630000001</v>
      </c>
      <c r="B1651" s="1">
        <f>DATE(2013,5,1) + TIME(15,9,52)</f>
        <v>41395.631851851853</v>
      </c>
      <c r="C1651">
        <v>80</v>
      </c>
      <c r="D1651">
        <v>73.618072510000005</v>
      </c>
      <c r="E1651">
        <v>40</v>
      </c>
      <c r="F1651">
        <v>39.9466362</v>
      </c>
      <c r="G1651">
        <v>1336.7504882999999</v>
      </c>
      <c r="H1651">
        <v>1334.8475341999999</v>
      </c>
      <c r="I1651">
        <v>1327.3139647999999</v>
      </c>
      <c r="J1651">
        <v>1325.8618164</v>
      </c>
      <c r="K1651">
        <v>1650</v>
      </c>
      <c r="L1651">
        <v>0</v>
      </c>
      <c r="M1651">
        <v>0</v>
      </c>
      <c r="N1651">
        <v>1650</v>
      </c>
    </row>
    <row r="1652" spans="1:14" x14ac:dyDescent="0.25">
      <c r="A1652">
        <v>1096.674344</v>
      </c>
      <c r="B1652" s="1">
        <f>DATE(2013,5,1) + TIME(16,11,3)</f>
        <v>41395.674340277779</v>
      </c>
      <c r="C1652">
        <v>80</v>
      </c>
      <c r="D1652">
        <v>74.047241210999999</v>
      </c>
      <c r="E1652">
        <v>40</v>
      </c>
      <c r="F1652">
        <v>39.944530487000002</v>
      </c>
      <c r="G1652">
        <v>1336.7918701000001</v>
      </c>
      <c r="H1652">
        <v>1334.8779297000001</v>
      </c>
      <c r="I1652">
        <v>1327.3139647999999</v>
      </c>
      <c r="J1652">
        <v>1325.8615723</v>
      </c>
      <c r="K1652">
        <v>1650</v>
      </c>
      <c r="L1652">
        <v>0</v>
      </c>
      <c r="M1652">
        <v>0</v>
      </c>
      <c r="N1652">
        <v>1650</v>
      </c>
    </row>
    <row r="1653" spans="1:14" x14ac:dyDescent="0.25">
      <c r="A1653">
        <v>1096.7181390000001</v>
      </c>
      <c r="B1653" s="1">
        <f>DATE(2013,5,1) + TIME(17,14,7)</f>
        <v>41395.718136574076</v>
      </c>
      <c r="C1653">
        <v>80</v>
      </c>
      <c r="D1653">
        <v>74.463104247999993</v>
      </c>
      <c r="E1653">
        <v>40</v>
      </c>
      <c r="F1653">
        <v>39.942378998000002</v>
      </c>
      <c r="G1653">
        <v>1336.8339844</v>
      </c>
      <c r="H1653">
        <v>1334.9086914</v>
      </c>
      <c r="I1653">
        <v>1327.3139647999999</v>
      </c>
      <c r="J1653">
        <v>1325.8613281</v>
      </c>
      <c r="K1653">
        <v>1650</v>
      </c>
      <c r="L1653">
        <v>0</v>
      </c>
      <c r="M1653">
        <v>0</v>
      </c>
      <c r="N1653">
        <v>1650</v>
      </c>
    </row>
    <row r="1654" spans="1:14" x14ac:dyDescent="0.25">
      <c r="A1654">
        <v>1096.7633249999999</v>
      </c>
      <c r="B1654" s="1">
        <f>DATE(2013,5,1) + TIME(18,19,11)</f>
        <v>41395.763321759259</v>
      </c>
      <c r="C1654">
        <v>80</v>
      </c>
      <c r="D1654">
        <v>74.865188599000007</v>
      </c>
      <c r="E1654">
        <v>40</v>
      </c>
      <c r="F1654">
        <v>39.940174102999997</v>
      </c>
      <c r="G1654">
        <v>1336.8769531</v>
      </c>
      <c r="H1654">
        <v>1334.9399414</v>
      </c>
      <c r="I1654">
        <v>1327.3139647999999</v>
      </c>
      <c r="J1654">
        <v>1325.8610839999999</v>
      </c>
      <c r="K1654">
        <v>1650</v>
      </c>
      <c r="L1654">
        <v>0</v>
      </c>
      <c r="M1654">
        <v>0</v>
      </c>
      <c r="N1654">
        <v>1650</v>
      </c>
    </row>
    <row r="1655" spans="1:14" x14ac:dyDescent="0.25">
      <c r="A1655">
        <v>1096.8099930000001</v>
      </c>
      <c r="B1655" s="1">
        <f>DATE(2013,5,1) + TIME(19,26,23)</f>
        <v>41395.809988425928</v>
      </c>
      <c r="C1655">
        <v>80</v>
      </c>
      <c r="D1655">
        <v>75.252830505000006</v>
      </c>
      <c r="E1655">
        <v>40</v>
      </c>
      <c r="F1655">
        <v>39.937919616999999</v>
      </c>
      <c r="G1655">
        <v>1336.9205322</v>
      </c>
      <c r="H1655">
        <v>1334.9715576000001</v>
      </c>
      <c r="I1655">
        <v>1327.3138428</v>
      </c>
      <c r="J1655">
        <v>1325.8608397999999</v>
      </c>
      <c r="K1655">
        <v>1650</v>
      </c>
      <c r="L1655">
        <v>0</v>
      </c>
      <c r="M1655">
        <v>0</v>
      </c>
      <c r="N1655">
        <v>1650</v>
      </c>
    </row>
    <row r="1656" spans="1:14" x14ac:dyDescent="0.25">
      <c r="A1656">
        <v>1096.858258</v>
      </c>
      <c r="B1656" s="1">
        <f>DATE(2013,5,1) + TIME(20,35,53)</f>
        <v>41395.858252314814</v>
      </c>
      <c r="C1656">
        <v>80</v>
      </c>
      <c r="D1656">
        <v>75.625831603999998</v>
      </c>
      <c r="E1656">
        <v>40</v>
      </c>
      <c r="F1656">
        <v>39.935611725000001</v>
      </c>
      <c r="G1656">
        <v>1336.9647216999999</v>
      </c>
      <c r="H1656">
        <v>1335.003418</v>
      </c>
      <c r="I1656">
        <v>1327.3138428</v>
      </c>
      <c r="J1656">
        <v>1325.8604736</v>
      </c>
      <c r="K1656">
        <v>1650</v>
      </c>
      <c r="L1656">
        <v>0</v>
      </c>
      <c r="M1656">
        <v>0</v>
      </c>
      <c r="N1656">
        <v>1650</v>
      </c>
    </row>
    <row r="1657" spans="1:14" x14ac:dyDescent="0.25">
      <c r="A1657">
        <v>1096.908203</v>
      </c>
      <c r="B1657" s="1">
        <f>DATE(2013,5,1) + TIME(21,47,48)</f>
        <v>41395.908194444448</v>
      </c>
      <c r="C1657">
        <v>80</v>
      </c>
      <c r="D1657">
        <v>75.983695983999993</v>
      </c>
      <c r="E1657">
        <v>40</v>
      </c>
      <c r="F1657">
        <v>39.933242798000002</v>
      </c>
      <c r="G1657">
        <v>1337.0093993999999</v>
      </c>
      <c r="H1657">
        <v>1335.0355225000001</v>
      </c>
      <c r="I1657">
        <v>1327.3138428</v>
      </c>
      <c r="J1657">
        <v>1325.8602295000001</v>
      </c>
      <c r="K1657">
        <v>1650</v>
      </c>
      <c r="L1657">
        <v>0</v>
      </c>
      <c r="M1657">
        <v>0</v>
      </c>
      <c r="N1657">
        <v>1650</v>
      </c>
    </row>
    <row r="1658" spans="1:14" x14ac:dyDescent="0.25">
      <c r="A1658">
        <v>1096.959944</v>
      </c>
      <c r="B1658" s="1">
        <f>DATE(2013,5,1) + TIME(23,2,19)</f>
        <v>41395.95994212963</v>
      </c>
      <c r="C1658">
        <v>80</v>
      </c>
      <c r="D1658">
        <v>76.326026916999993</v>
      </c>
      <c r="E1658">
        <v>40</v>
      </c>
      <c r="F1658">
        <v>39.930812836000001</v>
      </c>
      <c r="G1658">
        <v>1337.0543213000001</v>
      </c>
      <c r="H1658">
        <v>1335.067749</v>
      </c>
      <c r="I1658">
        <v>1327.3137207</v>
      </c>
      <c r="J1658">
        <v>1325.8599853999999</v>
      </c>
      <c r="K1658">
        <v>1650</v>
      </c>
      <c r="L1658">
        <v>0</v>
      </c>
      <c r="M1658">
        <v>0</v>
      </c>
      <c r="N1658">
        <v>1650</v>
      </c>
    </row>
    <row r="1659" spans="1:14" x14ac:dyDescent="0.25">
      <c r="A1659">
        <v>1097.013606</v>
      </c>
      <c r="B1659" s="1">
        <f>DATE(2013,5,2) + TIME(0,19,35)</f>
        <v>41396.013599537036</v>
      </c>
      <c r="C1659">
        <v>80</v>
      </c>
      <c r="D1659">
        <v>76.652496338000006</v>
      </c>
      <c r="E1659">
        <v>40</v>
      </c>
      <c r="F1659">
        <v>39.928314209</v>
      </c>
      <c r="G1659">
        <v>1337.0996094</v>
      </c>
      <c r="H1659">
        <v>1335.1000977000001</v>
      </c>
      <c r="I1659">
        <v>1327.3137207</v>
      </c>
      <c r="J1659">
        <v>1325.8596190999999</v>
      </c>
      <c r="K1659">
        <v>1650</v>
      </c>
      <c r="L1659">
        <v>0</v>
      </c>
      <c r="M1659">
        <v>0</v>
      </c>
      <c r="N1659">
        <v>1650</v>
      </c>
    </row>
    <row r="1660" spans="1:14" x14ac:dyDescent="0.25">
      <c r="A1660">
        <v>1097.0693289999999</v>
      </c>
      <c r="B1660" s="1">
        <f>DATE(2013,5,2) + TIME(1,39,50)</f>
        <v>41396.069328703707</v>
      </c>
      <c r="C1660">
        <v>80</v>
      </c>
      <c r="D1660">
        <v>76.962783813000001</v>
      </c>
      <c r="E1660">
        <v>40</v>
      </c>
      <c r="F1660">
        <v>39.925746918000002</v>
      </c>
      <c r="G1660">
        <v>1337.1451416</v>
      </c>
      <c r="H1660">
        <v>1335.1325684000001</v>
      </c>
      <c r="I1660">
        <v>1327.3135986</v>
      </c>
      <c r="J1660">
        <v>1325.859375</v>
      </c>
      <c r="K1660">
        <v>1650</v>
      </c>
      <c r="L1660">
        <v>0</v>
      </c>
      <c r="M1660">
        <v>0</v>
      </c>
      <c r="N1660">
        <v>1650</v>
      </c>
    </row>
    <row r="1661" spans="1:14" x14ac:dyDescent="0.25">
      <c r="A1661">
        <v>1097.127268</v>
      </c>
      <c r="B1661" s="1">
        <f>DATE(2013,5,2) + TIME(3,3,15)</f>
        <v>41396.127256944441</v>
      </c>
      <c r="C1661">
        <v>80</v>
      </c>
      <c r="D1661">
        <v>77.256652832</v>
      </c>
      <c r="E1661">
        <v>40</v>
      </c>
      <c r="F1661">
        <v>39.923099518000001</v>
      </c>
      <c r="G1661">
        <v>1337.1907959</v>
      </c>
      <c r="H1661">
        <v>1335.1649170000001</v>
      </c>
      <c r="I1661">
        <v>1327.3135986</v>
      </c>
      <c r="J1661">
        <v>1325.8590088000001</v>
      </c>
      <c r="K1661">
        <v>1650</v>
      </c>
      <c r="L1661">
        <v>0</v>
      </c>
      <c r="M1661">
        <v>0</v>
      </c>
      <c r="N1661">
        <v>1650</v>
      </c>
    </row>
    <row r="1662" spans="1:14" x14ac:dyDescent="0.25">
      <c r="A1662">
        <v>1097.1875950000001</v>
      </c>
      <c r="B1662" s="1">
        <f>DATE(2013,5,2) + TIME(4,30,8)</f>
        <v>41396.187592592592</v>
      </c>
      <c r="C1662">
        <v>80</v>
      </c>
      <c r="D1662">
        <v>77.533897400000001</v>
      </c>
      <c r="E1662">
        <v>40</v>
      </c>
      <c r="F1662">
        <v>39.920375823999997</v>
      </c>
      <c r="G1662">
        <v>1337.2363281</v>
      </c>
      <c r="H1662">
        <v>1335.1971435999999</v>
      </c>
      <c r="I1662">
        <v>1327.3134766000001</v>
      </c>
      <c r="J1662">
        <v>1325.8586425999999</v>
      </c>
      <c r="K1662">
        <v>1650</v>
      </c>
      <c r="L1662">
        <v>0</v>
      </c>
      <c r="M1662">
        <v>0</v>
      </c>
      <c r="N1662">
        <v>1650</v>
      </c>
    </row>
    <row r="1663" spans="1:14" x14ac:dyDescent="0.25">
      <c r="A1663">
        <v>1097.2505040000001</v>
      </c>
      <c r="B1663" s="1">
        <f>DATE(2013,5,2) + TIME(6,0,43)</f>
        <v>41396.250497685185</v>
      </c>
      <c r="C1663">
        <v>80</v>
      </c>
      <c r="D1663">
        <v>77.794395446999999</v>
      </c>
      <c r="E1663">
        <v>40</v>
      </c>
      <c r="F1663">
        <v>39.917560577000003</v>
      </c>
      <c r="G1663">
        <v>1337.2817382999999</v>
      </c>
      <c r="H1663">
        <v>1335.2292480000001</v>
      </c>
      <c r="I1663">
        <v>1327.3133545000001</v>
      </c>
      <c r="J1663">
        <v>1325.8582764</v>
      </c>
      <c r="K1663">
        <v>1650</v>
      </c>
      <c r="L1663">
        <v>0</v>
      </c>
      <c r="M1663">
        <v>0</v>
      </c>
      <c r="N1663">
        <v>1650</v>
      </c>
    </row>
    <row r="1664" spans="1:14" x14ac:dyDescent="0.25">
      <c r="A1664">
        <v>1097.316212</v>
      </c>
      <c r="B1664" s="1">
        <f>DATE(2013,5,2) + TIME(7,35,20)</f>
        <v>41396.316203703704</v>
      </c>
      <c r="C1664">
        <v>80</v>
      </c>
      <c r="D1664">
        <v>78.038085937999995</v>
      </c>
      <c r="E1664">
        <v>40</v>
      </c>
      <c r="F1664">
        <v>39.914653778000002</v>
      </c>
      <c r="G1664">
        <v>1337.3270264</v>
      </c>
      <c r="H1664">
        <v>1335.2611084</v>
      </c>
      <c r="I1664">
        <v>1327.3133545000001</v>
      </c>
      <c r="J1664">
        <v>1325.8579102000001</v>
      </c>
      <c r="K1664">
        <v>1650</v>
      </c>
      <c r="L1664">
        <v>0</v>
      </c>
      <c r="M1664">
        <v>0</v>
      </c>
      <c r="N1664">
        <v>1650</v>
      </c>
    </row>
    <row r="1665" spans="1:14" x14ac:dyDescent="0.25">
      <c r="A1665">
        <v>1097.3849660000001</v>
      </c>
      <c r="B1665" s="1">
        <f>DATE(2013,5,2) + TIME(9,14,21)</f>
        <v>41396.384965277779</v>
      </c>
      <c r="C1665">
        <v>80</v>
      </c>
      <c r="D1665">
        <v>78.264991760000001</v>
      </c>
      <c r="E1665">
        <v>40</v>
      </c>
      <c r="F1665">
        <v>39.911640167000002</v>
      </c>
      <c r="G1665">
        <v>1337.3719481999999</v>
      </c>
      <c r="H1665">
        <v>1335.2927245999999</v>
      </c>
      <c r="I1665">
        <v>1327.3132324000001</v>
      </c>
      <c r="J1665">
        <v>1325.8575439000001</v>
      </c>
      <c r="K1665">
        <v>1650</v>
      </c>
      <c r="L1665">
        <v>0</v>
      </c>
      <c r="M1665">
        <v>0</v>
      </c>
      <c r="N1665">
        <v>1650</v>
      </c>
    </row>
    <row r="1666" spans="1:14" x14ac:dyDescent="0.25">
      <c r="A1666">
        <v>1097.4570819999999</v>
      </c>
      <c r="B1666" s="1">
        <f>DATE(2013,5,2) + TIME(10,58,11)</f>
        <v>41396.457071759258</v>
      </c>
      <c r="C1666">
        <v>80</v>
      </c>
      <c r="D1666">
        <v>78.475288391000007</v>
      </c>
      <c r="E1666">
        <v>40</v>
      </c>
      <c r="F1666">
        <v>39.90851593</v>
      </c>
      <c r="G1666">
        <v>1337.4163818</v>
      </c>
      <c r="H1666">
        <v>1335.3239745999999</v>
      </c>
      <c r="I1666">
        <v>1327.3131103999999</v>
      </c>
      <c r="J1666">
        <v>1325.8571777</v>
      </c>
      <c r="K1666">
        <v>1650</v>
      </c>
      <c r="L1666">
        <v>0</v>
      </c>
      <c r="M1666">
        <v>0</v>
      </c>
      <c r="N1666">
        <v>1650</v>
      </c>
    </row>
    <row r="1667" spans="1:14" x14ac:dyDescent="0.25">
      <c r="A1667">
        <v>1097.5328730000001</v>
      </c>
      <c r="B1667" s="1">
        <f>DATE(2013,5,2) + TIME(12,47,20)</f>
        <v>41396.532870370371</v>
      </c>
      <c r="C1667">
        <v>80</v>
      </c>
      <c r="D1667">
        <v>78.669090271000002</v>
      </c>
      <c r="E1667">
        <v>40</v>
      </c>
      <c r="F1667">
        <v>39.905269623000002</v>
      </c>
      <c r="G1667">
        <v>1337.4604492000001</v>
      </c>
      <c r="H1667">
        <v>1335.3548584</v>
      </c>
      <c r="I1667">
        <v>1327.3129882999999</v>
      </c>
      <c r="J1667">
        <v>1325.8568115</v>
      </c>
      <c r="K1667">
        <v>1650</v>
      </c>
      <c r="L1667">
        <v>0</v>
      </c>
      <c r="M1667">
        <v>0</v>
      </c>
      <c r="N1667">
        <v>1650</v>
      </c>
    </row>
    <row r="1668" spans="1:14" x14ac:dyDescent="0.25">
      <c r="A1668">
        <v>1097.612693</v>
      </c>
      <c r="B1668" s="1">
        <f>DATE(2013,5,2) + TIME(14,42,16)</f>
        <v>41396.612685185188</v>
      </c>
      <c r="C1668">
        <v>80</v>
      </c>
      <c r="D1668">
        <v>78.846603393999999</v>
      </c>
      <c r="E1668">
        <v>40</v>
      </c>
      <c r="F1668">
        <v>39.901889801000003</v>
      </c>
      <c r="G1668">
        <v>1337.5039062000001</v>
      </c>
      <c r="H1668">
        <v>1335.3852539</v>
      </c>
      <c r="I1668">
        <v>1327.3128661999999</v>
      </c>
      <c r="J1668">
        <v>1325.8564452999999</v>
      </c>
      <c r="K1668">
        <v>1650</v>
      </c>
      <c r="L1668">
        <v>0</v>
      </c>
      <c r="M1668">
        <v>0</v>
      </c>
      <c r="N1668">
        <v>1650</v>
      </c>
    </row>
    <row r="1669" spans="1:14" x14ac:dyDescent="0.25">
      <c r="A1669">
        <v>1097.6969779999999</v>
      </c>
      <c r="B1669" s="1">
        <f>DATE(2013,5,2) + TIME(16,43,38)</f>
        <v>41396.696967592594</v>
      </c>
      <c r="C1669">
        <v>80</v>
      </c>
      <c r="D1669">
        <v>79.008163452000005</v>
      </c>
      <c r="E1669">
        <v>40</v>
      </c>
      <c r="F1669">
        <v>39.898365020999996</v>
      </c>
      <c r="G1669">
        <v>1337.5466309000001</v>
      </c>
      <c r="H1669">
        <v>1335.4151611</v>
      </c>
      <c r="I1669">
        <v>1327.3127440999999</v>
      </c>
      <c r="J1669">
        <v>1325.8560791</v>
      </c>
      <c r="K1669">
        <v>1650</v>
      </c>
      <c r="L1669">
        <v>0</v>
      </c>
      <c r="M1669">
        <v>0</v>
      </c>
      <c r="N1669">
        <v>1650</v>
      </c>
    </row>
    <row r="1670" spans="1:14" x14ac:dyDescent="0.25">
      <c r="A1670">
        <v>1097.7862359999999</v>
      </c>
      <c r="B1670" s="1">
        <f>DATE(2013,5,2) + TIME(18,52,10)</f>
        <v>41396.786226851851</v>
      </c>
      <c r="C1670">
        <v>80</v>
      </c>
      <c r="D1670">
        <v>79.154190063000001</v>
      </c>
      <c r="E1670">
        <v>40</v>
      </c>
      <c r="F1670">
        <v>39.894672393999997</v>
      </c>
      <c r="G1670">
        <v>1337.588501</v>
      </c>
      <c r="H1670">
        <v>1335.4445800999999</v>
      </c>
      <c r="I1670">
        <v>1327.3126221</v>
      </c>
      <c r="J1670">
        <v>1325.8555908000001</v>
      </c>
      <c r="K1670">
        <v>1650</v>
      </c>
      <c r="L1670">
        <v>0</v>
      </c>
      <c r="M1670">
        <v>0</v>
      </c>
      <c r="N1670">
        <v>1650</v>
      </c>
    </row>
    <row r="1671" spans="1:14" x14ac:dyDescent="0.25">
      <c r="A1671">
        <v>1097.881061</v>
      </c>
      <c r="B1671" s="1">
        <f>DATE(2013,5,2) + TIME(21,8,43)</f>
        <v>41396.881053240744</v>
      </c>
      <c r="C1671">
        <v>80</v>
      </c>
      <c r="D1671">
        <v>79.285171508999994</v>
      </c>
      <c r="E1671">
        <v>40</v>
      </c>
      <c r="F1671">
        <v>39.890800476000003</v>
      </c>
      <c r="G1671">
        <v>1337.6293945</v>
      </c>
      <c r="H1671">
        <v>1335.4731445</v>
      </c>
      <c r="I1671">
        <v>1327.3125</v>
      </c>
      <c r="J1671">
        <v>1325.8552245999999</v>
      </c>
      <c r="K1671">
        <v>1650</v>
      </c>
      <c r="L1671">
        <v>0</v>
      </c>
      <c r="M1671">
        <v>0</v>
      </c>
      <c r="N1671">
        <v>1650</v>
      </c>
    </row>
    <row r="1672" spans="1:14" x14ac:dyDescent="0.25">
      <c r="A1672">
        <v>1097.98217</v>
      </c>
      <c r="B1672" s="1">
        <f>DATE(2013,5,2) + TIME(23,34,19)</f>
        <v>41396.982164351852</v>
      </c>
      <c r="C1672">
        <v>80</v>
      </c>
      <c r="D1672">
        <v>79.401687621999997</v>
      </c>
      <c r="E1672">
        <v>40</v>
      </c>
      <c r="F1672">
        <v>39.886726379000002</v>
      </c>
      <c r="G1672">
        <v>1337.6693115</v>
      </c>
      <c r="H1672">
        <v>1335.5010986</v>
      </c>
      <c r="I1672">
        <v>1327.3123779</v>
      </c>
      <c r="J1672">
        <v>1325.8547363</v>
      </c>
      <c r="K1672">
        <v>1650</v>
      </c>
      <c r="L1672">
        <v>0</v>
      </c>
      <c r="M1672">
        <v>0</v>
      </c>
      <c r="N1672">
        <v>1650</v>
      </c>
    </row>
    <row r="1673" spans="1:14" x14ac:dyDescent="0.25">
      <c r="A1673">
        <v>1098.0849109999999</v>
      </c>
      <c r="B1673" s="1">
        <f>DATE(2013,5,3) + TIME(2,2,16)</f>
        <v>41397.084907407407</v>
      </c>
      <c r="C1673">
        <v>80</v>
      </c>
      <c r="D1673">
        <v>79.500076293999996</v>
      </c>
      <c r="E1673">
        <v>40</v>
      </c>
      <c r="F1673">
        <v>39.882625580000003</v>
      </c>
      <c r="G1673">
        <v>1337.7084961</v>
      </c>
      <c r="H1673">
        <v>1335.5285644999999</v>
      </c>
      <c r="I1673">
        <v>1327.3121338000001</v>
      </c>
      <c r="J1673">
        <v>1325.8542480000001</v>
      </c>
      <c r="K1673">
        <v>1650</v>
      </c>
      <c r="L1673">
        <v>0</v>
      </c>
      <c r="M1673">
        <v>0</v>
      </c>
      <c r="N1673">
        <v>1650</v>
      </c>
    </row>
    <row r="1674" spans="1:14" x14ac:dyDescent="0.25">
      <c r="A1674">
        <v>1098.187864</v>
      </c>
      <c r="B1674" s="1">
        <f>DATE(2013,5,3) + TIME(4,30,31)</f>
        <v>41397.187858796293</v>
      </c>
      <c r="C1674">
        <v>80</v>
      </c>
      <c r="D1674">
        <v>79.581871032999999</v>
      </c>
      <c r="E1674">
        <v>40</v>
      </c>
      <c r="F1674">
        <v>39.878551483000003</v>
      </c>
      <c r="G1674">
        <v>1337.7446289</v>
      </c>
      <c r="H1674">
        <v>1335.5538329999999</v>
      </c>
      <c r="I1674">
        <v>1327.3120117000001</v>
      </c>
      <c r="J1674">
        <v>1325.8537598</v>
      </c>
      <c r="K1674">
        <v>1650</v>
      </c>
      <c r="L1674">
        <v>0</v>
      </c>
      <c r="M1674">
        <v>0</v>
      </c>
      <c r="N1674">
        <v>1650</v>
      </c>
    </row>
    <row r="1675" spans="1:14" x14ac:dyDescent="0.25">
      <c r="A1675">
        <v>1098.291401</v>
      </c>
      <c r="B1675" s="1">
        <f>DATE(2013,5,3) + TIME(6,59,37)</f>
        <v>41397.291400462964</v>
      </c>
      <c r="C1675">
        <v>80</v>
      </c>
      <c r="D1675">
        <v>79.649940490999995</v>
      </c>
      <c r="E1675">
        <v>40</v>
      </c>
      <c r="F1675">
        <v>39.874488831000001</v>
      </c>
      <c r="G1675">
        <v>1337.7763672000001</v>
      </c>
      <c r="H1675">
        <v>1335.5761719</v>
      </c>
      <c r="I1675">
        <v>1327.3118896000001</v>
      </c>
      <c r="J1675">
        <v>1325.8533935999999</v>
      </c>
      <c r="K1675">
        <v>1650</v>
      </c>
      <c r="L1675">
        <v>0</v>
      </c>
      <c r="M1675">
        <v>0</v>
      </c>
      <c r="N1675">
        <v>1650</v>
      </c>
    </row>
    <row r="1676" spans="1:14" x14ac:dyDescent="0.25">
      <c r="A1676">
        <v>1098.3958399999999</v>
      </c>
      <c r="B1676" s="1">
        <f>DATE(2013,5,3) + TIME(9,30,0)</f>
        <v>41397.395833333336</v>
      </c>
      <c r="C1676">
        <v>80</v>
      </c>
      <c r="D1676">
        <v>79.706596375000004</v>
      </c>
      <c r="E1676">
        <v>40</v>
      </c>
      <c r="F1676">
        <v>39.870422363000003</v>
      </c>
      <c r="G1676">
        <v>1337.8028564000001</v>
      </c>
      <c r="H1676">
        <v>1335.5950928</v>
      </c>
      <c r="I1676">
        <v>1327.3116454999999</v>
      </c>
      <c r="J1676">
        <v>1325.8529053</v>
      </c>
      <c r="K1676">
        <v>1650</v>
      </c>
      <c r="L1676">
        <v>0</v>
      </c>
      <c r="M1676">
        <v>0</v>
      </c>
      <c r="N1676">
        <v>1650</v>
      </c>
    </row>
    <row r="1677" spans="1:14" x14ac:dyDescent="0.25">
      <c r="A1677">
        <v>1098.501544</v>
      </c>
      <c r="B1677" s="1">
        <f>DATE(2013,5,3) + TIME(12,2,13)</f>
        <v>41397.501539351855</v>
      </c>
      <c r="C1677">
        <v>80</v>
      </c>
      <c r="D1677">
        <v>79.753768921000002</v>
      </c>
      <c r="E1677">
        <v>40</v>
      </c>
      <c r="F1677">
        <v>39.866344452</v>
      </c>
      <c r="G1677">
        <v>1337.8269043</v>
      </c>
      <c r="H1677">
        <v>1335.6123047000001</v>
      </c>
      <c r="I1677">
        <v>1327.3115233999999</v>
      </c>
      <c r="J1677">
        <v>1325.8525391000001</v>
      </c>
      <c r="K1677">
        <v>1650</v>
      </c>
      <c r="L1677">
        <v>0</v>
      </c>
      <c r="M1677">
        <v>0</v>
      </c>
      <c r="N1677">
        <v>1650</v>
      </c>
    </row>
    <row r="1678" spans="1:14" x14ac:dyDescent="0.25">
      <c r="A1678">
        <v>1098.6088159999999</v>
      </c>
      <c r="B1678" s="1">
        <f>DATE(2013,5,3) + TIME(14,36,41)</f>
        <v>41397.608807870369</v>
      </c>
      <c r="C1678">
        <v>80</v>
      </c>
      <c r="D1678">
        <v>79.793029785000002</v>
      </c>
      <c r="E1678">
        <v>40</v>
      </c>
      <c r="F1678">
        <v>39.862239838000001</v>
      </c>
      <c r="G1678">
        <v>1337.8487548999999</v>
      </c>
      <c r="H1678">
        <v>1335.6280518000001</v>
      </c>
      <c r="I1678">
        <v>1327.3112793</v>
      </c>
      <c r="J1678">
        <v>1325.8520507999999</v>
      </c>
      <c r="K1678">
        <v>1650</v>
      </c>
      <c r="L1678">
        <v>0</v>
      </c>
      <c r="M1678">
        <v>0</v>
      </c>
      <c r="N1678">
        <v>1650</v>
      </c>
    </row>
    <row r="1679" spans="1:14" x14ac:dyDescent="0.25">
      <c r="A1679">
        <v>1098.7179639999999</v>
      </c>
      <c r="B1679" s="1">
        <f>DATE(2013,5,3) + TIME(17,13,52)</f>
        <v>41397.717962962961</v>
      </c>
      <c r="C1679">
        <v>80</v>
      </c>
      <c r="D1679">
        <v>79.825660705999994</v>
      </c>
      <c r="E1679">
        <v>40</v>
      </c>
      <c r="F1679">
        <v>39.858097076</v>
      </c>
      <c r="G1679">
        <v>1337.8686522999999</v>
      </c>
      <c r="H1679">
        <v>1335.6425781</v>
      </c>
      <c r="I1679">
        <v>1327.3110352000001</v>
      </c>
      <c r="J1679">
        <v>1325.8516846</v>
      </c>
      <c r="K1679">
        <v>1650</v>
      </c>
      <c r="L1679">
        <v>0</v>
      </c>
      <c r="M1679">
        <v>0</v>
      </c>
      <c r="N1679">
        <v>1650</v>
      </c>
    </row>
    <row r="1680" spans="1:14" x14ac:dyDescent="0.25">
      <c r="A1680">
        <v>1098.8293160000001</v>
      </c>
      <c r="B1680" s="1">
        <f>DATE(2013,5,3) + TIME(19,54,12)</f>
        <v>41397.829305555555</v>
      </c>
      <c r="C1680">
        <v>80</v>
      </c>
      <c r="D1680">
        <v>79.852752686000002</v>
      </c>
      <c r="E1680">
        <v>40</v>
      </c>
      <c r="F1680">
        <v>39.853908539000003</v>
      </c>
      <c r="G1680">
        <v>1337.8861084</v>
      </c>
      <c r="H1680">
        <v>1335.6555175999999</v>
      </c>
      <c r="I1680">
        <v>1327.3109131000001</v>
      </c>
      <c r="J1680">
        <v>1325.8511963000001</v>
      </c>
      <c r="K1680">
        <v>1650</v>
      </c>
      <c r="L1680">
        <v>0</v>
      </c>
      <c r="M1680">
        <v>0</v>
      </c>
      <c r="N1680">
        <v>1650</v>
      </c>
    </row>
    <row r="1681" spans="1:14" x14ac:dyDescent="0.25">
      <c r="A1681">
        <v>1098.943231</v>
      </c>
      <c r="B1681" s="1">
        <f>DATE(2013,5,3) + TIME(22,38,15)</f>
        <v>41397.943229166667</v>
      </c>
      <c r="C1681">
        <v>80</v>
      </c>
      <c r="D1681">
        <v>79.875190735000004</v>
      </c>
      <c r="E1681">
        <v>40</v>
      </c>
      <c r="F1681">
        <v>39.849658966</v>
      </c>
      <c r="G1681">
        <v>1337.8989257999999</v>
      </c>
      <c r="H1681">
        <v>1335.6652832</v>
      </c>
      <c r="I1681">
        <v>1327.3106689000001</v>
      </c>
      <c r="J1681">
        <v>1325.8508300999999</v>
      </c>
      <c r="K1681">
        <v>1650</v>
      </c>
      <c r="L1681">
        <v>0</v>
      </c>
      <c r="M1681">
        <v>0</v>
      </c>
      <c r="N1681">
        <v>1650</v>
      </c>
    </row>
    <row r="1682" spans="1:14" x14ac:dyDescent="0.25">
      <c r="A1682">
        <v>1099.0603610000001</v>
      </c>
      <c r="B1682" s="1">
        <f>DATE(2013,5,4) + TIME(1,26,55)</f>
        <v>41398.060358796298</v>
      </c>
      <c r="C1682">
        <v>80</v>
      </c>
      <c r="D1682">
        <v>79.893768311000002</v>
      </c>
      <c r="E1682">
        <v>40</v>
      </c>
      <c r="F1682">
        <v>39.845325469999999</v>
      </c>
      <c r="G1682">
        <v>1337.9105225000001</v>
      </c>
      <c r="H1682">
        <v>1335.6741943</v>
      </c>
      <c r="I1682">
        <v>1327.3105469</v>
      </c>
      <c r="J1682">
        <v>1325.8504639</v>
      </c>
      <c r="K1682">
        <v>1650</v>
      </c>
      <c r="L1682">
        <v>0</v>
      </c>
      <c r="M1682">
        <v>0</v>
      </c>
      <c r="N1682">
        <v>1650</v>
      </c>
    </row>
    <row r="1683" spans="1:14" x14ac:dyDescent="0.25">
      <c r="A1683">
        <v>1099.1811680000001</v>
      </c>
      <c r="B1683" s="1">
        <f>DATE(2013,5,4) + TIME(4,20,52)</f>
        <v>41398.181157407409</v>
      </c>
      <c r="C1683">
        <v>80</v>
      </c>
      <c r="D1683">
        <v>79.909118652000004</v>
      </c>
      <c r="E1683">
        <v>40</v>
      </c>
      <c r="F1683">
        <v>39.840896606000001</v>
      </c>
      <c r="G1683">
        <v>1337.9207764</v>
      </c>
      <c r="H1683">
        <v>1335.6824951000001</v>
      </c>
      <c r="I1683">
        <v>1327.3103027</v>
      </c>
      <c r="J1683">
        <v>1325.8500977000001</v>
      </c>
      <c r="K1683">
        <v>1650</v>
      </c>
      <c r="L1683">
        <v>0</v>
      </c>
      <c r="M1683">
        <v>0</v>
      </c>
      <c r="N1683">
        <v>1650</v>
      </c>
    </row>
    <row r="1684" spans="1:14" x14ac:dyDescent="0.25">
      <c r="A1684">
        <v>1099.3061929999999</v>
      </c>
      <c r="B1684" s="1">
        <f>DATE(2013,5,4) + TIME(7,20,55)</f>
        <v>41398.306192129632</v>
      </c>
      <c r="C1684">
        <v>80</v>
      </c>
      <c r="D1684">
        <v>79.921752929999997</v>
      </c>
      <c r="E1684">
        <v>40</v>
      </c>
      <c r="F1684">
        <v>39.836357116999999</v>
      </c>
      <c r="G1684">
        <v>1337.9299315999999</v>
      </c>
      <c r="H1684">
        <v>1335.6899414</v>
      </c>
      <c r="I1684">
        <v>1327.3100586</v>
      </c>
      <c r="J1684">
        <v>1325.8496094</v>
      </c>
      <c r="K1684">
        <v>1650</v>
      </c>
      <c r="L1684">
        <v>0</v>
      </c>
      <c r="M1684">
        <v>0</v>
      </c>
      <c r="N1684">
        <v>1650</v>
      </c>
    </row>
    <row r="1685" spans="1:14" x14ac:dyDescent="0.25">
      <c r="A1685">
        <v>1099.436017</v>
      </c>
      <c r="B1685" s="1">
        <f>DATE(2013,5,4) + TIME(10,27,51)</f>
        <v>41398.436006944445</v>
      </c>
      <c r="C1685">
        <v>80</v>
      </c>
      <c r="D1685">
        <v>79.932113646999994</v>
      </c>
      <c r="E1685">
        <v>40</v>
      </c>
      <c r="F1685">
        <v>39.831684113000001</v>
      </c>
      <c r="G1685">
        <v>1337.9379882999999</v>
      </c>
      <c r="H1685">
        <v>1335.6967772999999</v>
      </c>
      <c r="I1685">
        <v>1327.3098144999999</v>
      </c>
      <c r="J1685">
        <v>1325.8492432</v>
      </c>
      <c r="K1685">
        <v>1650</v>
      </c>
      <c r="L1685">
        <v>0</v>
      </c>
      <c r="M1685">
        <v>0</v>
      </c>
      <c r="N1685">
        <v>1650</v>
      </c>
    </row>
    <row r="1686" spans="1:14" x14ac:dyDescent="0.25">
      <c r="A1686">
        <v>1099.5702510000001</v>
      </c>
      <c r="B1686" s="1">
        <f>DATE(2013,5,4) + TIME(13,41,9)</f>
        <v>41398.570243055554</v>
      </c>
      <c r="C1686">
        <v>80</v>
      </c>
      <c r="D1686">
        <v>79.940521239999995</v>
      </c>
      <c r="E1686">
        <v>40</v>
      </c>
      <c r="F1686">
        <v>39.826892852999997</v>
      </c>
      <c r="G1686">
        <v>1337.9449463000001</v>
      </c>
      <c r="H1686">
        <v>1335.7030029</v>
      </c>
      <c r="I1686">
        <v>1327.3095702999999</v>
      </c>
      <c r="J1686">
        <v>1325.8487548999999</v>
      </c>
      <c r="K1686">
        <v>1650</v>
      </c>
      <c r="L1686">
        <v>0</v>
      </c>
      <c r="M1686">
        <v>0</v>
      </c>
      <c r="N1686">
        <v>1650</v>
      </c>
    </row>
    <row r="1687" spans="1:14" x14ac:dyDescent="0.25">
      <c r="A1687">
        <v>1099.7067730000001</v>
      </c>
      <c r="B1687" s="1">
        <f>DATE(2013,5,4) + TIME(16,57,45)</f>
        <v>41398.706770833334</v>
      </c>
      <c r="C1687">
        <v>80</v>
      </c>
      <c r="D1687">
        <v>79.947212218999994</v>
      </c>
      <c r="E1687">
        <v>40</v>
      </c>
      <c r="F1687">
        <v>39.822059631000002</v>
      </c>
      <c r="G1687">
        <v>1337.9510498</v>
      </c>
      <c r="H1687">
        <v>1335.7086182</v>
      </c>
      <c r="I1687">
        <v>1327.3093262</v>
      </c>
      <c r="J1687">
        <v>1325.8483887</v>
      </c>
      <c r="K1687">
        <v>1650</v>
      </c>
      <c r="L1687">
        <v>0</v>
      </c>
      <c r="M1687">
        <v>0</v>
      </c>
      <c r="N1687">
        <v>1650</v>
      </c>
    </row>
    <row r="1688" spans="1:14" x14ac:dyDescent="0.25">
      <c r="A1688">
        <v>1099.845896</v>
      </c>
      <c r="B1688" s="1">
        <f>DATE(2013,5,4) + TIME(20,18,5)</f>
        <v>41398.845891203702</v>
      </c>
      <c r="C1688">
        <v>80</v>
      </c>
      <c r="D1688">
        <v>79.952537536999998</v>
      </c>
      <c r="E1688">
        <v>40</v>
      </c>
      <c r="F1688">
        <v>39.817165375000002</v>
      </c>
      <c r="G1688">
        <v>1337.9561768000001</v>
      </c>
      <c r="H1688">
        <v>1335.7137451000001</v>
      </c>
      <c r="I1688">
        <v>1327.309082</v>
      </c>
      <c r="J1688">
        <v>1325.8479004000001</v>
      </c>
      <c r="K1688">
        <v>1650</v>
      </c>
      <c r="L1688">
        <v>0</v>
      </c>
      <c r="M1688">
        <v>0</v>
      </c>
      <c r="N1688">
        <v>1650</v>
      </c>
    </row>
    <row r="1689" spans="1:14" x14ac:dyDescent="0.25">
      <c r="A1689">
        <v>1099.9879120000001</v>
      </c>
      <c r="B1689" s="1">
        <f>DATE(2013,5,4) + TIME(23,42,35)</f>
        <v>41398.987905092596</v>
      </c>
      <c r="C1689">
        <v>80</v>
      </c>
      <c r="D1689">
        <v>79.956771850999999</v>
      </c>
      <c r="E1689">
        <v>40</v>
      </c>
      <c r="F1689">
        <v>39.812210082999997</v>
      </c>
      <c r="G1689">
        <v>1337.9603271000001</v>
      </c>
      <c r="H1689">
        <v>1335.7182617000001</v>
      </c>
      <c r="I1689">
        <v>1327.3088379000001</v>
      </c>
      <c r="J1689">
        <v>1325.8474120999999</v>
      </c>
      <c r="K1689">
        <v>1650</v>
      </c>
      <c r="L1689">
        <v>0</v>
      </c>
      <c r="M1689">
        <v>0</v>
      </c>
      <c r="N1689">
        <v>1650</v>
      </c>
    </row>
    <row r="1690" spans="1:14" x14ac:dyDescent="0.25">
      <c r="A1690">
        <v>1100.133137</v>
      </c>
      <c r="B1690" s="1">
        <f>DATE(2013,5,5) + TIME(3,11,43)</f>
        <v>41399.133136574077</v>
      </c>
      <c r="C1690">
        <v>80</v>
      </c>
      <c r="D1690">
        <v>79.960121154999996</v>
      </c>
      <c r="E1690">
        <v>40</v>
      </c>
      <c r="F1690">
        <v>39.807174683</v>
      </c>
      <c r="G1690">
        <v>1337.9615478999999</v>
      </c>
      <c r="H1690">
        <v>1335.7207031</v>
      </c>
      <c r="I1690">
        <v>1327.3085937999999</v>
      </c>
      <c r="J1690">
        <v>1325.8470459</v>
      </c>
      <c r="K1690">
        <v>1650</v>
      </c>
      <c r="L1690">
        <v>0</v>
      </c>
      <c r="M1690">
        <v>0</v>
      </c>
      <c r="N1690">
        <v>1650</v>
      </c>
    </row>
    <row r="1691" spans="1:14" x14ac:dyDescent="0.25">
      <c r="A1691">
        <v>1100.282056</v>
      </c>
      <c r="B1691" s="1">
        <f>DATE(2013,5,5) + TIME(6,46,9)</f>
        <v>41399.282048611109</v>
      </c>
      <c r="C1691">
        <v>80</v>
      </c>
      <c r="D1691">
        <v>79.962776184000006</v>
      </c>
      <c r="E1691">
        <v>40</v>
      </c>
      <c r="F1691">
        <v>39.802055359000001</v>
      </c>
      <c r="G1691">
        <v>1337.9616699000001</v>
      </c>
      <c r="H1691">
        <v>1335.7226562000001</v>
      </c>
      <c r="I1691">
        <v>1327.3082274999999</v>
      </c>
      <c r="J1691">
        <v>1325.8465576000001</v>
      </c>
      <c r="K1691">
        <v>1650</v>
      </c>
      <c r="L1691">
        <v>0</v>
      </c>
      <c r="M1691">
        <v>0</v>
      </c>
      <c r="N1691">
        <v>1650</v>
      </c>
    </row>
    <row r="1692" spans="1:14" x14ac:dyDescent="0.25">
      <c r="A1692">
        <v>1100.435066</v>
      </c>
      <c r="B1692" s="1">
        <f>DATE(2013,5,5) + TIME(10,26,29)</f>
        <v>41399.435057870367</v>
      </c>
      <c r="C1692">
        <v>80</v>
      </c>
      <c r="D1692">
        <v>79.964874268000003</v>
      </c>
      <c r="E1692">
        <v>40</v>
      </c>
      <c r="F1692">
        <v>39.796829224</v>
      </c>
      <c r="G1692">
        <v>1337.9611815999999</v>
      </c>
      <c r="H1692">
        <v>1335.7242432</v>
      </c>
      <c r="I1692">
        <v>1327.3079834</v>
      </c>
      <c r="J1692">
        <v>1325.8460693</v>
      </c>
      <c r="K1692">
        <v>1650</v>
      </c>
      <c r="L1692">
        <v>0</v>
      </c>
      <c r="M1692">
        <v>0</v>
      </c>
      <c r="N1692">
        <v>1650</v>
      </c>
    </row>
    <row r="1693" spans="1:14" x14ac:dyDescent="0.25">
      <c r="A1693">
        <v>1100.592576</v>
      </c>
      <c r="B1693" s="1">
        <f>DATE(2013,5,5) + TIME(14,13,18)</f>
        <v>41399.592569444445</v>
      </c>
      <c r="C1693">
        <v>80</v>
      </c>
      <c r="D1693">
        <v>79.966529846</v>
      </c>
      <c r="E1693">
        <v>40</v>
      </c>
      <c r="F1693">
        <v>39.791496277</v>
      </c>
      <c r="G1693">
        <v>1337.9603271000001</v>
      </c>
      <c r="H1693">
        <v>1335.7254639</v>
      </c>
      <c r="I1693">
        <v>1327.3077393000001</v>
      </c>
      <c r="J1693">
        <v>1325.8455810999999</v>
      </c>
      <c r="K1693">
        <v>1650</v>
      </c>
      <c r="L1693">
        <v>0</v>
      </c>
      <c r="M1693">
        <v>0</v>
      </c>
      <c r="N1693">
        <v>1650</v>
      </c>
    </row>
    <row r="1694" spans="1:14" x14ac:dyDescent="0.25">
      <c r="A1694">
        <v>1100.75505</v>
      </c>
      <c r="B1694" s="1">
        <f>DATE(2013,5,5) + TIME(18,7,16)</f>
        <v>41399.755046296297</v>
      </c>
      <c r="C1694">
        <v>80</v>
      </c>
      <c r="D1694">
        <v>79.967834472999996</v>
      </c>
      <c r="E1694">
        <v>40</v>
      </c>
      <c r="F1694">
        <v>39.786033629999999</v>
      </c>
      <c r="G1694">
        <v>1337.9589844</v>
      </c>
      <c r="H1694">
        <v>1335.7265625</v>
      </c>
      <c r="I1694">
        <v>1327.3073730000001</v>
      </c>
      <c r="J1694">
        <v>1325.8452147999999</v>
      </c>
      <c r="K1694">
        <v>1650</v>
      </c>
      <c r="L1694">
        <v>0</v>
      </c>
      <c r="M1694">
        <v>0</v>
      </c>
      <c r="N1694">
        <v>1650</v>
      </c>
    </row>
    <row r="1695" spans="1:14" x14ac:dyDescent="0.25">
      <c r="A1695">
        <v>1100.923</v>
      </c>
      <c r="B1695" s="1">
        <f>DATE(2013,5,5) + TIME(22,9,7)</f>
        <v>41399.922997685186</v>
      </c>
      <c r="C1695">
        <v>80</v>
      </c>
      <c r="D1695">
        <v>79.968856811999999</v>
      </c>
      <c r="E1695">
        <v>40</v>
      </c>
      <c r="F1695">
        <v>39.780437468999999</v>
      </c>
      <c r="G1695">
        <v>1337.9572754000001</v>
      </c>
      <c r="H1695">
        <v>1335.7274170000001</v>
      </c>
      <c r="I1695">
        <v>1327.3071289</v>
      </c>
      <c r="J1695">
        <v>1325.8446045000001</v>
      </c>
      <c r="K1695">
        <v>1650</v>
      </c>
      <c r="L1695">
        <v>0</v>
      </c>
      <c r="M1695">
        <v>0</v>
      </c>
      <c r="N1695">
        <v>1650</v>
      </c>
    </row>
    <row r="1696" spans="1:14" x14ac:dyDescent="0.25">
      <c r="A1696">
        <v>1101.097552</v>
      </c>
      <c r="B1696" s="1">
        <f>DATE(2013,5,6) + TIME(2,20,28)</f>
        <v>41400.097546296296</v>
      </c>
      <c r="C1696">
        <v>80</v>
      </c>
      <c r="D1696">
        <v>79.969657897999994</v>
      </c>
      <c r="E1696">
        <v>40</v>
      </c>
      <c r="F1696">
        <v>39.774665833</v>
      </c>
      <c r="G1696">
        <v>1337.9550781</v>
      </c>
      <c r="H1696">
        <v>1335.7280272999999</v>
      </c>
      <c r="I1696">
        <v>1327.3067627</v>
      </c>
      <c r="J1696">
        <v>1325.8441161999999</v>
      </c>
      <c r="K1696">
        <v>1650</v>
      </c>
      <c r="L1696">
        <v>0</v>
      </c>
      <c r="M1696">
        <v>0</v>
      </c>
      <c r="N1696">
        <v>1650</v>
      </c>
    </row>
    <row r="1697" spans="1:14" x14ac:dyDescent="0.25">
      <c r="A1697">
        <v>1101.278505</v>
      </c>
      <c r="B1697" s="1">
        <f>DATE(2013,5,6) + TIME(6,41,2)</f>
        <v>41400.278495370374</v>
      </c>
      <c r="C1697">
        <v>80</v>
      </c>
      <c r="D1697">
        <v>79.970275878999999</v>
      </c>
      <c r="E1697">
        <v>40</v>
      </c>
      <c r="F1697">
        <v>39.768733978</v>
      </c>
      <c r="G1697">
        <v>1337.9525146000001</v>
      </c>
      <c r="H1697">
        <v>1335.7285156</v>
      </c>
      <c r="I1697">
        <v>1327.3063964999999</v>
      </c>
      <c r="J1697">
        <v>1325.8436279</v>
      </c>
      <c r="K1697">
        <v>1650</v>
      </c>
      <c r="L1697">
        <v>0</v>
      </c>
      <c r="M1697">
        <v>0</v>
      </c>
      <c r="N1697">
        <v>1650</v>
      </c>
    </row>
    <row r="1698" spans="1:14" x14ac:dyDescent="0.25">
      <c r="A1698">
        <v>1101.4646969999999</v>
      </c>
      <c r="B1698" s="1">
        <f>DATE(2013,5,6) + TIME(11,9,9)</f>
        <v>41400.464687500003</v>
      </c>
      <c r="C1698">
        <v>80</v>
      </c>
      <c r="D1698">
        <v>79.970756531000006</v>
      </c>
      <c r="E1698">
        <v>40</v>
      </c>
      <c r="F1698">
        <v>39.762676239000001</v>
      </c>
      <c r="G1698">
        <v>1337.9495850000001</v>
      </c>
      <c r="H1698">
        <v>1335.7287598</v>
      </c>
      <c r="I1698">
        <v>1327.3061522999999</v>
      </c>
      <c r="J1698">
        <v>1325.8430175999999</v>
      </c>
      <c r="K1698">
        <v>1650</v>
      </c>
      <c r="L1698">
        <v>0</v>
      </c>
      <c r="M1698">
        <v>0</v>
      </c>
      <c r="N1698">
        <v>1650</v>
      </c>
    </row>
    <row r="1699" spans="1:14" x14ac:dyDescent="0.25">
      <c r="A1699">
        <v>1101.6567319999999</v>
      </c>
      <c r="B1699" s="1">
        <f>DATE(2013,5,6) + TIME(15,45,41)</f>
        <v>41400.656724537039</v>
      </c>
      <c r="C1699">
        <v>80</v>
      </c>
      <c r="D1699">
        <v>79.971122742000006</v>
      </c>
      <c r="E1699">
        <v>40</v>
      </c>
      <c r="F1699">
        <v>39.756473540999998</v>
      </c>
      <c r="G1699">
        <v>1337.9462891000001</v>
      </c>
      <c r="H1699">
        <v>1335.7288818</v>
      </c>
      <c r="I1699">
        <v>1327.3057861</v>
      </c>
      <c r="J1699">
        <v>1325.8424072</v>
      </c>
      <c r="K1699">
        <v>1650</v>
      </c>
      <c r="L1699">
        <v>0</v>
      </c>
      <c r="M1699">
        <v>0</v>
      </c>
      <c r="N1699">
        <v>1650</v>
      </c>
    </row>
    <row r="1700" spans="1:14" x14ac:dyDescent="0.25">
      <c r="A1700">
        <v>1101.8552030000001</v>
      </c>
      <c r="B1700" s="1">
        <f>DATE(2013,5,6) + TIME(20,31,29)</f>
        <v>41400.855196759258</v>
      </c>
      <c r="C1700">
        <v>80</v>
      </c>
      <c r="D1700">
        <v>79.971405028999996</v>
      </c>
      <c r="E1700">
        <v>40</v>
      </c>
      <c r="F1700">
        <v>39.750110626000001</v>
      </c>
      <c r="G1700">
        <v>1337.942749</v>
      </c>
      <c r="H1700">
        <v>1335.7287598</v>
      </c>
      <c r="I1700">
        <v>1327.3052978999999</v>
      </c>
      <c r="J1700">
        <v>1325.8417969</v>
      </c>
      <c r="K1700">
        <v>1650</v>
      </c>
      <c r="L1700">
        <v>0</v>
      </c>
      <c r="M1700">
        <v>0</v>
      </c>
      <c r="N1700">
        <v>1650</v>
      </c>
    </row>
    <row r="1701" spans="1:14" x14ac:dyDescent="0.25">
      <c r="A1701">
        <v>1102.0605149999999</v>
      </c>
      <c r="B1701" s="1">
        <f>DATE(2013,5,7) + TIME(1,27,8)</f>
        <v>41401.06050925926</v>
      </c>
      <c r="C1701">
        <v>80</v>
      </c>
      <c r="D1701">
        <v>79.971618652000004</v>
      </c>
      <c r="E1701">
        <v>40</v>
      </c>
      <c r="F1701">
        <v>39.743583678999997</v>
      </c>
      <c r="G1701">
        <v>1337.9388428</v>
      </c>
      <c r="H1701">
        <v>1335.7286377</v>
      </c>
      <c r="I1701">
        <v>1327.3049315999999</v>
      </c>
      <c r="J1701">
        <v>1325.8411865</v>
      </c>
      <c r="K1701">
        <v>1650</v>
      </c>
      <c r="L1701">
        <v>0</v>
      </c>
      <c r="M1701">
        <v>0</v>
      </c>
      <c r="N1701">
        <v>1650</v>
      </c>
    </row>
    <row r="1702" spans="1:14" x14ac:dyDescent="0.25">
      <c r="A1702">
        <v>1102.269247</v>
      </c>
      <c r="B1702" s="1">
        <f>DATE(2013,5,7) + TIME(6,27,42)</f>
        <v>41401.269236111111</v>
      </c>
      <c r="C1702">
        <v>80</v>
      </c>
      <c r="D1702">
        <v>79.971778869999994</v>
      </c>
      <c r="E1702">
        <v>40</v>
      </c>
      <c r="F1702">
        <v>39.736980438000003</v>
      </c>
      <c r="G1702">
        <v>1337.9348144999999</v>
      </c>
      <c r="H1702">
        <v>1335.7282714999999</v>
      </c>
      <c r="I1702">
        <v>1327.3045654</v>
      </c>
      <c r="J1702">
        <v>1325.8405762</v>
      </c>
      <c r="K1702">
        <v>1650</v>
      </c>
      <c r="L1702">
        <v>0</v>
      </c>
      <c r="M1702">
        <v>0</v>
      </c>
      <c r="N1702">
        <v>1650</v>
      </c>
    </row>
    <row r="1703" spans="1:14" x14ac:dyDescent="0.25">
      <c r="A1703">
        <v>1102.4821509999999</v>
      </c>
      <c r="B1703" s="1">
        <f>DATE(2013,5,7) + TIME(11,34,17)</f>
        <v>41401.482141203705</v>
      </c>
      <c r="C1703">
        <v>80</v>
      </c>
      <c r="D1703">
        <v>79.971893311000002</v>
      </c>
      <c r="E1703">
        <v>40</v>
      </c>
      <c r="F1703">
        <v>39.730289458999998</v>
      </c>
      <c r="G1703">
        <v>1337.9304199000001</v>
      </c>
      <c r="H1703">
        <v>1335.7279053</v>
      </c>
      <c r="I1703">
        <v>1327.3040771000001</v>
      </c>
      <c r="J1703">
        <v>1325.8398437999999</v>
      </c>
      <c r="K1703">
        <v>1650</v>
      </c>
      <c r="L1703">
        <v>0</v>
      </c>
      <c r="M1703">
        <v>0</v>
      </c>
      <c r="N1703">
        <v>1650</v>
      </c>
    </row>
    <row r="1704" spans="1:14" x14ac:dyDescent="0.25">
      <c r="A1704">
        <v>1102.699959</v>
      </c>
      <c r="B1704" s="1">
        <f>DATE(2013,5,7) + TIME(16,47,56)</f>
        <v>41401.699953703705</v>
      </c>
      <c r="C1704">
        <v>80</v>
      </c>
      <c r="D1704">
        <v>79.971969603999995</v>
      </c>
      <c r="E1704">
        <v>40</v>
      </c>
      <c r="F1704">
        <v>39.723484038999999</v>
      </c>
      <c r="G1704">
        <v>1337.9260254000001</v>
      </c>
      <c r="H1704">
        <v>1335.7274170000001</v>
      </c>
      <c r="I1704">
        <v>1327.3037108999999</v>
      </c>
      <c r="J1704">
        <v>1325.8392334</v>
      </c>
      <c r="K1704">
        <v>1650</v>
      </c>
      <c r="L1704">
        <v>0</v>
      </c>
      <c r="M1704">
        <v>0</v>
      </c>
      <c r="N1704">
        <v>1650</v>
      </c>
    </row>
    <row r="1705" spans="1:14" x14ac:dyDescent="0.25">
      <c r="A1705">
        <v>1102.9238539999999</v>
      </c>
      <c r="B1705" s="1">
        <f>DATE(2013,5,7) + TIME(22,10,21)</f>
        <v>41401.923854166664</v>
      </c>
      <c r="C1705">
        <v>80</v>
      </c>
      <c r="D1705">
        <v>79.972023010000001</v>
      </c>
      <c r="E1705">
        <v>40</v>
      </c>
      <c r="F1705">
        <v>39.716545105000002</v>
      </c>
      <c r="G1705">
        <v>1337.9213867000001</v>
      </c>
      <c r="H1705">
        <v>1335.7269286999999</v>
      </c>
      <c r="I1705">
        <v>1327.3032227000001</v>
      </c>
      <c r="J1705">
        <v>1325.838501</v>
      </c>
      <c r="K1705">
        <v>1650</v>
      </c>
      <c r="L1705">
        <v>0</v>
      </c>
      <c r="M1705">
        <v>0</v>
      </c>
      <c r="N1705">
        <v>1650</v>
      </c>
    </row>
    <row r="1706" spans="1:14" x14ac:dyDescent="0.25">
      <c r="A1706">
        <v>1103.155364</v>
      </c>
      <c r="B1706" s="1">
        <f>DATE(2013,5,8) + TIME(3,43,43)</f>
        <v>41402.155358796299</v>
      </c>
      <c r="C1706">
        <v>80</v>
      </c>
      <c r="D1706">
        <v>79.972061156999999</v>
      </c>
      <c r="E1706">
        <v>40</v>
      </c>
      <c r="F1706">
        <v>39.709426880000002</v>
      </c>
      <c r="G1706">
        <v>1337.9165039</v>
      </c>
      <c r="H1706">
        <v>1335.7263184000001</v>
      </c>
      <c r="I1706">
        <v>1327.3027344</v>
      </c>
      <c r="J1706">
        <v>1325.8377685999999</v>
      </c>
      <c r="K1706">
        <v>1650</v>
      </c>
      <c r="L1706">
        <v>0</v>
      </c>
      <c r="M1706">
        <v>0</v>
      </c>
      <c r="N1706">
        <v>1650</v>
      </c>
    </row>
    <row r="1707" spans="1:14" x14ac:dyDescent="0.25">
      <c r="A1707">
        <v>1103.393069</v>
      </c>
      <c r="B1707" s="1">
        <f>DATE(2013,5,8) + TIME(9,26,1)</f>
        <v>41402.393067129633</v>
      </c>
      <c r="C1707">
        <v>80</v>
      </c>
      <c r="D1707">
        <v>79.972076415999993</v>
      </c>
      <c r="E1707">
        <v>40</v>
      </c>
      <c r="F1707">
        <v>39.702171325999998</v>
      </c>
      <c r="G1707">
        <v>1337.911499</v>
      </c>
      <c r="H1707">
        <v>1335.7255858999999</v>
      </c>
      <c r="I1707">
        <v>1327.3022461</v>
      </c>
      <c r="J1707">
        <v>1325.8369141000001</v>
      </c>
      <c r="K1707">
        <v>1650</v>
      </c>
      <c r="L1707">
        <v>0</v>
      </c>
      <c r="M1707">
        <v>0</v>
      </c>
      <c r="N1707">
        <v>1650</v>
      </c>
    </row>
    <row r="1708" spans="1:14" x14ac:dyDescent="0.25">
      <c r="A1708">
        <v>1103.638839</v>
      </c>
      <c r="B1708" s="1">
        <f>DATE(2013,5,8) + TIME(15,19,55)</f>
        <v>41402.638831018521</v>
      </c>
      <c r="C1708">
        <v>80</v>
      </c>
      <c r="D1708">
        <v>79.972084045000003</v>
      </c>
      <c r="E1708">
        <v>40</v>
      </c>
      <c r="F1708">
        <v>39.694728851000001</v>
      </c>
      <c r="G1708">
        <v>1337.9063721</v>
      </c>
      <c r="H1708">
        <v>1335.7248535000001</v>
      </c>
      <c r="I1708">
        <v>1327.3017577999999</v>
      </c>
      <c r="J1708">
        <v>1325.8361815999999</v>
      </c>
      <c r="K1708">
        <v>1650</v>
      </c>
      <c r="L1708">
        <v>0</v>
      </c>
      <c r="M1708">
        <v>0</v>
      </c>
      <c r="N1708">
        <v>1650</v>
      </c>
    </row>
    <row r="1709" spans="1:14" x14ac:dyDescent="0.25">
      <c r="A1709">
        <v>1103.893499</v>
      </c>
      <c r="B1709" s="1">
        <f>DATE(2013,5,8) + TIME(21,26,38)</f>
        <v>41402.893495370372</v>
      </c>
      <c r="C1709">
        <v>80</v>
      </c>
      <c r="D1709">
        <v>79.972076415999993</v>
      </c>
      <c r="E1709">
        <v>40</v>
      </c>
      <c r="F1709">
        <v>39.687084198000001</v>
      </c>
      <c r="G1709">
        <v>1337.901001</v>
      </c>
      <c r="H1709">
        <v>1335.723999</v>
      </c>
      <c r="I1709">
        <v>1327.3012695</v>
      </c>
      <c r="J1709">
        <v>1325.8353271000001</v>
      </c>
      <c r="K1709">
        <v>1650</v>
      </c>
      <c r="L1709">
        <v>0</v>
      </c>
      <c r="M1709">
        <v>0</v>
      </c>
      <c r="N1709">
        <v>1650</v>
      </c>
    </row>
    <row r="1710" spans="1:14" x14ac:dyDescent="0.25">
      <c r="A1710">
        <v>1104.150126</v>
      </c>
      <c r="B1710" s="1">
        <f>DATE(2013,5,9) + TIME(3,36,10)</f>
        <v>41403.15011574074</v>
      </c>
      <c r="C1710">
        <v>80</v>
      </c>
      <c r="D1710">
        <v>79.972061156999999</v>
      </c>
      <c r="E1710">
        <v>40</v>
      </c>
      <c r="F1710">
        <v>39.679412841999998</v>
      </c>
      <c r="G1710">
        <v>1337.8955077999999</v>
      </c>
      <c r="H1710">
        <v>1335.7231445</v>
      </c>
      <c r="I1710">
        <v>1327.3006591999999</v>
      </c>
      <c r="J1710">
        <v>1325.8344727000001</v>
      </c>
      <c r="K1710">
        <v>1650</v>
      </c>
      <c r="L1710">
        <v>0</v>
      </c>
      <c r="M1710">
        <v>0</v>
      </c>
      <c r="N1710">
        <v>1650</v>
      </c>
    </row>
    <row r="1711" spans="1:14" x14ac:dyDescent="0.25">
      <c r="A1711">
        <v>1104.409414</v>
      </c>
      <c r="B1711" s="1">
        <f>DATE(2013,5,9) + TIME(9,49,33)</f>
        <v>41403.409409722219</v>
      </c>
      <c r="C1711">
        <v>80</v>
      </c>
      <c r="D1711">
        <v>79.972038268999995</v>
      </c>
      <c r="E1711">
        <v>40</v>
      </c>
      <c r="F1711">
        <v>39.671699523999997</v>
      </c>
      <c r="G1711">
        <v>1337.8900146000001</v>
      </c>
      <c r="H1711">
        <v>1335.722168</v>
      </c>
      <c r="I1711">
        <v>1327.3001709</v>
      </c>
      <c r="J1711">
        <v>1325.8336182</v>
      </c>
      <c r="K1711">
        <v>1650</v>
      </c>
      <c r="L1711">
        <v>0</v>
      </c>
      <c r="M1711">
        <v>0</v>
      </c>
      <c r="N1711">
        <v>1650</v>
      </c>
    </row>
    <row r="1712" spans="1:14" x14ac:dyDescent="0.25">
      <c r="A1712">
        <v>1104.671961</v>
      </c>
      <c r="B1712" s="1">
        <f>DATE(2013,5,9) + TIME(16,7,37)</f>
        <v>41403.671956018516</v>
      </c>
      <c r="C1712">
        <v>80</v>
      </c>
      <c r="D1712">
        <v>79.972007751000007</v>
      </c>
      <c r="E1712">
        <v>40</v>
      </c>
      <c r="F1712">
        <v>39.663932799999998</v>
      </c>
      <c r="G1712">
        <v>1337.8845214999999</v>
      </c>
      <c r="H1712">
        <v>1335.7213135</v>
      </c>
      <c r="I1712">
        <v>1327.2995605000001</v>
      </c>
      <c r="J1712">
        <v>1325.8326416</v>
      </c>
      <c r="K1712">
        <v>1650</v>
      </c>
      <c r="L1712">
        <v>0</v>
      </c>
      <c r="M1712">
        <v>0</v>
      </c>
      <c r="N1712">
        <v>1650</v>
      </c>
    </row>
    <row r="1713" spans="1:14" x14ac:dyDescent="0.25">
      <c r="A1713">
        <v>1104.938439</v>
      </c>
      <c r="B1713" s="1">
        <f>DATE(2013,5,9) + TIME(22,31,21)</f>
        <v>41403.938437500001</v>
      </c>
      <c r="C1713">
        <v>80</v>
      </c>
      <c r="D1713">
        <v>79.971969603999995</v>
      </c>
      <c r="E1713">
        <v>40</v>
      </c>
      <c r="F1713">
        <v>39.656097412000001</v>
      </c>
      <c r="G1713">
        <v>1337.8790283000001</v>
      </c>
      <c r="H1713">
        <v>1335.7203368999999</v>
      </c>
      <c r="I1713">
        <v>1327.2989502</v>
      </c>
      <c r="J1713">
        <v>1325.8316649999999</v>
      </c>
      <c r="K1713">
        <v>1650</v>
      </c>
      <c r="L1713">
        <v>0</v>
      </c>
      <c r="M1713">
        <v>0</v>
      </c>
      <c r="N1713">
        <v>1650</v>
      </c>
    </row>
    <row r="1714" spans="1:14" x14ac:dyDescent="0.25">
      <c r="A1714">
        <v>1105.209548</v>
      </c>
      <c r="B1714" s="1">
        <f>DATE(2013,5,10) + TIME(5,1,44)</f>
        <v>41404.209537037037</v>
      </c>
      <c r="C1714">
        <v>80</v>
      </c>
      <c r="D1714">
        <v>79.971931458</v>
      </c>
      <c r="E1714">
        <v>40</v>
      </c>
      <c r="F1714">
        <v>39.648185730000002</v>
      </c>
      <c r="G1714">
        <v>1337.8735352000001</v>
      </c>
      <c r="H1714">
        <v>1335.7194824000001</v>
      </c>
      <c r="I1714">
        <v>1327.2983397999999</v>
      </c>
      <c r="J1714">
        <v>1325.8308105000001</v>
      </c>
      <c r="K1714">
        <v>1650</v>
      </c>
      <c r="L1714">
        <v>0</v>
      </c>
      <c r="M1714">
        <v>0</v>
      </c>
      <c r="N1714">
        <v>1650</v>
      </c>
    </row>
    <row r="1715" spans="1:14" x14ac:dyDescent="0.25">
      <c r="A1715">
        <v>1105.4860209999999</v>
      </c>
      <c r="B1715" s="1">
        <f>DATE(2013,5,10) + TIME(11,39,52)</f>
        <v>41404.486018518517</v>
      </c>
      <c r="C1715">
        <v>80</v>
      </c>
      <c r="D1715">
        <v>79.971893311000002</v>
      </c>
      <c r="E1715">
        <v>40</v>
      </c>
      <c r="F1715">
        <v>39.640171051000003</v>
      </c>
      <c r="G1715">
        <v>1337.8680420000001</v>
      </c>
      <c r="H1715">
        <v>1335.7185059000001</v>
      </c>
      <c r="I1715">
        <v>1327.2977295000001</v>
      </c>
      <c r="J1715">
        <v>1325.8298339999999</v>
      </c>
      <c r="K1715">
        <v>1650</v>
      </c>
      <c r="L1715">
        <v>0</v>
      </c>
      <c r="M1715">
        <v>0</v>
      </c>
      <c r="N1715">
        <v>1650</v>
      </c>
    </row>
    <row r="1716" spans="1:14" x14ac:dyDescent="0.25">
      <c r="A1716">
        <v>1105.7686450000001</v>
      </c>
      <c r="B1716" s="1">
        <f>DATE(2013,5,10) + TIME(18,26,50)</f>
        <v>41404.768634259257</v>
      </c>
      <c r="C1716">
        <v>80</v>
      </c>
      <c r="D1716">
        <v>79.971847534000005</v>
      </c>
      <c r="E1716">
        <v>40</v>
      </c>
      <c r="F1716">
        <v>39.632049561000002</v>
      </c>
      <c r="G1716">
        <v>1337.8625488</v>
      </c>
      <c r="H1716">
        <v>1335.7176514</v>
      </c>
      <c r="I1716">
        <v>1327.2971190999999</v>
      </c>
      <c r="J1716">
        <v>1325.8287353999999</v>
      </c>
      <c r="K1716">
        <v>1650</v>
      </c>
      <c r="L1716">
        <v>0</v>
      </c>
      <c r="M1716">
        <v>0</v>
      </c>
      <c r="N1716">
        <v>1650</v>
      </c>
    </row>
    <row r="1717" spans="1:14" x14ac:dyDescent="0.25">
      <c r="A1717">
        <v>1106.0582669999999</v>
      </c>
      <c r="B1717" s="1">
        <f>DATE(2013,5,11) + TIME(1,23,54)</f>
        <v>41405.058263888888</v>
      </c>
      <c r="C1717">
        <v>80</v>
      </c>
      <c r="D1717">
        <v>79.971801757999998</v>
      </c>
      <c r="E1717">
        <v>40</v>
      </c>
      <c r="F1717">
        <v>39.623790741000001</v>
      </c>
      <c r="G1717">
        <v>1337.8570557</v>
      </c>
      <c r="H1717">
        <v>1335.7166748</v>
      </c>
      <c r="I1717">
        <v>1327.2963867000001</v>
      </c>
      <c r="J1717">
        <v>1325.8277588000001</v>
      </c>
      <c r="K1717">
        <v>1650</v>
      </c>
      <c r="L1717">
        <v>0</v>
      </c>
      <c r="M1717">
        <v>0</v>
      </c>
      <c r="N1717">
        <v>1650</v>
      </c>
    </row>
    <row r="1718" spans="1:14" x14ac:dyDescent="0.25">
      <c r="A1718">
        <v>1106.3558149999999</v>
      </c>
      <c r="B1718" s="1">
        <f>DATE(2013,5,11) + TIME(8,32,22)</f>
        <v>41405.355810185189</v>
      </c>
      <c r="C1718">
        <v>80</v>
      </c>
      <c r="D1718">
        <v>79.971748352000006</v>
      </c>
      <c r="E1718">
        <v>40</v>
      </c>
      <c r="F1718">
        <v>39.615383147999999</v>
      </c>
      <c r="G1718">
        <v>1337.8514404</v>
      </c>
      <c r="H1718">
        <v>1335.7158202999999</v>
      </c>
      <c r="I1718">
        <v>1327.2957764</v>
      </c>
      <c r="J1718">
        <v>1325.8266602000001</v>
      </c>
      <c r="K1718">
        <v>1650</v>
      </c>
      <c r="L1718">
        <v>0</v>
      </c>
      <c r="M1718">
        <v>0</v>
      </c>
      <c r="N1718">
        <v>1650</v>
      </c>
    </row>
    <row r="1719" spans="1:14" x14ac:dyDescent="0.25">
      <c r="A1719">
        <v>1106.6604299999999</v>
      </c>
      <c r="B1719" s="1">
        <f>DATE(2013,5,11) + TIME(15,51,1)</f>
        <v>41405.660428240742</v>
      </c>
      <c r="C1719">
        <v>80</v>
      </c>
      <c r="D1719">
        <v>79.971702575999998</v>
      </c>
      <c r="E1719">
        <v>40</v>
      </c>
      <c r="F1719">
        <v>39.606842041</v>
      </c>
      <c r="G1719">
        <v>1337.8458252</v>
      </c>
      <c r="H1719">
        <v>1335.7149658000001</v>
      </c>
      <c r="I1719">
        <v>1327.2950439000001</v>
      </c>
      <c r="J1719">
        <v>1325.8254394999999</v>
      </c>
      <c r="K1719">
        <v>1650</v>
      </c>
      <c r="L1719">
        <v>0</v>
      </c>
      <c r="M1719">
        <v>0</v>
      </c>
      <c r="N1719">
        <v>1650</v>
      </c>
    </row>
    <row r="1720" spans="1:14" x14ac:dyDescent="0.25">
      <c r="A1720">
        <v>1106.9711990000001</v>
      </c>
      <c r="B1720" s="1">
        <f>DATE(2013,5,11) + TIME(23,18,31)</f>
        <v>41405.971192129633</v>
      </c>
      <c r="C1720">
        <v>80</v>
      </c>
      <c r="D1720">
        <v>79.971649170000006</v>
      </c>
      <c r="E1720">
        <v>40</v>
      </c>
      <c r="F1720">
        <v>39.598194122000002</v>
      </c>
      <c r="G1720">
        <v>1337.8402100000001</v>
      </c>
      <c r="H1720">
        <v>1335.7139893000001</v>
      </c>
      <c r="I1720">
        <v>1327.2943115</v>
      </c>
      <c r="J1720">
        <v>1325.8243408000001</v>
      </c>
      <c r="K1720">
        <v>1650</v>
      </c>
      <c r="L1720">
        <v>0</v>
      </c>
      <c r="M1720">
        <v>0</v>
      </c>
      <c r="N1720">
        <v>1650</v>
      </c>
    </row>
    <row r="1721" spans="1:14" x14ac:dyDescent="0.25">
      <c r="A1721">
        <v>1107.2890239999999</v>
      </c>
      <c r="B1721" s="1">
        <f>DATE(2013,5,12) + TIME(6,56,11)</f>
        <v>41406.2890162037</v>
      </c>
      <c r="C1721">
        <v>80</v>
      </c>
      <c r="D1721">
        <v>79.971595764</v>
      </c>
      <c r="E1721">
        <v>40</v>
      </c>
      <c r="F1721">
        <v>39.589424133000001</v>
      </c>
      <c r="G1721">
        <v>1337.8345947</v>
      </c>
      <c r="H1721">
        <v>1335.7131348</v>
      </c>
      <c r="I1721">
        <v>1327.293457</v>
      </c>
      <c r="J1721">
        <v>1325.8231201000001</v>
      </c>
      <c r="K1721">
        <v>1650</v>
      </c>
      <c r="L1721">
        <v>0</v>
      </c>
      <c r="M1721">
        <v>0</v>
      </c>
      <c r="N1721">
        <v>1650</v>
      </c>
    </row>
    <row r="1722" spans="1:14" x14ac:dyDescent="0.25">
      <c r="A1722">
        <v>1107.614824</v>
      </c>
      <c r="B1722" s="1">
        <f>DATE(2013,5,12) + TIME(14,45,20)</f>
        <v>41406.614814814813</v>
      </c>
      <c r="C1722">
        <v>80</v>
      </c>
      <c r="D1722">
        <v>79.971534728999998</v>
      </c>
      <c r="E1722">
        <v>40</v>
      </c>
      <c r="F1722">
        <v>39.580509186</v>
      </c>
      <c r="G1722">
        <v>1337.8291016000001</v>
      </c>
      <c r="H1722">
        <v>1335.7122803</v>
      </c>
      <c r="I1722">
        <v>1327.2927245999999</v>
      </c>
      <c r="J1722">
        <v>1325.8217772999999</v>
      </c>
      <c r="K1722">
        <v>1650</v>
      </c>
      <c r="L1722">
        <v>0</v>
      </c>
      <c r="M1722">
        <v>0</v>
      </c>
      <c r="N1722">
        <v>1650</v>
      </c>
    </row>
    <row r="1723" spans="1:14" x14ac:dyDescent="0.25">
      <c r="A1723">
        <v>1107.9495810000001</v>
      </c>
      <c r="B1723" s="1">
        <f>DATE(2013,5,12) + TIME(22,47,23)</f>
        <v>41406.949571759258</v>
      </c>
      <c r="C1723">
        <v>80</v>
      </c>
      <c r="D1723">
        <v>79.971481323000006</v>
      </c>
      <c r="E1723">
        <v>40</v>
      </c>
      <c r="F1723">
        <v>39.571430206000002</v>
      </c>
      <c r="G1723">
        <v>1337.8234863</v>
      </c>
      <c r="H1723">
        <v>1335.7115478999999</v>
      </c>
      <c r="I1723">
        <v>1327.2918701000001</v>
      </c>
      <c r="J1723">
        <v>1325.8205565999999</v>
      </c>
      <c r="K1723">
        <v>1650</v>
      </c>
      <c r="L1723">
        <v>0</v>
      </c>
      <c r="M1723">
        <v>0</v>
      </c>
      <c r="N1723">
        <v>1650</v>
      </c>
    </row>
    <row r="1724" spans="1:14" x14ac:dyDescent="0.25">
      <c r="A1724">
        <v>1108.2944190000001</v>
      </c>
      <c r="B1724" s="1">
        <f>DATE(2013,5,13) + TIME(7,3,57)</f>
        <v>41407.294409722221</v>
      </c>
      <c r="C1724">
        <v>80</v>
      </c>
      <c r="D1724">
        <v>79.971420288000004</v>
      </c>
      <c r="E1724">
        <v>40</v>
      </c>
      <c r="F1724">
        <v>39.562171935999999</v>
      </c>
      <c r="G1724">
        <v>1337.8178711</v>
      </c>
      <c r="H1724">
        <v>1335.7106934000001</v>
      </c>
      <c r="I1724">
        <v>1327.2910156</v>
      </c>
      <c r="J1724">
        <v>1325.8190918</v>
      </c>
      <c r="K1724">
        <v>1650</v>
      </c>
      <c r="L1724">
        <v>0</v>
      </c>
      <c r="M1724">
        <v>0</v>
      </c>
      <c r="N1724">
        <v>1650</v>
      </c>
    </row>
    <row r="1725" spans="1:14" x14ac:dyDescent="0.25">
      <c r="A1725">
        <v>1108.650586</v>
      </c>
      <c r="B1725" s="1">
        <f>DATE(2013,5,13) + TIME(15,36,50)</f>
        <v>41407.650578703702</v>
      </c>
      <c r="C1725">
        <v>80</v>
      </c>
      <c r="D1725">
        <v>79.971359253000003</v>
      </c>
      <c r="E1725">
        <v>40</v>
      </c>
      <c r="F1725">
        <v>39.552703856999997</v>
      </c>
      <c r="G1725">
        <v>1337.8121338000001</v>
      </c>
      <c r="H1725">
        <v>1335.7099608999999</v>
      </c>
      <c r="I1725">
        <v>1327.2901611</v>
      </c>
      <c r="J1725">
        <v>1325.817749</v>
      </c>
      <c r="K1725">
        <v>1650</v>
      </c>
      <c r="L1725">
        <v>0</v>
      </c>
      <c r="M1725">
        <v>0</v>
      </c>
      <c r="N1725">
        <v>1650</v>
      </c>
    </row>
    <row r="1726" spans="1:14" x14ac:dyDescent="0.25">
      <c r="A1726">
        <v>1109.019689</v>
      </c>
      <c r="B1726" s="1">
        <f>DATE(2013,5,14) + TIME(0,28,21)</f>
        <v>41408.019687499997</v>
      </c>
      <c r="C1726">
        <v>80</v>
      </c>
      <c r="D1726">
        <v>79.971298218000001</v>
      </c>
      <c r="E1726">
        <v>40</v>
      </c>
      <c r="F1726">
        <v>39.542995453000003</v>
      </c>
      <c r="G1726">
        <v>1337.8065185999999</v>
      </c>
      <c r="H1726">
        <v>1335.7091064000001</v>
      </c>
      <c r="I1726">
        <v>1327.2891846</v>
      </c>
      <c r="J1726">
        <v>1325.8161620999999</v>
      </c>
      <c r="K1726">
        <v>1650</v>
      </c>
      <c r="L1726">
        <v>0</v>
      </c>
      <c r="M1726">
        <v>0</v>
      </c>
      <c r="N1726">
        <v>1650</v>
      </c>
    </row>
    <row r="1727" spans="1:14" x14ac:dyDescent="0.25">
      <c r="A1727">
        <v>1109.4069</v>
      </c>
      <c r="B1727" s="1">
        <f>DATE(2013,5,14) + TIME(9,45,56)</f>
        <v>41408.406898148147</v>
      </c>
      <c r="C1727">
        <v>80</v>
      </c>
      <c r="D1727">
        <v>79.971237183</v>
      </c>
      <c r="E1727">
        <v>40</v>
      </c>
      <c r="F1727">
        <v>39.532947540000002</v>
      </c>
      <c r="G1727">
        <v>1337.8007812000001</v>
      </c>
      <c r="H1727">
        <v>1335.708374</v>
      </c>
      <c r="I1727">
        <v>1327.2882079999999</v>
      </c>
      <c r="J1727">
        <v>1325.8145752</v>
      </c>
      <c r="K1727">
        <v>1650</v>
      </c>
      <c r="L1727">
        <v>0</v>
      </c>
      <c r="M1727">
        <v>0</v>
      </c>
      <c r="N1727">
        <v>1650</v>
      </c>
    </row>
    <row r="1728" spans="1:14" x14ac:dyDescent="0.25">
      <c r="A1728">
        <v>1109.8086169999999</v>
      </c>
      <c r="B1728" s="1">
        <f>DATE(2013,5,14) + TIME(19,24,24)</f>
        <v>41408.808611111112</v>
      </c>
      <c r="C1728">
        <v>80</v>
      </c>
      <c r="D1728">
        <v>79.971176146999994</v>
      </c>
      <c r="E1728">
        <v>40</v>
      </c>
      <c r="F1728">
        <v>39.522628783999998</v>
      </c>
      <c r="G1728">
        <v>1337.7949219</v>
      </c>
      <c r="H1728">
        <v>1335.7075195</v>
      </c>
      <c r="I1728">
        <v>1327.2871094</v>
      </c>
      <c r="J1728">
        <v>1325.8129882999999</v>
      </c>
      <c r="K1728">
        <v>1650</v>
      </c>
      <c r="L1728">
        <v>0</v>
      </c>
      <c r="M1728">
        <v>0</v>
      </c>
      <c r="N1728">
        <v>1650</v>
      </c>
    </row>
    <row r="1729" spans="1:14" x14ac:dyDescent="0.25">
      <c r="A1729">
        <v>1110.222732</v>
      </c>
      <c r="B1729" s="1">
        <f>DATE(2013,5,15) + TIME(5,20,44)</f>
        <v>41409.222731481481</v>
      </c>
      <c r="C1729">
        <v>80</v>
      </c>
      <c r="D1729">
        <v>79.971107482999997</v>
      </c>
      <c r="E1729">
        <v>40</v>
      </c>
      <c r="F1729">
        <v>39.512084960999999</v>
      </c>
      <c r="G1729">
        <v>1337.7889404</v>
      </c>
      <c r="H1729">
        <v>1335.7067870999999</v>
      </c>
      <c r="I1729">
        <v>1327.2860106999999</v>
      </c>
      <c r="J1729">
        <v>1325.8111572</v>
      </c>
      <c r="K1729">
        <v>1650</v>
      </c>
      <c r="L1729">
        <v>0</v>
      </c>
      <c r="M1729">
        <v>0</v>
      </c>
      <c r="N1729">
        <v>1650</v>
      </c>
    </row>
    <row r="1730" spans="1:14" x14ac:dyDescent="0.25">
      <c r="A1730">
        <v>1110.638655</v>
      </c>
      <c r="B1730" s="1">
        <f>DATE(2013,5,15) + TIME(15,19,39)</f>
        <v>41409.638645833336</v>
      </c>
      <c r="C1730">
        <v>80</v>
      </c>
      <c r="D1730">
        <v>79.971046447999996</v>
      </c>
      <c r="E1730">
        <v>40</v>
      </c>
      <c r="F1730">
        <v>39.501525878999999</v>
      </c>
      <c r="G1730">
        <v>1337.7830810999999</v>
      </c>
      <c r="H1730">
        <v>1335.7059326000001</v>
      </c>
      <c r="I1730">
        <v>1327.2849120999999</v>
      </c>
      <c r="J1730">
        <v>1325.8093262</v>
      </c>
      <c r="K1730">
        <v>1650</v>
      </c>
      <c r="L1730">
        <v>0</v>
      </c>
      <c r="M1730">
        <v>0</v>
      </c>
      <c r="N1730">
        <v>1650</v>
      </c>
    </row>
    <row r="1731" spans="1:14" x14ac:dyDescent="0.25">
      <c r="A1731">
        <v>1111.057789</v>
      </c>
      <c r="B1731" s="1">
        <f>DATE(2013,5,16) + TIME(1,23,12)</f>
        <v>41410.05777777778</v>
      </c>
      <c r="C1731">
        <v>80</v>
      </c>
      <c r="D1731">
        <v>79.970985412999994</v>
      </c>
      <c r="E1731">
        <v>40</v>
      </c>
      <c r="F1731">
        <v>39.490943909000002</v>
      </c>
      <c r="G1731">
        <v>1337.7772216999999</v>
      </c>
      <c r="H1731">
        <v>1335.7053223</v>
      </c>
      <c r="I1731">
        <v>1327.2836914</v>
      </c>
      <c r="J1731">
        <v>1325.8074951000001</v>
      </c>
      <c r="K1731">
        <v>1650</v>
      </c>
      <c r="L1731">
        <v>0</v>
      </c>
      <c r="M1731">
        <v>0</v>
      </c>
      <c r="N1731">
        <v>1650</v>
      </c>
    </row>
    <row r="1732" spans="1:14" x14ac:dyDescent="0.25">
      <c r="A1732">
        <v>1111.4813750000001</v>
      </c>
      <c r="B1732" s="1">
        <f>DATE(2013,5,16) + TIME(11,33,10)</f>
        <v>41410.481365740743</v>
      </c>
      <c r="C1732">
        <v>80</v>
      </c>
      <c r="D1732">
        <v>79.970916747999993</v>
      </c>
      <c r="E1732">
        <v>40</v>
      </c>
      <c r="F1732">
        <v>39.480323792</v>
      </c>
      <c r="G1732">
        <v>1337.7716064000001</v>
      </c>
      <c r="H1732">
        <v>1335.7045897999999</v>
      </c>
      <c r="I1732">
        <v>1327.2824707</v>
      </c>
      <c r="J1732">
        <v>1325.8055420000001</v>
      </c>
      <c r="K1732">
        <v>1650</v>
      </c>
      <c r="L1732">
        <v>0</v>
      </c>
      <c r="M1732">
        <v>0</v>
      </c>
      <c r="N1732">
        <v>1650</v>
      </c>
    </row>
    <row r="1733" spans="1:14" x14ac:dyDescent="0.25">
      <c r="A1733">
        <v>1111.9107610000001</v>
      </c>
      <c r="B1733" s="1">
        <f>DATE(2013,5,16) + TIME(21,51,29)</f>
        <v>41410.910752314812</v>
      </c>
      <c r="C1733">
        <v>80</v>
      </c>
      <c r="D1733">
        <v>79.970855713000006</v>
      </c>
      <c r="E1733">
        <v>40</v>
      </c>
      <c r="F1733">
        <v>39.469650268999999</v>
      </c>
      <c r="G1733">
        <v>1337.7659911999999</v>
      </c>
      <c r="H1733">
        <v>1335.7039795000001</v>
      </c>
      <c r="I1733">
        <v>1327.28125</v>
      </c>
      <c r="J1733">
        <v>1325.8034668</v>
      </c>
      <c r="K1733">
        <v>1650</v>
      </c>
      <c r="L1733">
        <v>0</v>
      </c>
      <c r="M1733">
        <v>0</v>
      </c>
      <c r="N1733">
        <v>1650</v>
      </c>
    </row>
    <row r="1734" spans="1:14" x14ac:dyDescent="0.25">
      <c r="A1734">
        <v>1112.3473300000001</v>
      </c>
      <c r="B1734" s="1">
        <f>DATE(2013,5,17) + TIME(8,20,9)</f>
        <v>41411.347326388888</v>
      </c>
      <c r="C1734">
        <v>80</v>
      </c>
      <c r="D1734">
        <v>79.970794678000004</v>
      </c>
      <c r="E1734">
        <v>40</v>
      </c>
      <c r="F1734">
        <v>39.458904265999998</v>
      </c>
      <c r="G1734">
        <v>1337.7606201000001</v>
      </c>
      <c r="H1734">
        <v>1335.7033690999999</v>
      </c>
      <c r="I1734">
        <v>1327.2800293</v>
      </c>
      <c r="J1734">
        <v>1325.8015137</v>
      </c>
      <c r="K1734">
        <v>1650</v>
      </c>
      <c r="L1734">
        <v>0</v>
      </c>
      <c r="M1734">
        <v>0</v>
      </c>
      <c r="N1734">
        <v>1650</v>
      </c>
    </row>
    <row r="1735" spans="1:14" x14ac:dyDescent="0.25">
      <c r="A1735">
        <v>1112.792526</v>
      </c>
      <c r="B1735" s="1">
        <f>DATE(2013,5,17) + TIME(19,1,14)</f>
        <v>41411.792523148149</v>
      </c>
      <c r="C1735">
        <v>80</v>
      </c>
      <c r="D1735">
        <v>79.970726013000004</v>
      </c>
      <c r="E1735">
        <v>40</v>
      </c>
      <c r="F1735">
        <v>39.448066711000003</v>
      </c>
      <c r="G1735">
        <v>1337.7551269999999</v>
      </c>
      <c r="H1735">
        <v>1335.7027588000001</v>
      </c>
      <c r="I1735">
        <v>1327.2786865</v>
      </c>
      <c r="J1735">
        <v>1325.7993164</v>
      </c>
      <c r="K1735">
        <v>1650</v>
      </c>
      <c r="L1735">
        <v>0</v>
      </c>
      <c r="M1735">
        <v>0</v>
      </c>
      <c r="N1735">
        <v>1650</v>
      </c>
    </row>
    <row r="1736" spans="1:14" x14ac:dyDescent="0.25">
      <c r="A1736">
        <v>1113.2479049999999</v>
      </c>
      <c r="B1736" s="1">
        <f>DATE(2013,5,18) + TIME(5,56,59)</f>
        <v>41412.24790509259</v>
      </c>
      <c r="C1736">
        <v>80</v>
      </c>
      <c r="D1736">
        <v>79.970664978000002</v>
      </c>
      <c r="E1736">
        <v>40</v>
      </c>
      <c r="F1736">
        <v>39.437107085999997</v>
      </c>
      <c r="G1736">
        <v>1337.7497559000001</v>
      </c>
      <c r="H1736">
        <v>1335.7022704999999</v>
      </c>
      <c r="I1736">
        <v>1327.2773437999999</v>
      </c>
      <c r="J1736">
        <v>1325.7971190999999</v>
      </c>
      <c r="K1736">
        <v>1650</v>
      </c>
      <c r="L1736">
        <v>0</v>
      </c>
      <c r="M1736">
        <v>0</v>
      </c>
      <c r="N1736">
        <v>1650</v>
      </c>
    </row>
    <row r="1737" spans="1:14" x14ac:dyDescent="0.25">
      <c r="A1737">
        <v>1113.7158179999999</v>
      </c>
      <c r="B1737" s="1">
        <f>DATE(2013,5,18) + TIME(17,10,46)</f>
        <v>41412.715810185182</v>
      </c>
      <c r="C1737">
        <v>80</v>
      </c>
      <c r="D1737">
        <v>79.970603943</v>
      </c>
      <c r="E1737">
        <v>40</v>
      </c>
      <c r="F1737">
        <v>39.425987243999998</v>
      </c>
      <c r="G1737">
        <v>1337.7443848</v>
      </c>
      <c r="H1737">
        <v>1335.7016602000001</v>
      </c>
      <c r="I1737">
        <v>1327.2758789</v>
      </c>
      <c r="J1737">
        <v>1325.7949219</v>
      </c>
      <c r="K1737">
        <v>1650</v>
      </c>
      <c r="L1737">
        <v>0</v>
      </c>
      <c r="M1737">
        <v>0</v>
      </c>
      <c r="N1737">
        <v>1650</v>
      </c>
    </row>
    <row r="1738" spans="1:14" x14ac:dyDescent="0.25">
      <c r="A1738">
        <v>1114.1958770000001</v>
      </c>
      <c r="B1738" s="1">
        <f>DATE(2013,5,19) + TIME(4,42,3)</f>
        <v>41413.195868055554</v>
      </c>
      <c r="C1738">
        <v>80</v>
      </c>
      <c r="D1738">
        <v>79.970542907999999</v>
      </c>
      <c r="E1738">
        <v>40</v>
      </c>
      <c r="F1738">
        <v>39.414718628000003</v>
      </c>
      <c r="G1738">
        <v>1337.7390137</v>
      </c>
      <c r="H1738">
        <v>1335.7011719</v>
      </c>
      <c r="I1738">
        <v>1327.2744141000001</v>
      </c>
      <c r="J1738">
        <v>1325.7924805</v>
      </c>
      <c r="K1738">
        <v>1650</v>
      </c>
      <c r="L1738">
        <v>0</v>
      </c>
      <c r="M1738">
        <v>0</v>
      </c>
      <c r="N1738">
        <v>1650</v>
      </c>
    </row>
    <row r="1739" spans="1:14" x14ac:dyDescent="0.25">
      <c r="A1739">
        <v>1114.6946170000001</v>
      </c>
      <c r="B1739" s="1">
        <f>DATE(2013,5,19) + TIME(16,40,14)</f>
        <v>41413.694606481484</v>
      </c>
      <c r="C1739">
        <v>80</v>
      </c>
      <c r="D1739">
        <v>79.970474242999998</v>
      </c>
      <c r="E1739">
        <v>40</v>
      </c>
      <c r="F1739">
        <v>39.403194427000003</v>
      </c>
      <c r="G1739">
        <v>1337.7336425999999</v>
      </c>
      <c r="H1739">
        <v>1335.7006836</v>
      </c>
      <c r="I1739">
        <v>1327.2729492000001</v>
      </c>
      <c r="J1739">
        <v>1325.7900391000001</v>
      </c>
      <c r="K1739">
        <v>1650</v>
      </c>
      <c r="L1739">
        <v>0</v>
      </c>
      <c r="M1739">
        <v>0</v>
      </c>
      <c r="N1739">
        <v>1650</v>
      </c>
    </row>
    <row r="1740" spans="1:14" x14ac:dyDescent="0.25">
      <c r="A1740">
        <v>1115.20362</v>
      </c>
      <c r="B1740" s="1">
        <f>DATE(2013,5,20) + TIME(4,53,12)</f>
        <v>41414.203611111108</v>
      </c>
      <c r="C1740">
        <v>80</v>
      </c>
      <c r="D1740">
        <v>79.970413207999997</v>
      </c>
      <c r="E1740">
        <v>40</v>
      </c>
      <c r="F1740">
        <v>39.391544342000003</v>
      </c>
      <c r="G1740">
        <v>1337.7282714999999</v>
      </c>
      <c r="H1740">
        <v>1335.7001952999999</v>
      </c>
      <c r="I1740">
        <v>1327.2713623</v>
      </c>
      <c r="J1740">
        <v>1325.7874756000001</v>
      </c>
      <c r="K1740">
        <v>1650</v>
      </c>
      <c r="L1740">
        <v>0</v>
      </c>
      <c r="M1740">
        <v>0</v>
      </c>
      <c r="N1740">
        <v>1650</v>
      </c>
    </row>
    <row r="1741" spans="1:14" x14ac:dyDescent="0.25">
      <c r="A1741">
        <v>1115.7193629999999</v>
      </c>
      <c r="B1741" s="1">
        <f>DATE(2013,5,20) + TIME(17,15,52)</f>
        <v>41414.719351851854</v>
      </c>
      <c r="C1741">
        <v>80</v>
      </c>
      <c r="D1741">
        <v>79.970352172999995</v>
      </c>
      <c r="E1741">
        <v>40</v>
      </c>
      <c r="F1741">
        <v>39.379844665999997</v>
      </c>
      <c r="G1741">
        <v>1337.7229004000001</v>
      </c>
      <c r="H1741">
        <v>1335.699707</v>
      </c>
      <c r="I1741">
        <v>1327.2696533000001</v>
      </c>
      <c r="J1741">
        <v>1325.784668</v>
      </c>
      <c r="K1741">
        <v>1650</v>
      </c>
      <c r="L1741">
        <v>0</v>
      </c>
      <c r="M1741">
        <v>0</v>
      </c>
      <c r="N1741">
        <v>1650</v>
      </c>
    </row>
    <row r="1742" spans="1:14" x14ac:dyDescent="0.25">
      <c r="A1742">
        <v>1116.243428</v>
      </c>
      <c r="B1742" s="1">
        <f>DATE(2013,5,21) + TIME(5,50,32)</f>
        <v>41415.243425925924</v>
      </c>
      <c r="C1742">
        <v>80</v>
      </c>
      <c r="D1742">
        <v>79.970291137999993</v>
      </c>
      <c r="E1742">
        <v>40</v>
      </c>
      <c r="F1742">
        <v>39.368083953999999</v>
      </c>
      <c r="G1742">
        <v>1337.7176514</v>
      </c>
      <c r="H1742">
        <v>1335.6992187999999</v>
      </c>
      <c r="I1742">
        <v>1327.2679443</v>
      </c>
      <c r="J1742">
        <v>1325.7819824000001</v>
      </c>
      <c r="K1742">
        <v>1650</v>
      </c>
      <c r="L1742">
        <v>0</v>
      </c>
      <c r="M1742">
        <v>0</v>
      </c>
      <c r="N1742">
        <v>1650</v>
      </c>
    </row>
    <row r="1743" spans="1:14" x14ac:dyDescent="0.25">
      <c r="A1743">
        <v>1116.7774730000001</v>
      </c>
      <c r="B1743" s="1">
        <f>DATE(2013,5,21) + TIME(18,39,33)</f>
        <v>41415.777465277781</v>
      </c>
      <c r="C1743">
        <v>80</v>
      </c>
      <c r="D1743">
        <v>79.970230103000006</v>
      </c>
      <c r="E1743">
        <v>40</v>
      </c>
      <c r="F1743">
        <v>39.356243134000003</v>
      </c>
      <c r="G1743">
        <v>1337.7124022999999</v>
      </c>
      <c r="H1743">
        <v>1335.6987305</v>
      </c>
      <c r="I1743">
        <v>1327.2662353999999</v>
      </c>
      <c r="J1743">
        <v>1325.7790527</v>
      </c>
      <c r="K1743">
        <v>1650</v>
      </c>
      <c r="L1743">
        <v>0</v>
      </c>
      <c r="M1743">
        <v>0</v>
      </c>
      <c r="N1743">
        <v>1650</v>
      </c>
    </row>
    <row r="1744" spans="1:14" x14ac:dyDescent="0.25">
      <c r="A1744">
        <v>1117.3234239999999</v>
      </c>
      <c r="B1744" s="1">
        <f>DATE(2013,5,22) + TIME(7,45,43)</f>
        <v>41416.323414351849</v>
      </c>
      <c r="C1744">
        <v>80</v>
      </c>
      <c r="D1744">
        <v>79.970169067</v>
      </c>
      <c r="E1744">
        <v>40</v>
      </c>
      <c r="F1744">
        <v>39.344299315999997</v>
      </c>
      <c r="G1744">
        <v>1337.7071533000001</v>
      </c>
      <c r="H1744">
        <v>1335.6982422000001</v>
      </c>
      <c r="I1744">
        <v>1327.2644043</v>
      </c>
      <c r="J1744">
        <v>1325.7761230000001</v>
      </c>
      <c r="K1744">
        <v>1650</v>
      </c>
      <c r="L1744">
        <v>0</v>
      </c>
      <c r="M1744">
        <v>0</v>
      </c>
      <c r="N1744">
        <v>1650</v>
      </c>
    </row>
    <row r="1745" spans="1:14" x14ac:dyDescent="0.25">
      <c r="A1745">
        <v>1117.883319</v>
      </c>
      <c r="B1745" s="1">
        <f>DATE(2013,5,22) + TIME(21,11,58)</f>
        <v>41416.883310185185</v>
      </c>
      <c r="C1745">
        <v>80</v>
      </c>
      <c r="D1745">
        <v>79.970108031999999</v>
      </c>
      <c r="E1745">
        <v>40</v>
      </c>
      <c r="F1745">
        <v>39.332233428999999</v>
      </c>
      <c r="G1745">
        <v>1337.7020264</v>
      </c>
      <c r="H1745">
        <v>1335.697876</v>
      </c>
      <c r="I1745">
        <v>1327.2625731999999</v>
      </c>
      <c r="J1745">
        <v>1325.7730713000001</v>
      </c>
      <c r="K1745">
        <v>1650</v>
      </c>
      <c r="L1745">
        <v>0</v>
      </c>
      <c r="M1745">
        <v>0</v>
      </c>
      <c r="N1745">
        <v>1650</v>
      </c>
    </row>
    <row r="1746" spans="1:14" x14ac:dyDescent="0.25">
      <c r="A1746">
        <v>1118.4594770000001</v>
      </c>
      <c r="B1746" s="1">
        <f>DATE(2013,5,23) + TIME(11,1,38)</f>
        <v>41417.459467592591</v>
      </c>
      <c r="C1746">
        <v>80</v>
      </c>
      <c r="D1746">
        <v>79.970046996999997</v>
      </c>
      <c r="E1746">
        <v>40</v>
      </c>
      <c r="F1746">
        <v>39.320011139000002</v>
      </c>
      <c r="G1746">
        <v>1337.6968993999999</v>
      </c>
      <c r="H1746">
        <v>1335.6975098</v>
      </c>
      <c r="I1746">
        <v>1327.2606201000001</v>
      </c>
      <c r="J1746">
        <v>1325.7697754000001</v>
      </c>
      <c r="K1746">
        <v>1650</v>
      </c>
      <c r="L1746">
        <v>0</v>
      </c>
      <c r="M1746">
        <v>0</v>
      </c>
      <c r="N1746">
        <v>1650</v>
      </c>
    </row>
    <row r="1747" spans="1:14" x14ac:dyDescent="0.25">
      <c r="A1747">
        <v>1119.0543789999999</v>
      </c>
      <c r="B1747" s="1">
        <f>DATE(2013,5,24) + TIME(1,18,18)</f>
        <v>41418.054375</v>
      </c>
      <c r="C1747">
        <v>80</v>
      </c>
      <c r="D1747">
        <v>79.969985961999996</v>
      </c>
      <c r="E1747">
        <v>40</v>
      </c>
      <c r="F1747">
        <v>39.307601929</v>
      </c>
      <c r="G1747">
        <v>1337.6917725000001</v>
      </c>
      <c r="H1747">
        <v>1335.6970214999999</v>
      </c>
      <c r="I1747">
        <v>1327.2585449000001</v>
      </c>
      <c r="J1747">
        <v>1325.7664795000001</v>
      </c>
      <c r="K1747">
        <v>1650</v>
      </c>
      <c r="L1747">
        <v>0</v>
      </c>
      <c r="M1747">
        <v>0</v>
      </c>
      <c r="N1747">
        <v>1650</v>
      </c>
    </row>
    <row r="1748" spans="1:14" x14ac:dyDescent="0.25">
      <c r="A1748">
        <v>1119.6689260000001</v>
      </c>
      <c r="B1748" s="1">
        <f>DATE(2013,5,24) + TIME(16,3,15)</f>
        <v>41418.668923611112</v>
      </c>
      <c r="C1748">
        <v>80</v>
      </c>
      <c r="D1748">
        <v>79.969924926999994</v>
      </c>
      <c r="E1748">
        <v>40</v>
      </c>
      <c r="F1748">
        <v>39.295001984000002</v>
      </c>
      <c r="G1748">
        <v>1337.6866454999999</v>
      </c>
      <c r="H1748">
        <v>1335.6966553</v>
      </c>
      <c r="I1748">
        <v>1327.2564697</v>
      </c>
      <c r="J1748">
        <v>1325.7629394999999</v>
      </c>
      <c r="K1748">
        <v>1650</v>
      </c>
      <c r="L1748">
        <v>0</v>
      </c>
      <c r="M1748">
        <v>0</v>
      </c>
      <c r="N1748">
        <v>1650</v>
      </c>
    </row>
    <row r="1749" spans="1:14" x14ac:dyDescent="0.25">
      <c r="A1749">
        <v>1120.28853</v>
      </c>
      <c r="B1749" s="1">
        <f>DATE(2013,5,25) + TIME(6,55,28)</f>
        <v>41419.288518518515</v>
      </c>
      <c r="C1749">
        <v>80</v>
      </c>
      <c r="D1749">
        <v>79.969863892000006</v>
      </c>
      <c r="E1749">
        <v>40</v>
      </c>
      <c r="F1749">
        <v>39.282417297000002</v>
      </c>
      <c r="G1749">
        <v>1337.6815185999999</v>
      </c>
      <c r="H1749">
        <v>1335.6962891000001</v>
      </c>
      <c r="I1749">
        <v>1327.2541504000001</v>
      </c>
      <c r="J1749">
        <v>1325.7592772999999</v>
      </c>
      <c r="K1749">
        <v>1650</v>
      </c>
      <c r="L1749">
        <v>0</v>
      </c>
      <c r="M1749">
        <v>0</v>
      </c>
      <c r="N1749">
        <v>1650</v>
      </c>
    </row>
    <row r="1750" spans="1:14" x14ac:dyDescent="0.25">
      <c r="A1750">
        <v>1120.915448</v>
      </c>
      <c r="B1750" s="1">
        <f>DATE(2013,5,25) + TIME(21,58,14)</f>
        <v>41419.915439814817</v>
      </c>
      <c r="C1750">
        <v>80</v>
      </c>
      <c r="D1750">
        <v>79.969802856000001</v>
      </c>
      <c r="E1750">
        <v>40</v>
      </c>
      <c r="F1750">
        <v>39.26984787</v>
      </c>
      <c r="G1750">
        <v>1337.6763916</v>
      </c>
      <c r="H1750">
        <v>1335.6959228999999</v>
      </c>
      <c r="I1750">
        <v>1327.2519531</v>
      </c>
      <c r="J1750">
        <v>1325.7554932</v>
      </c>
      <c r="K1750">
        <v>1650</v>
      </c>
      <c r="L1750">
        <v>0</v>
      </c>
      <c r="M1750">
        <v>0</v>
      </c>
      <c r="N1750">
        <v>1650</v>
      </c>
    </row>
    <row r="1751" spans="1:14" x14ac:dyDescent="0.25">
      <c r="A1751">
        <v>1121.5522120000001</v>
      </c>
      <c r="B1751" s="1">
        <f>DATE(2013,5,26) + TIME(13,15,11)</f>
        <v>41420.552210648151</v>
      </c>
      <c r="C1751">
        <v>80</v>
      </c>
      <c r="D1751">
        <v>79.969741821</v>
      </c>
      <c r="E1751">
        <v>40</v>
      </c>
      <c r="F1751">
        <v>39.257286071999999</v>
      </c>
      <c r="G1751">
        <v>1337.6715088000001</v>
      </c>
      <c r="H1751">
        <v>1335.6955565999999</v>
      </c>
      <c r="I1751">
        <v>1327.2496338000001</v>
      </c>
      <c r="J1751">
        <v>1325.7515868999999</v>
      </c>
      <c r="K1751">
        <v>1650</v>
      </c>
      <c r="L1751">
        <v>0</v>
      </c>
      <c r="M1751">
        <v>0</v>
      </c>
      <c r="N1751">
        <v>1650</v>
      </c>
    </row>
    <row r="1752" spans="1:14" x14ac:dyDescent="0.25">
      <c r="A1752">
        <v>1122.2017040000001</v>
      </c>
      <c r="B1752" s="1">
        <f>DATE(2013,5,27) + TIME(4,50,27)</f>
        <v>41421.201701388891</v>
      </c>
      <c r="C1752">
        <v>80</v>
      </c>
      <c r="D1752">
        <v>79.969680785999998</v>
      </c>
      <c r="E1752">
        <v>40</v>
      </c>
      <c r="F1752">
        <v>39.244705199999999</v>
      </c>
      <c r="G1752">
        <v>1337.6665039</v>
      </c>
      <c r="H1752">
        <v>1335.6951904</v>
      </c>
      <c r="I1752">
        <v>1327.2471923999999</v>
      </c>
      <c r="J1752">
        <v>1325.7476807</v>
      </c>
      <c r="K1752">
        <v>1650</v>
      </c>
      <c r="L1752">
        <v>0</v>
      </c>
      <c r="M1752">
        <v>0</v>
      </c>
      <c r="N1752">
        <v>1650</v>
      </c>
    </row>
    <row r="1753" spans="1:14" x14ac:dyDescent="0.25">
      <c r="A1753">
        <v>1122.8670059999999</v>
      </c>
      <c r="B1753" s="1">
        <f>DATE(2013,5,27) + TIME(20,48,29)</f>
        <v>41421.867002314815</v>
      </c>
      <c r="C1753">
        <v>80</v>
      </c>
      <c r="D1753">
        <v>79.969627380000006</v>
      </c>
      <c r="E1753">
        <v>40</v>
      </c>
      <c r="F1753">
        <v>39.232082366999997</v>
      </c>
      <c r="G1753">
        <v>1337.6616211</v>
      </c>
      <c r="H1753">
        <v>1335.6948242000001</v>
      </c>
      <c r="I1753">
        <v>1327.244751</v>
      </c>
      <c r="J1753">
        <v>1325.7435303</v>
      </c>
      <c r="K1753">
        <v>1650</v>
      </c>
      <c r="L1753">
        <v>0</v>
      </c>
      <c r="M1753">
        <v>0</v>
      </c>
      <c r="N1753">
        <v>1650</v>
      </c>
    </row>
    <row r="1754" spans="1:14" x14ac:dyDescent="0.25">
      <c r="A1754">
        <v>1123.5550860000001</v>
      </c>
      <c r="B1754" s="1">
        <f>DATE(2013,5,28) + TIME(13,19,19)</f>
        <v>41422.555081018516</v>
      </c>
      <c r="C1754">
        <v>80</v>
      </c>
      <c r="D1754">
        <v>79.969566345000004</v>
      </c>
      <c r="E1754">
        <v>40</v>
      </c>
      <c r="F1754">
        <v>39.219341278000002</v>
      </c>
      <c r="G1754">
        <v>1337.6567382999999</v>
      </c>
      <c r="H1754">
        <v>1335.6944579999999</v>
      </c>
      <c r="I1754">
        <v>1327.2421875</v>
      </c>
      <c r="J1754">
        <v>1325.7392577999999</v>
      </c>
      <c r="K1754">
        <v>1650</v>
      </c>
      <c r="L1754">
        <v>0</v>
      </c>
      <c r="M1754">
        <v>0</v>
      </c>
      <c r="N1754">
        <v>1650</v>
      </c>
    </row>
    <row r="1755" spans="1:14" x14ac:dyDescent="0.25">
      <c r="A1755">
        <v>1124.2757449999999</v>
      </c>
      <c r="B1755" s="1">
        <f>DATE(2013,5,29) + TIME(6,37,4)</f>
        <v>41423.275740740741</v>
      </c>
      <c r="C1755">
        <v>80</v>
      </c>
      <c r="D1755">
        <v>79.969505310000002</v>
      </c>
      <c r="E1755">
        <v>40</v>
      </c>
      <c r="F1755">
        <v>39.206371306999998</v>
      </c>
      <c r="G1755">
        <v>1337.6517334</v>
      </c>
      <c r="H1755">
        <v>1335.6939697</v>
      </c>
      <c r="I1755">
        <v>1327.2395019999999</v>
      </c>
      <c r="J1755">
        <v>1325.7347411999999</v>
      </c>
      <c r="K1755">
        <v>1650</v>
      </c>
      <c r="L1755">
        <v>0</v>
      </c>
      <c r="M1755">
        <v>0</v>
      </c>
      <c r="N1755">
        <v>1650</v>
      </c>
    </row>
    <row r="1756" spans="1:14" x14ac:dyDescent="0.25">
      <c r="A1756">
        <v>1125.0350060000001</v>
      </c>
      <c r="B1756" s="1">
        <f>DATE(2013,5,30) + TIME(0,50,24)</f>
        <v>41424.035000000003</v>
      </c>
      <c r="C1756">
        <v>80</v>
      </c>
      <c r="D1756">
        <v>79.969451903999996</v>
      </c>
      <c r="E1756">
        <v>40</v>
      </c>
      <c r="F1756">
        <v>39.193111420000001</v>
      </c>
      <c r="G1756">
        <v>1337.6467285000001</v>
      </c>
      <c r="H1756">
        <v>1335.6936035000001</v>
      </c>
      <c r="I1756">
        <v>1327.2366943</v>
      </c>
      <c r="J1756">
        <v>1325.7299805</v>
      </c>
      <c r="K1756">
        <v>1650</v>
      </c>
      <c r="L1756">
        <v>0</v>
      </c>
      <c r="M1756">
        <v>0</v>
      </c>
      <c r="N1756">
        <v>1650</v>
      </c>
    </row>
    <row r="1757" spans="1:14" x14ac:dyDescent="0.25">
      <c r="A1757">
        <v>1125.822553</v>
      </c>
      <c r="B1757" s="1">
        <f>DATE(2013,5,30) + TIME(19,44,28)</f>
        <v>41424.822546296295</v>
      </c>
      <c r="C1757">
        <v>80</v>
      </c>
      <c r="D1757">
        <v>79.969390868999994</v>
      </c>
      <c r="E1757">
        <v>40</v>
      </c>
      <c r="F1757">
        <v>39.179683685000001</v>
      </c>
      <c r="G1757">
        <v>1337.6416016000001</v>
      </c>
      <c r="H1757">
        <v>1335.6932373</v>
      </c>
      <c r="I1757">
        <v>1327.2337646000001</v>
      </c>
      <c r="J1757">
        <v>1325.7249756000001</v>
      </c>
      <c r="K1757">
        <v>1650</v>
      </c>
      <c r="L1757">
        <v>0</v>
      </c>
      <c r="M1757">
        <v>0</v>
      </c>
      <c r="N1757">
        <v>1650</v>
      </c>
    </row>
    <row r="1758" spans="1:14" x14ac:dyDescent="0.25">
      <c r="A1758">
        <v>1126.6132170000001</v>
      </c>
      <c r="B1758" s="1">
        <f>DATE(2013,5,31) + TIME(14,43,1)</f>
        <v>41425.613206018519</v>
      </c>
      <c r="C1758">
        <v>80</v>
      </c>
      <c r="D1758">
        <v>79.969329834000007</v>
      </c>
      <c r="E1758">
        <v>40</v>
      </c>
      <c r="F1758">
        <v>39.166385650999999</v>
      </c>
      <c r="G1758">
        <v>1337.6363524999999</v>
      </c>
      <c r="H1758">
        <v>1335.692749</v>
      </c>
      <c r="I1758">
        <v>1327.2305908000001</v>
      </c>
      <c r="J1758">
        <v>1325.7197266000001</v>
      </c>
      <c r="K1758">
        <v>1650</v>
      </c>
      <c r="L1758">
        <v>0</v>
      </c>
      <c r="M1758">
        <v>0</v>
      </c>
      <c r="N1758">
        <v>1650</v>
      </c>
    </row>
    <row r="1759" spans="1:14" x14ac:dyDescent="0.25">
      <c r="A1759">
        <v>1127</v>
      </c>
      <c r="B1759" s="1">
        <f>DATE(2013,6,1) + TIME(0,0,0)</f>
        <v>41426</v>
      </c>
      <c r="C1759">
        <v>80</v>
      </c>
      <c r="D1759">
        <v>79.969284058</v>
      </c>
      <c r="E1759">
        <v>40</v>
      </c>
      <c r="F1759">
        <v>39.158470154</v>
      </c>
      <c r="G1759">
        <v>1337.6313477000001</v>
      </c>
      <c r="H1759">
        <v>1335.6923827999999</v>
      </c>
      <c r="I1759">
        <v>1327.2276611</v>
      </c>
      <c r="J1759">
        <v>1325.7148437999999</v>
      </c>
      <c r="K1759">
        <v>1650</v>
      </c>
      <c r="L1759">
        <v>0</v>
      </c>
      <c r="M1759">
        <v>0</v>
      </c>
      <c r="N1759">
        <v>1650</v>
      </c>
    </row>
    <row r="1760" spans="1:14" x14ac:dyDescent="0.25">
      <c r="A1760">
        <v>1127.7963130000001</v>
      </c>
      <c r="B1760" s="1">
        <f>DATE(2013,6,1) + TIME(19,6,41)</f>
        <v>41426.796307870369</v>
      </c>
      <c r="C1760">
        <v>80</v>
      </c>
      <c r="D1760">
        <v>79.969238281000003</v>
      </c>
      <c r="E1760">
        <v>40</v>
      </c>
      <c r="F1760">
        <v>39.146110534999998</v>
      </c>
      <c r="G1760">
        <v>1337.6289062000001</v>
      </c>
      <c r="H1760">
        <v>1335.6921387</v>
      </c>
      <c r="I1760">
        <v>1327.2257079999999</v>
      </c>
      <c r="J1760">
        <v>1325.7113036999999</v>
      </c>
      <c r="K1760">
        <v>1650</v>
      </c>
      <c r="L1760">
        <v>0</v>
      </c>
      <c r="M1760">
        <v>0</v>
      </c>
      <c r="N1760">
        <v>1650</v>
      </c>
    </row>
    <row r="1761" spans="1:14" x14ac:dyDescent="0.25">
      <c r="A1761">
        <v>1128.60825</v>
      </c>
      <c r="B1761" s="1">
        <f>DATE(2013,6,2) + TIME(14,35,52)</f>
        <v>41427.608240740738</v>
      </c>
      <c r="C1761">
        <v>80</v>
      </c>
      <c r="D1761">
        <v>79.969184874999996</v>
      </c>
      <c r="E1761">
        <v>40</v>
      </c>
      <c r="F1761">
        <v>39.133712768999999</v>
      </c>
      <c r="G1761">
        <v>1337.6239014</v>
      </c>
      <c r="H1761">
        <v>1335.6917725000001</v>
      </c>
      <c r="I1761">
        <v>1327.2225341999999</v>
      </c>
      <c r="J1761">
        <v>1325.7059326000001</v>
      </c>
      <c r="K1761">
        <v>1650</v>
      </c>
      <c r="L1761">
        <v>0</v>
      </c>
      <c r="M1761">
        <v>0</v>
      </c>
      <c r="N1761">
        <v>1650</v>
      </c>
    </row>
    <row r="1762" spans="1:14" x14ac:dyDescent="0.25">
      <c r="A1762">
        <v>1129.434616</v>
      </c>
      <c r="B1762" s="1">
        <f>DATE(2013,6,3) + TIME(10,25,50)</f>
        <v>41428.434606481482</v>
      </c>
      <c r="C1762">
        <v>80</v>
      </c>
      <c r="D1762">
        <v>79.969131469999994</v>
      </c>
      <c r="E1762">
        <v>40</v>
      </c>
      <c r="F1762">
        <v>39.121398925999998</v>
      </c>
      <c r="G1762">
        <v>1337.6190185999999</v>
      </c>
      <c r="H1762">
        <v>1335.6912841999999</v>
      </c>
      <c r="I1762">
        <v>1327.2192382999999</v>
      </c>
      <c r="J1762">
        <v>1325.7003173999999</v>
      </c>
      <c r="K1762">
        <v>1650</v>
      </c>
      <c r="L1762">
        <v>0</v>
      </c>
      <c r="M1762">
        <v>0</v>
      </c>
      <c r="N1762">
        <v>1650</v>
      </c>
    </row>
    <row r="1763" spans="1:14" x14ac:dyDescent="0.25">
      <c r="A1763">
        <v>1130.278716</v>
      </c>
      <c r="B1763" s="1">
        <f>DATE(2013,6,4) + TIME(6,41,21)</f>
        <v>41429.278715277775</v>
      </c>
      <c r="C1763">
        <v>80</v>
      </c>
      <c r="D1763">
        <v>79.969078064000001</v>
      </c>
      <c r="E1763">
        <v>40</v>
      </c>
      <c r="F1763">
        <v>39.109230042</v>
      </c>
      <c r="G1763">
        <v>1337.6142577999999</v>
      </c>
      <c r="H1763">
        <v>1335.690918</v>
      </c>
      <c r="I1763">
        <v>1327.2158202999999</v>
      </c>
      <c r="J1763">
        <v>1325.6944579999999</v>
      </c>
      <c r="K1763">
        <v>1650</v>
      </c>
      <c r="L1763">
        <v>0</v>
      </c>
      <c r="M1763">
        <v>0</v>
      </c>
      <c r="N1763">
        <v>1650</v>
      </c>
    </row>
    <row r="1764" spans="1:14" x14ac:dyDescent="0.25">
      <c r="A1764">
        <v>1131.144061</v>
      </c>
      <c r="B1764" s="1">
        <f>DATE(2013,6,5) + TIME(3,27,26)</f>
        <v>41430.144050925926</v>
      </c>
      <c r="C1764">
        <v>80</v>
      </c>
      <c r="D1764">
        <v>79.969024657999995</v>
      </c>
      <c r="E1764">
        <v>40</v>
      </c>
      <c r="F1764">
        <v>39.097248077000003</v>
      </c>
      <c r="G1764">
        <v>1337.6094971</v>
      </c>
      <c r="H1764">
        <v>1335.6904297000001</v>
      </c>
      <c r="I1764">
        <v>1327.2122803</v>
      </c>
      <c r="J1764">
        <v>1325.6883545000001</v>
      </c>
      <c r="K1764">
        <v>1650</v>
      </c>
      <c r="L1764">
        <v>0</v>
      </c>
      <c r="M1764">
        <v>0</v>
      </c>
      <c r="N1764">
        <v>1650</v>
      </c>
    </row>
    <row r="1765" spans="1:14" x14ac:dyDescent="0.25">
      <c r="A1765">
        <v>1132.034506</v>
      </c>
      <c r="B1765" s="1">
        <f>DATE(2013,6,6) + TIME(0,49,41)</f>
        <v>41431.034502314818</v>
      </c>
      <c r="C1765">
        <v>80</v>
      </c>
      <c r="D1765">
        <v>79.968971252000003</v>
      </c>
      <c r="E1765">
        <v>40</v>
      </c>
      <c r="F1765">
        <v>39.085487366000002</v>
      </c>
      <c r="G1765">
        <v>1337.6046143000001</v>
      </c>
      <c r="H1765">
        <v>1335.6900635</v>
      </c>
      <c r="I1765">
        <v>1327.2086182</v>
      </c>
      <c r="J1765">
        <v>1325.6821289</v>
      </c>
      <c r="K1765">
        <v>1650</v>
      </c>
      <c r="L1765">
        <v>0</v>
      </c>
      <c r="M1765">
        <v>0</v>
      </c>
      <c r="N1765">
        <v>1650</v>
      </c>
    </row>
    <row r="1766" spans="1:14" x14ac:dyDescent="0.25">
      <c r="A1766">
        <v>1132.946164</v>
      </c>
      <c r="B1766" s="1">
        <f>DATE(2013,6,6) + TIME(22,42,28)</f>
        <v>41431.946157407408</v>
      </c>
      <c r="C1766">
        <v>80</v>
      </c>
      <c r="D1766">
        <v>79.968925475999995</v>
      </c>
      <c r="E1766">
        <v>40</v>
      </c>
      <c r="F1766">
        <v>39.074043273999997</v>
      </c>
      <c r="G1766">
        <v>1337.5998535000001</v>
      </c>
      <c r="H1766">
        <v>1335.6895752</v>
      </c>
      <c r="I1766">
        <v>1327.2049560999999</v>
      </c>
      <c r="J1766">
        <v>1325.6755370999999</v>
      </c>
      <c r="K1766">
        <v>1650</v>
      </c>
      <c r="L1766">
        <v>0</v>
      </c>
      <c r="M1766">
        <v>0</v>
      </c>
      <c r="N1766">
        <v>1650</v>
      </c>
    </row>
    <row r="1767" spans="1:14" x14ac:dyDescent="0.25">
      <c r="A1767">
        <v>1133.877833</v>
      </c>
      <c r="B1767" s="1">
        <f>DATE(2013,6,7) + TIME(21,4,4)</f>
        <v>41432.877824074072</v>
      </c>
      <c r="C1767">
        <v>80</v>
      </c>
      <c r="D1767">
        <v>79.968872070000003</v>
      </c>
      <c r="E1767">
        <v>40</v>
      </c>
      <c r="F1767">
        <v>39.062999724999997</v>
      </c>
      <c r="G1767">
        <v>1337.5950928</v>
      </c>
      <c r="H1767">
        <v>1335.6890868999999</v>
      </c>
      <c r="I1767">
        <v>1327.2010498</v>
      </c>
      <c r="J1767">
        <v>1325.6688231999999</v>
      </c>
      <c r="K1767">
        <v>1650</v>
      </c>
      <c r="L1767">
        <v>0</v>
      </c>
      <c r="M1767">
        <v>0</v>
      </c>
      <c r="N1767">
        <v>1650</v>
      </c>
    </row>
    <row r="1768" spans="1:14" x14ac:dyDescent="0.25">
      <c r="A1768">
        <v>1134.840279</v>
      </c>
      <c r="B1768" s="1">
        <f>DATE(2013,6,8) + TIME(20,10,0)</f>
        <v>41433.840277777781</v>
      </c>
      <c r="C1768">
        <v>80</v>
      </c>
      <c r="D1768">
        <v>79.968818665000001</v>
      </c>
      <c r="E1768">
        <v>40</v>
      </c>
      <c r="F1768">
        <v>39.052383423000002</v>
      </c>
      <c r="G1768">
        <v>1337.590332</v>
      </c>
      <c r="H1768">
        <v>1335.6885986</v>
      </c>
      <c r="I1768">
        <v>1327.1971435999999</v>
      </c>
      <c r="J1768">
        <v>1325.6618652</v>
      </c>
      <c r="K1768">
        <v>1650</v>
      </c>
      <c r="L1768">
        <v>0</v>
      </c>
      <c r="M1768">
        <v>0</v>
      </c>
      <c r="N1768">
        <v>1650</v>
      </c>
    </row>
    <row r="1769" spans="1:14" x14ac:dyDescent="0.25">
      <c r="A1769">
        <v>1135.838424</v>
      </c>
      <c r="B1769" s="1">
        <f>DATE(2013,6,9) + TIME(20,7,19)</f>
        <v>41434.838414351849</v>
      </c>
      <c r="C1769">
        <v>80</v>
      </c>
      <c r="D1769">
        <v>79.968772888000004</v>
      </c>
      <c r="E1769">
        <v>40</v>
      </c>
      <c r="F1769">
        <v>39.042243958</v>
      </c>
      <c r="G1769">
        <v>1337.5855713000001</v>
      </c>
      <c r="H1769">
        <v>1335.6881103999999</v>
      </c>
      <c r="I1769">
        <v>1327.1929932</v>
      </c>
      <c r="J1769">
        <v>1325.6546631000001</v>
      </c>
      <c r="K1769">
        <v>1650</v>
      </c>
      <c r="L1769">
        <v>0</v>
      </c>
      <c r="M1769">
        <v>0</v>
      </c>
      <c r="N1769">
        <v>1650</v>
      </c>
    </row>
    <row r="1770" spans="1:14" x14ac:dyDescent="0.25">
      <c r="A1770">
        <v>1136.8619329999999</v>
      </c>
      <c r="B1770" s="1">
        <f>DATE(2013,6,10) + TIME(20,41,11)</f>
        <v>41435.861932870372</v>
      </c>
      <c r="C1770">
        <v>80</v>
      </c>
      <c r="D1770">
        <v>79.968719481999997</v>
      </c>
      <c r="E1770">
        <v>40</v>
      </c>
      <c r="F1770">
        <v>39.032752991000002</v>
      </c>
      <c r="G1770">
        <v>1337.5806885</v>
      </c>
      <c r="H1770">
        <v>1335.6876221</v>
      </c>
      <c r="I1770">
        <v>1327.1887207</v>
      </c>
      <c r="J1770">
        <v>1325.6470947</v>
      </c>
      <c r="K1770">
        <v>1650</v>
      </c>
      <c r="L1770">
        <v>0</v>
      </c>
      <c r="M1770">
        <v>0</v>
      </c>
      <c r="N1770">
        <v>1650</v>
      </c>
    </row>
    <row r="1771" spans="1:14" x14ac:dyDescent="0.25">
      <c r="A1771">
        <v>1137.9142870000001</v>
      </c>
      <c r="B1771" s="1">
        <f>DATE(2013,6,11) + TIME(21,56,34)</f>
        <v>41436.914282407408</v>
      </c>
      <c r="C1771">
        <v>80</v>
      </c>
      <c r="D1771">
        <v>79.968673706000004</v>
      </c>
      <c r="E1771">
        <v>40</v>
      </c>
      <c r="F1771">
        <v>39.024024963000002</v>
      </c>
      <c r="G1771">
        <v>1337.5758057</v>
      </c>
      <c r="H1771">
        <v>1335.6870117000001</v>
      </c>
      <c r="I1771">
        <v>1327.1843262</v>
      </c>
      <c r="J1771">
        <v>1325.6394043</v>
      </c>
      <c r="K1771">
        <v>1650</v>
      </c>
      <c r="L1771">
        <v>0</v>
      </c>
      <c r="M1771">
        <v>0</v>
      </c>
      <c r="N1771">
        <v>1650</v>
      </c>
    </row>
    <row r="1772" spans="1:14" x14ac:dyDescent="0.25">
      <c r="A1772">
        <v>1138.9803649999999</v>
      </c>
      <c r="B1772" s="1">
        <f>DATE(2013,6,12) + TIME(23,31,43)</f>
        <v>41437.980358796296</v>
      </c>
      <c r="C1772">
        <v>80</v>
      </c>
      <c r="D1772">
        <v>79.968620299999998</v>
      </c>
      <c r="E1772">
        <v>40</v>
      </c>
      <c r="F1772">
        <v>39.016284943000002</v>
      </c>
      <c r="G1772">
        <v>1337.5710449000001</v>
      </c>
      <c r="H1772">
        <v>1335.6865233999999</v>
      </c>
      <c r="I1772">
        <v>1327.1799315999999</v>
      </c>
      <c r="J1772">
        <v>1325.6313477000001</v>
      </c>
      <c r="K1772">
        <v>1650</v>
      </c>
      <c r="L1772">
        <v>0</v>
      </c>
      <c r="M1772">
        <v>0</v>
      </c>
      <c r="N1772">
        <v>1650</v>
      </c>
    </row>
    <row r="1773" spans="1:14" x14ac:dyDescent="0.25">
      <c r="A1773">
        <v>1140.068278</v>
      </c>
      <c r="B1773" s="1">
        <f>DATE(2013,6,14) + TIME(1,38,19)</f>
        <v>41439.06827546296</v>
      </c>
      <c r="C1773">
        <v>80</v>
      </c>
      <c r="D1773">
        <v>79.968574524000005</v>
      </c>
      <c r="E1773">
        <v>40</v>
      </c>
      <c r="F1773">
        <v>39.009658813000001</v>
      </c>
      <c r="G1773">
        <v>1337.5662841999999</v>
      </c>
      <c r="H1773">
        <v>1335.6859131000001</v>
      </c>
      <c r="I1773">
        <v>1327.175293</v>
      </c>
      <c r="J1773">
        <v>1325.6230469</v>
      </c>
      <c r="K1773">
        <v>1650</v>
      </c>
      <c r="L1773">
        <v>0</v>
      </c>
      <c r="M1773">
        <v>0</v>
      </c>
      <c r="N1773">
        <v>1650</v>
      </c>
    </row>
    <row r="1774" spans="1:14" x14ac:dyDescent="0.25">
      <c r="A1774">
        <v>1141.1861859999999</v>
      </c>
      <c r="B1774" s="1">
        <f>DATE(2013,6,15) + TIME(4,28,6)</f>
        <v>41440.186180555553</v>
      </c>
      <c r="C1774">
        <v>80</v>
      </c>
      <c r="D1774">
        <v>79.968528747999997</v>
      </c>
      <c r="E1774">
        <v>40</v>
      </c>
      <c r="F1774">
        <v>39.004299164000003</v>
      </c>
      <c r="G1774">
        <v>1337.5615233999999</v>
      </c>
      <c r="H1774">
        <v>1335.6853027</v>
      </c>
      <c r="I1774">
        <v>1327.1706543</v>
      </c>
      <c r="J1774">
        <v>1325.614624</v>
      </c>
      <c r="K1774">
        <v>1650</v>
      </c>
      <c r="L1774">
        <v>0</v>
      </c>
      <c r="M1774">
        <v>0</v>
      </c>
      <c r="N1774">
        <v>1650</v>
      </c>
    </row>
    <row r="1775" spans="1:14" x14ac:dyDescent="0.25">
      <c r="A1775">
        <v>1142.3428859999999</v>
      </c>
      <c r="B1775" s="1">
        <f>DATE(2013,6,16) + TIME(8,13,45)</f>
        <v>41441.342881944445</v>
      </c>
      <c r="C1775">
        <v>80</v>
      </c>
      <c r="D1775">
        <v>79.968482971</v>
      </c>
      <c r="E1775">
        <v>40</v>
      </c>
      <c r="F1775">
        <v>39.000385283999996</v>
      </c>
      <c r="G1775">
        <v>1337.5567627</v>
      </c>
      <c r="H1775">
        <v>1335.6846923999999</v>
      </c>
      <c r="I1775">
        <v>1327.1658935999999</v>
      </c>
      <c r="J1775">
        <v>1325.605957</v>
      </c>
      <c r="K1775">
        <v>1650</v>
      </c>
      <c r="L1775">
        <v>0</v>
      </c>
      <c r="M1775">
        <v>0</v>
      </c>
      <c r="N1775">
        <v>1650</v>
      </c>
    </row>
    <row r="1776" spans="1:14" x14ac:dyDescent="0.25">
      <c r="A1776">
        <v>1143.551459</v>
      </c>
      <c r="B1776" s="1">
        <f>DATE(2013,6,17) + TIME(13,14,6)</f>
        <v>41442.551458333335</v>
      </c>
      <c r="C1776">
        <v>80</v>
      </c>
      <c r="D1776">
        <v>79.968437195000007</v>
      </c>
      <c r="E1776">
        <v>40</v>
      </c>
      <c r="F1776">
        <v>38.998153686999999</v>
      </c>
      <c r="G1776">
        <v>1337.5520019999999</v>
      </c>
      <c r="H1776">
        <v>1335.684082</v>
      </c>
      <c r="I1776">
        <v>1327.1610106999999</v>
      </c>
      <c r="J1776">
        <v>1325.5969238</v>
      </c>
      <c r="K1776">
        <v>1650</v>
      </c>
      <c r="L1776">
        <v>0</v>
      </c>
      <c r="M1776">
        <v>0</v>
      </c>
      <c r="N1776">
        <v>1650</v>
      </c>
    </row>
    <row r="1777" spans="1:14" x14ac:dyDescent="0.25">
      <c r="A1777">
        <v>1144.815218</v>
      </c>
      <c r="B1777" s="1">
        <f>DATE(2013,6,18) + TIME(19,33,54)</f>
        <v>41443.815208333333</v>
      </c>
      <c r="C1777">
        <v>80</v>
      </c>
      <c r="D1777">
        <v>79.968391417999996</v>
      </c>
      <c r="E1777">
        <v>40</v>
      </c>
      <c r="F1777">
        <v>38.997943878000001</v>
      </c>
      <c r="G1777">
        <v>1337.5471190999999</v>
      </c>
      <c r="H1777">
        <v>1335.6833495999999</v>
      </c>
      <c r="I1777">
        <v>1327.1560059000001</v>
      </c>
      <c r="J1777">
        <v>1325.5875243999999</v>
      </c>
      <c r="K1777">
        <v>1650</v>
      </c>
      <c r="L1777">
        <v>0</v>
      </c>
      <c r="M1777">
        <v>0</v>
      </c>
      <c r="N1777">
        <v>1650</v>
      </c>
    </row>
    <row r="1778" spans="1:14" x14ac:dyDescent="0.25">
      <c r="A1778">
        <v>1146.0854059999999</v>
      </c>
      <c r="B1778" s="1">
        <f>DATE(2013,6,20) + TIME(2,2,59)</f>
        <v>41445.085405092592</v>
      </c>
      <c r="C1778">
        <v>80</v>
      </c>
      <c r="D1778">
        <v>79.968353270999998</v>
      </c>
      <c r="E1778">
        <v>40</v>
      </c>
      <c r="F1778">
        <v>39.000137328999998</v>
      </c>
      <c r="G1778">
        <v>1337.5422363</v>
      </c>
      <c r="H1778">
        <v>1335.6826172000001</v>
      </c>
      <c r="I1778">
        <v>1327.1507568</v>
      </c>
      <c r="J1778">
        <v>1325.5777588000001</v>
      </c>
      <c r="K1778">
        <v>1650</v>
      </c>
      <c r="L1778">
        <v>0</v>
      </c>
      <c r="M1778">
        <v>0</v>
      </c>
      <c r="N1778">
        <v>1650</v>
      </c>
    </row>
    <row r="1779" spans="1:14" x14ac:dyDescent="0.25">
      <c r="A1779">
        <v>1147.369876</v>
      </c>
      <c r="B1779" s="1">
        <f>DATE(2013,6,21) + TIME(8,52,37)</f>
        <v>41446.369872685187</v>
      </c>
      <c r="C1779">
        <v>80</v>
      </c>
      <c r="D1779">
        <v>79.968307495000005</v>
      </c>
      <c r="E1779">
        <v>40</v>
      </c>
      <c r="F1779">
        <v>39.005035399999997</v>
      </c>
      <c r="G1779">
        <v>1337.5373535000001</v>
      </c>
      <c r="H1779">
        <v>1335.6818848</v>
      </c>
      <c r="I1779">
        <v>1327.1455077999999</v>
      </c>
      <c r="J1779">
        <v>1325.5678711</v>
      </c>
      <c r="K1779">
        <v>1650</v>
      </c>
      <c r="L1779">
        <v>0</v>
      </c>
      <c r="M1779">
        <v>0</v>
      </c>
      <c r="N1779">
        <v>1650</v>
      </c>
    </row>
    <row r="1780" spans="1:14" x14ac:dyDescent="0.25">
      <c r="A1780">
        <v>1148.677183</v>
      </c>
      <c r="B1780" s="1">
        <f>DATE(2013,6,22) + TIME(16,15,8)</f>
        <v>41447.677175925928</v>
      </c>
      <c r="C1780">
        <v>80</v>
      </c>
      <c r="D1780">
        <v>79.968269348000007</v>
      </c>
      <c r="E1780">
        <v>40</v>
      </c>
      <c r="F1780">
        <v>39.012981414999999</v>
      </c>
      <c r="G1780">
        <v>1337.5327147999999</v>
      </c>
      <c r="H1780">
        <v>1335.6811522999999</v>
      </c>
      <c r="I1780">
        <v>1327.1402588000001</v>
      </c>
      <c r="J1780">
        <v>1325.5577393000001</v>
      </c>
      <c r="K1780">
        <v>1650</v>
      </c>
      <c r="L1780">
        <v>0</v>
      </c>
      <c r="M1780">
        <v>0</v>
      </c>
      <c r="N1780">
        <v>1650</v>
      </c>
    </row>
    <row r="1781" spans="1:14" x14ac:dyDescent="0.25">
      <c r="A1781">
        <v>1150.015817</v>
      </c>
      <c r="B1781" s="1">
        <f>DATE(2013,6,24) + TIME(0,22,46)</f>
        <v>41449.015810185185</v>
      </c>
      <c r="C1781">
        <v>80</v>
      </c>
      <c r="D1781">
        <v>79.968231200999995</v>
      </c>
      <c r="E1781">
        <v>40</v>
      </c>
      <c r="F1781">
        <v>39.024417876999998</v>
      </c>
      <c r="G1781">
        <v>1337.5279541</v>
      </c>
      <c r="H1781">
        <v>1335.6804199000001</v>
      </c>
      <c r="I1781">
        <v>1327.1350098</v>
      </c>
      <c r="J1781">
        <v>1325.5476074000001</v>
      </c>
      <c r="K1781">
        <v>1650</v>
      </c>
      <c r="L1781">
        <v>0</v>
      </c>
      <c r="M1781">
        <v>0</v>
      </c>
      <c r="N1781">
        <v>1650</v>
      </c>
    </row>
    <row r="1782" spans="1:14" x14ac:dyDescent="0.25">
      <c r="A1782">
        <v>1151.3893559999999</v>
      </c>
      <c r="B1782" s="1">
        <f>DATE(2013,6,25) + TIME(9,20,40)</f>
        <v>41450.389351851853</v>
      </c>
      <c r="C1782">
        <v>80</v>
      </c>
      <c r="D1782">
        <v>79.968193053999997</v>
      </c>
      <c r="E1782">
        <v>40</v>
      </c>
      <c r="F1782">
        <v>39.039890288999999</v>
      </c>
      <c r="G1782">
        <v>1337.5233154</v>
      </c>
      <c r="H1782">
        <v>1335.6795654</v>
      </c>
      <c r="I1782">
        <v>1327.1297606999999</v>
      </c>
      <c r="J1782">
        <v>1325.5372314000001</v>
      </c>
      <c r="K1782">
        <v>1650</v>
      </c>
      <c r="L1782">
        <v>0</v>
      </c>
      <c r="M1782">
        <v>0</v>
      </c>
      <c r="N1782">
        <v>1650</v>
      </c>
    </row>
    <row r="1783" spans="1:14" x14ac:dyDescent="0.25">
      <c r="A1783">
        <v>1152.7969129999999</v>
      </c>
      <c r="B1783" s="1">
        <f>DATE(2013,6,26) + TIME(19,7,33)</f>
        <v>41451.796909722223</v>
      </c>
      <c r="C1783">
        <v>80</v>
      </c>
      <c r="D1783">
        <v>79.968154906999999</v>
      </c>
      <c r="E1783">
        <v>40</v>
      </c>
      <c r="F1783">
        <v>39.060024261000002</v>
      </c>
      <c r="G1783">
        <v>1337.5186768000001</v>
      </c>
      <c r="H1783">
        <v>1335.6788329999999</v>
      </c>
      <c r="I1783">
        <v>1327.1243896000001</v>
      </c>
      <c r="J1783">
        <v>1325.5266113</v>
      </c>
      <c r="K1783">
        <v>1650</v>
      </c>
      <c r="L1783">
        <v>0</v>
      </c>
      <c r="M1783">
        <v>0</v>
      </c>
      <c r="N1783">
        <v>1650</v>
      </c>
    </row>
    <row r="1784" spans="1:14" x14ac:dyDescent="0.25">
      <c r="A1784">
        <v>1154.2486630000001</v>
      </c>
      <c r="B1784" s="1">
        <f>DATE(2013,6,28) + TIME(5,58,4)</f>
        <v>41453.248657407406</v>
      </c>
      <c r="C1784">
        <v>80</v>
      </c>
      <c r="D1784">
        <v>79.968116760000001</v>
      </c>
      <c r="E1784">
        <v>40</v>
      </c>
      <c r="F1784">
        <v>39.085605620999999</v>
      </c>
      <c r="G1784">
        <v>1337.5139160000001</v>
      </c>
      <c r="H1784">
        <v>1335.6779785000001</v>
      </c>
      <c r="I1784">
        <v>1327.1191406</v>
      </c>
      <c r="J1784">
        <v>1325.5158690999999</v>
      </c>
      <c r="K1784">
        <v>1650</v>
      </c>
      <c r="L1784">
        <v>0</v>
      </c>
      <c r="M1784">
        <v>0</v>
      </c>
      <c r="N1784">
        <v>1650</v>
      </c>
    </row>
    <row r="1785" spans="1:14" x14ac:dyDescent="0.25">
      <c r="A1785">
        <v>1155.7211629999999</v>
      </c>
      <c r="B1785" s="1">
        <f>DATE(2013,6,29) + TIME(17,18,28)</f>
        <v>41454.72115740741</v>
      </c>
      <c r="C1785">
        <v>80</v>
      </c>
      <c r="D1785">
        <v>79.968086243000002</v>
      </c>
      <c r="E1785">
        <v>40</v>
      </c>
      <c r="F1785">
        <v>39.117332458</v>
      </c>
      <c r="G1785">
        <v>1337.5092772999999</v>
      </c>
      <c r="H1785">
        <v>1335.677124</v>
      </c>
      <c r="I1785">
        <v>1327.1137695</v>
      </c>
      <c r="J1785">
        <v>1325.5048827999999</v>
      </c>
      <c r="K1785">
        <v>1650</v>
      </c>
      <c r="L1785">
        <v>0</v>
      </c>
      <c r="M1785">
        <v>0</v>
      </c>
      <c r="N1785">
        <v>1650</v>
      </c>
    </row>
    <row r="1786" spans="1:14" x14ac:dyDescent="0.25">
      <c r="A1786">
        <v>1157</v>
      </c>
      <c r="B1786" s="1">
        <f>DATE(2013,7,1) + TIME(0,0,0)</f>
        <v>41456</v>
      </c>
      <c r="C1786">
        <v>80</v>
      </c>
      <c r="D1786">
        <v>79.968048096000004</v>
      </c>
      <c r="E1786">
        <v>40</v>
      </c>
      <c r="F1786">
        <v>39.153217316000003</v>
      </c>
      <c r="G1786">
        <v>1337.5046387</v>
      </c>
      <c r="H1786">
        <v>1335.6762695</v>
      </c>
      <c r="I1786">
        <v>1327.1087646000001</v>
      </c>
      <c r="J1786">
        <v>1325.4941406</v>
      </c>
      <c r="K1786">
        <v>1650</v>
      </c>
      <c r="L1786">
        <v>0</v>
      </c>
      <c r="M1786">
        <v>0</v>
      </c>
      <c r="N1786">
        <v>1650</v>
      </c>
    </row>
    <row r="1787" spans="1:14" x14ac:dyDescent="0.25">
      <c r="A1787">
        <v>1158.4885609999999</v>
      </c>
      <c r="B1787" s="1">
        <f>DATE(2013,7,2) + TIME(11,43,31)</f>
        <v>41457.488553240742</v>
      </c>
      <c r="C1787">
        <v>80</v>
      </c>
      <c r="D1787">
        <v>79.968025208</v>
      </c>
      <c r="E1787">
        <v>40</v>
      </c>
      <c r="F1787">
        <v>39.196525573999999</v>
      </c>
      <c r="G1787">
        <v>1337.5007324000001</v>
      </c>
      <c r="H1787">
        <v>1335.6754149999999</v>
      </c>
      <c r="I1787">
        <v>1327.1038818</v>
      </c>
      <c r="J1787">
        <v>1325.4841309000001</v>
      </c>
      <c r="K1787">
        <v>1650</v>
      </c>
      <c r="L1787">
        <v>0</v>
      </c>
      <c r="M1787">
        <v>0</v>
      </c>
      <c r="N1787">
        <v>1650</v>
      </c>
    </row>
    <row r="1788" spans="1:14" x14ac:dyDescent="0.25">
      <c r="A1788">
        <v>1159.2365589999999</v>
      </c>
      <c r="B1788" s="1">
        <f>DATE(2013,7,3) + TIME(5,40,38)</f>
        <v>41458.236550925925</v>
      </c>
      <c r="C1788">
        <v>80</v>
      </c>
      <c r="D1788">
        <v>79.967987061000002</v>
      </c>
      <c r="E1788">
        <v>40</v>
      </c>
      <c r="F1788">
        <v>39.232593536000003</v>
      </c>
      <c r="G1788">
        <v>1337.4963379000001</v>
      </c>
      <c r="H1788">
        <v>1335.6745605000001</v>
      </c>
      <c r="I1788">
        <v>1327.0999756000001</v>
      </c>
      <c r="J1788">
        <v>1325.4744873</v>
      </c>
      <c r="K1788">
        <v>1650</v>
      </c>
      <c r="L1788">
        <v>0</v>
      </c>
      <c r="M1788">
        <v>0</v>
      </c>
      <c r="N1788">
        <v>1650</v>
      </c>
    </row>
    <row r="1789" spans="1:14" x14ac:dyDescent="0.25">
      <c r="A1789">
        <v>1159.9801580000001</v>
      </c>
      <c r="B1789" s="1">
        <f>DATE(2013,7,3) + TIME(23,31,25)</f>
        <v>41458.980150462965</v>
      </c>
      <c r="C1789">
        <v>80</v>
      </c>
      <c r="D1789">
        <v>79.967971801999994</v>
      </c>
      <c r="E1789">
        <v>40</v>
      </c>
      <c r="F1789">
        <v>39.267841339</v>
      </c>
      <c r="G1789">
        <v>1337.4941406</v>
      </c>
      <c r="H1789">
        <v>1335.6740723</v>
      </c>
      <c r="I1789">
        <v>1327.0969238</v>
      </c>
      <c r="J1789">
        <v>1325.4682617000001</v>
      </c>
      <c r="K1789">
        <v>1650</v>
      </c>
      <c r="L1789">
        <v>0</v>
      </c>
      <c r="M1789">
        <v>0</v>
      </c>
      <c r="N1789">
        <v>1650</v>
      </c>
    </row>
    <row r="1790" spans="1:14" x14ac:dyDescent="0.25">
      <c r="A1790">
        <v>1160.7237560000001</v>
      </c>
      <c r="B1790" s="1">
        <f>DATE(2013,7,4) + TIME(17,22,12)</f>
        <v>41459.723749999997</v>
      </c>
      <c r="C1790">
        <v>80</v>
      </c>
      <c r="D1790">
        <v>79.967948914000004</v>
      </c>
      <c r="E1790">
        <v>40</v>
      </c>
      <c r="F1790">
        <v>39.303592682000001</v>
      </c>
      <c r="G1790">
        <v>1337.4920654</v>
      </c>
      <c r="H1790">
        <v>1335.6735839999999</v>
      </c>
      <c r="I1790">
        <v>1327.0942382999999</v>
      </c>
      <c r="J1790">
        <v>1325.4624022999999</v>
      </c>
      <c r="K1790">
        <v>1650</v>
      </c>
      <c r="L1790">
        <v>0</v>
      </c>
      <c r="M1790">
        <v>0</v>
      </c>
      <c r="N1790">
        <v>1650</v>
      </c>
    </row>
    <row r="1791" spans="1:14" x14ac:dyDescent="0.25">
      <c r="A1791">
        <v>1161.4673539999999</v>
      </c>
      <c r="B1791" s="1">
        <f>DATE(2013,7,5) + TIME(11,12,59)</f>
        <v>41460.467349537037</v>
      </c>
      <c r="C1791">
        <v>80</v>
      </c>
      <c r="D1791">
        <v>79.967941284000005</v>
      </c>
      <c r="E1791">
        <v>40</v>
      </c>
      <c r="F1791">
        <v>39.340644836000003</v>
      </c>
      <c r="G1791">
        <v>1337.4898682</v>
      </c>
      <c r="H1791">
        <v>1335.6732178</v>
      </c>
      <c r="I1791">
        <v>1327.0916748</v>
      </c>
      <c r="J1791">
        <v>1325.4567870999999</v>
      </c>
      <c r="K1791">
        <v>1650</v>
      </c>
      <c r="L1791">
        <v>0</v>
      </c>
      <c r="M1791">
        <v>0</v>
      </c>
      <c r="N1791">
        <v>1650</v>
      </c>
    </row>
    <row r="1792" spans="1:14" x14ac:dyDescent="0.25">
      <c r="A1792">
        <v>1162.210953</v>
      </c>
      <c r="B1792" s="1">
        <f>DATE(2013,7,6) + TIME(5,3,46)</f>
        <v>41461.210949074077</v>
      </c>
      <c r="C1792">
        <v>80</v>
      </c>
      <c r="D1792">
        <v>79.967926024999997</v>
      </c>
      <c r="E1792">
        <v>40</v>
      </c>
      <c r="F1792">
        <v>39.379547119000001</v>
      </c>
      <c r="G1792">
        <v>1337.487793</v>
      </c>
      <c r="H1792">
        <v>1335.6727295000001</v>
      </c>
      <c r="I1792">
        <v>1327.0893555</v>
      </c>
      <c r="J1792">
        <v>1325.4515381000001</v>
      </c>
      <c r="K1792">
        <v>1650</v>
      </c>
      <c r="L1792">
        <v>0</v>
      </c>
      <c r="M1792">
        <v>0</v>
      </c>
      <c r="N1792">
        <v>1650</v>
      </c>
    </row>
    <row r="1793" spans="1:14" x14ac:dyDescent="0.25">
      <c r="A1793">
        <v>1162.954551</v>
      </c>
      <c r="B1793" s="1">
        <f>DATE(2013,7,6) + TIME(22,54,33)</f>
        <v>41461.954548611109</v>
      </c>
      <c r="C1793">
        <v>80</v>
      </c>
      <c r="D1793">
        <v>79.967910767000006</v>
      </c>
      <c r="E1793">
        <v>40</v>
      </c>
      <c r="F1793">
        <v>39.420688628999997</v>
      </c>
      <c r="G1793">
        <v>1337.4858397999999</v>
      </c>
      <c r="H1793">
        <v>1335.6722411999999</v>
      </c>
      <c r="I1793">
        <v>1327.0871582</v>
      </c>
      <c r="J1793">
        <v>1325.4462891000001</v>
      </c>
      <c r="K1793">
        <v>1650</v>
      </c>
      <c r="L1793">
        <v>0</v>
      </c>
      <c r="M1793">
        <v>0</v>
      </c>
      <c r="N1793">
        <v>1650</v>
      </c>
    </row>
    <row r="1794" spans="1:14" x14ac:dyDescent="0.25">
      <c r="A1794">
        <v>1164.441748</v>
      </c>
      <c r="B1794" s="1">
        <f>DATE(2013,7,8) + TIME(10,36,6)</f>
        <v>41463.441736111112</v>
      </c>
      <c r="C1794">
        <v>80</v>
      </c>
      <c r="D1794">
        <v>79.967910767000006</v>
      </c>
      <c r="E1794">
        <v>40</v>
      </c>
      <c r="F1794">
        <v>39.483692169000001</v>
      </c>
      <c r="G1794">
        <v>1337.4837646000001</v>
      </c>
      <c r="H1794">
        <v>1335.6717529</v>
      </c>
      <c r="I1794">
        <v>1327.0842285000001</v>
      </c>
      <c r="J1794">
        <v>1325.4405518000001</v>
      </c>
      <c r="K1794">
        <v>1650</v>
      </c>
      <c r="L1794">
        <v>0</v>
      </c>
      <c r="M1794">
        <v>0</v>
      </c>
      <c r="N1794">
        <v>1650</v>
      </c>
    </row>
    <row r="1795" spans="1:14" x14ac:dyDescent="0.25">
      <c r="A1795">
        <v>1165.93166</v>
      </c>
      <c r="B1795" s="1">
        <f>DATE(2013,7,9) + TIME(22,21,35)</f>
        <v>41464.931655092594</v>
      </c>
      <c r="C1795">
        <v>80</v>
      </c>
      <c r="D1795">
        <v>79.967887877999999</v>
      </c>
      <c r="E1795">
        <v>40</v>
      </c>
      <c r="F1795">
        <v>39.568256378000001</v>
      </c>
      <c r="G1795">
        <v>1337.4794922000001</v>
      </c>
      <c r="H1795">
        <v>1335.6706543</v>
      </c>
      <c r="I1795">
        <v>1327.0811768000001</v>
      </c>
      <c r="J1795">
        <v>1325.4318848</v>
      </c>
      <c r="K1795">
        <v>1650</v>
      </c>
      <c r="L1795">
        <v>0</v>
      </c>
      <c r="M1795">
        <v>0</v>
      </c>
      <c r="N1795">
        <v>1650</v>
      </c>
    </row>
    <row r="1796" spans="1:14" x14ac:dyDescent="0.25">
      <c r="A1796">
        <v>1167.4846640000001</v>
      </c>
      <c r="B1796" s="1">
        <f>DATE(2013,7,11) + TIME(11,37,54)</f>
        <v>41466.484652777777</v>
      </c>
      <c r="C1796">
        <v>80</v>
      </c>
      <c r="D1796">
        <v>79.967872619999994</v>
      </c>
      <c r="E1796">
        <v>40</v>
      </c>
      <c r="F1796">
        <v>39.671672821000001</v>
      </c>
      <c r="G1796">
        <v>1337.4750977000001</v>
      </c>
      <c r="H1796">
        <v>1335.6695557</v>
      </c>
      <c r="I1796">
        <v>1327.0777588000001</v>
      </c>
      <c r="J1796">
        <v>1325.4229736</v>
      </c>
      <c r="K1796">
        <v>1650</v>
      </c>
      <c r="L1796">
        <v>0</v>
      </c>
      <c r="M1796">
        <v>0</v>
      </c>
      <c r="N1796">
        <v>1650</v>
      </c>
    </row>
    <row r="1797" spans="1:14" x14ac:dyDescent="0.25">
      <c r="A1797">
        <v>1168.2714619999999</v>
      </c>
      <c r="B1797" s="1">
        <f>DATE(2013,7,12) + TIME(6,30,54)</f>
        <v>41467.271458333336</v>
      </c>
      <c r="C1797">
        <v>80</v>
      </c>
      <c r="D1797">
        <v>79.967842102000006</v>
      </c>
      <c r="E1797">
        <v>40</v>
      </c>
      <c r="F1797">
        <v>39.757408142000003</v>
      </c>
      <c r="G1797">
        <v>1337.4708252</v>
      </c>
      <c r="H1797">
        <v>1335.6683350000001</v>
      </c>
      <c r="I1797">
        <v>1327.0756836</v>
      </c>
      <c r="J1797">
        <v>1325.4147949000001</v>
      </c>
      <c r="K1797">
        <v>1650</v>
      </c>
      <c r="L1797">
        <v>0</v>
      </c>
      <c r="M1797">
        <v>0</v>
      </c>
      <c r="N1797">
        <v>1650</v>
      </c>
    </row>
    <row r="1798" spans="1:14" x14ac:dyDescent="0.25">
      <c r="A1798">
        <v>1169.7236230000001</v>
      </c>
      <c r="B1798" s="1">
        <f>DATE(2013,7,13) + TIME(17,22,1)</f>
        <v>41468.723622685182</v>
      </c>
      <c r="C1798">
        <v>80</v>
      </c>
      <c r="D1798">
        <v>79.967834472999996</v>
      </c>
      <c r="E1798">
        <v>40</v>
      </c>
      <c r="F1798">
        <v>39.870624542000002</v>
      </c>
      <c r="G1798">
        <v>1337.4686279</v>
      </c>
      <c r="H1798">
        <v>1335.6678466999999</v>
      </c>
      <c r="I1798">
        <v>1327.0725098</v>
      </c>
      <c r="J1798">
        <v>1325.4088135</v>
      </c>
      <c r="K1798">
        <v>1650</v>
      </c>
      <c r="L1798">
        <v>0</v>
      </c>
      <c r="M1798">
        <v>0</v>
      </c>
      <c r="N1798">
        <v>1650</v>
      </c>
    </row>
    <row r="1799" spans="1:14" x14ac:dyDescent="0.25">
      <c r="A1799">
        <v>1171.2776160000001</v>
      </c>
      <c r="B1799" s="1">
        <f>DATE(2013,7,15) + TIME(6,39,46)</f>
        <v>41470.277615740742</v>
      </c>
      <c r="C1799">
        <v>80</v>
      </c>
      <c r="D1799">
        <v>79.967819214000002</v>
      </c>
      <c r="E1799">
        <v>40</v>
      </c>
      <c r="F1799">
        <v>40.009223937999998</v>
      </c>
      <c r="G1799">
        <v>1337.4648437999999</v>
      </c>
      <c r="H1799">
        <v>1335.6667480000001</v>
      </c>
      <c r="I1799">
        <v>1327.0698242000001</v>
      </c>
      <c r="J1799">
        <v>1325.4008789</v>
      </c>
      <c r="K1799">
        <v>1650</v>
      </c>
      <c r="L1799">
        <v>0</v>
      </c>
      <c r="M1799">
        <v>0</v>
      </c>
      <c r="N1799">
        <v>1650</v>
      </c>
    </row>
    <row r="1800" spans="1:14" x14ac:dyDescent="0.25">
      <c r="A1800">
        <v>1172.068096</v>
      </c>
      <c r="B1800" s="1">
        <f>DATE(2013,7,16) + TIME(1,38,3)</f>
        <v>41471.068090277775</v>
      </c>
      <c r="C1800">
        <v>80</v>
      </c>
      <c r="D1800">
        <v>79.967796325999998</v>
      </c>
      <c r="E1800">
        <v>40</v>
      </c>
      <c r="F1800">
        <v>40.124900818</v>
      </c>
      <c r="G1800">
        <v>1337.4606934000001</v>
      </c>
      <c r="H1800">
        <v>1335.6656493999999</v>
      </c>
      <c r="I1800">
        <v>1327.0688477000001</v>
      </c>
      <c r="J1800">
        <v>1325.3937988</v>
      </c>
      <c r="K1800">
        <v>1650</v>
      </c>
      <c r="L1800">
        <v>0</v>
      </c>
      <c r="M1800">
        <v>0</v>
      </c>
      <c r="N1800">
        <v>1650</v>
      </c>
    </row>
    <row r="1801" spans="1:14" x14ac:dyDescent="0.25">
      <c r="A1801">
        <v>1173.582142</v>
      </c>
      <c r="B1801" s="1">
        <f>DATE(2013,7,17) + TIME(13,58,17)</f>
        <v>41472.582141203704</v>
      </c>
      <c r="C1801">
        <v>80</v>
      </c>
      <c r="D1801">
        <v>79.967788696</v>
      </c>
      <c r="E1801">
        <v>40</v>
      </c>
      <c r="F1801">
        <v>40.279006957999997</v>
      </c>
      <c r="G1801">
        <v>1337.4587402</v>
      </c>
      <c r="H1801">
        <v>1335.6650391000001</v>
      </c>
      <c r="I1801">
        <v>1327.065918</v>
      </c>
      <c r="J1801">
        <v>1325.3885498</v>
      </c>
      <c r="K1801">
        <v>1650</v>
      </c>
      <c r="L1801">
        <v>0</v>
      </c>
      <c r="M1801">
        <v>0</v>
      </c>
      <c r="N1801">
        <v>1650</v>
      </c>
    </row>
    <row r="1802" spans="1:14" x14ac:dyDescent="0.25">
      <c r="A1802">
        <v>1175.128191</v>
      </c>
      <c r="B1802" s="1">
        <f>DATE(2013,7,19) + TIME(3,4,35)</f>
        <v>41474.128182870372</v>
      </c>
      <c r="C1802">
        <v>80</v>
      </c>
      <c r="D1802">
        <v>79.967773437999995</v>
      </c>
      <c r="E1802">
        <v>40</v>
      </c>
      <c r="F1802">
        <v>40.466342926000003</v>
      </c>
      <c r="G1802">
        <v>1337.4549560999999</v>
      </c>
      <c r="H1802">
        <v>1335.6639404</v>
      </c>
      <c r="I1802">
        <v>1327.0642089999999</v>
      </c>
      <c r="J1802">
        <v>1325.3817139</v>
      </c>
      <c r="K1802">
        <v>1650</v>
      </c>
      <c r="L1802">
        <v>0</v>
      </c>
      <c r="M1802">
        <v>0</v>
      </c>
      <c r="N1802">
        <v>1650</v>
      </c>
    </row>
    <row r="1803" spans="1:14" x14ac:dyDescent="0.25">
      <c r="A1803">
        <v>1176.6799269999999</v>
      </c>
      <c r="B1803" s="1">
        <f>DATE(2013,7,20) + TIME(16,19,5)</f>
        <v>41475.679918981485</v>
      </c>
      <c r="C1803">
        <v>80</v>
      </c>
      <c r="D1803">
        <v>79.967758179</v>
      </c>
      <c r="E1803">
        <v>40</v>
      </c>
      <c r="F1803">
        <v>40.683135986000003</v>
      </c>
      <c r="G1803">
        <v>1337.4511719</v>
      </c>
      <c r="H1803">
        <v>1335.6628418</v>
      </c>
      <c r="I1803">
        <v>1327.0628661999999</v>
      </c>
      <c r="J1803">
        <v>1325.3752440999999</v>
      </c>
      <c r="K1803">
        <v>1650</v>
      </c>
      <c r="L1803">
        <v>0</v>
      </c>
      <c r="M1803">
        <v>0</v>
      </c>
      <c r="N1803">
        <v>1650</v>
      </c>
    </row>
    <row r="1804" spans="1:14" x14ac:dyDescent="0.25">
      <c r="A1804">
        <v>1178.251929</v>
      </c>
      <c r="B1804" s="1">
        <f>DATE(2013,7,22) + TIME(6,2,46)</f>
        <v>41477.251921296294</v>
      </c>
      <c r="C1804">
        <v>80</v>
      </c>
      <c r="D1804">
        <v>79.967750549000002</v>
      </c>
      <c r="E1804">
        <v>40</v>
      </c>
      <c r="F1804">
        <v>40.929367065000001</v>
      </c>
      <c r="G1804">
        <v>1337.4475098</v>
      </c>
      <c r="H1804">
        <v>1335.6617432</v>
      </c>
      <c r="I1804">
        <v>1327.0617675999999</v>
      </c>
      <c r="J1804">
        <v>1325.3693848</v>
      </c>
      <c r="K1804">
        <v>1650</v>
      </c>
      <c r="L1804">
        <v>0</v>
      </c>
      <c r="M1804">
        <v>0</v>
      </c>
      <c r="N1804">
        <v>1650</v>
      </c>
    </row>
    <row r="1805" spans="1:14" x14ac:dyDescent="0.25">
      <c r="A1805">
        <v>1179.040688</v>
      </c>
      <c r="B1805" s="1">
        <f>DATE(2013,7,23) + TIME(0,58,35)</f>
        <v>41478.040682870371</v>
      </c>
      <c r="C1805">
        <v>80</v>
      </c>
      <c r="D1805">
        <v>79.967727660999998</v>
      </c>
      <c r="E1805">
        <v>40</v>
      </c>
      <c r="F1805">
        <v>41.125133513999998</v>
      </c>
      <c r="G1805">
        <v>1337.4438477000001</v>
      </c>
      <c r="H1805">
        <v>1335.6606445</v>
      </c>
      <c r="I1805">
        <v>1327.0627440999999</v>
      </c>
      <c r="J1805">
        <v>1325.3648682</v>
      </c>
      <c r="K1805">
        <v>1650</v>
      </c>
      <c r="L1805">
        <v>0</v>
      </c>
      <c r="M1805">
        <v>0</v>
      </c>
      <c r="N1805">
        <v>1650</v>
      </c>
    </row>
    <row r="1806" spans="1:14" x14ac:dyDescent="0.25">
      <c r="A1806">
        <v>1180.524431</v>
      </c>
      <c r="B1806" s="1">
        <f>DATE(2013,7,24) + TIME(12,35,10)</f>
        <v>41479.524421296293</v>
      </c>
      <c r="C1806">
        <v>80</v>
      </c>
      <c r="D1806">
        <v>79.967727660999998</v>
      </c>
      <c r="E1806">
        <v>40</v>
      </c>
      <c r="F1806">
        <v>41.376163482999999</v>
      </c>
      <c r="G1806">
        <v>1337.4420166</v>
      </c>
      <c r="H1806">
        <v>1335.6601562000001</v>
      </c>
      <c r="I1806">
        <v>1327.0604248</v>
      </c>
      <c r="J1806">
        <v>1325.3615723</v>
      </c>
      <c r="K1806">
        <v>1650</v>
      </c>
      <c r="L1806">
        <v>0</v>
      </c>
      <c r="M1806">
        <v>0</v>
      </c>
      <c r="N1806">
        <v>1650</v>
      </c>
    </row>
    <row r="1807" spans="1:14" x14ac:dyDescent="0.25">
      <c r="A1807">
        <v>1182.066384</v>
      </c>
      <c r="B1807" s="1">
        <f>DATE(2013,7,26) + TIME(1,35,35)</f>
        <v>41481.066377314812</v>
      </c>
      <c r="C1807">
        <v>80</v>
      </c>
      <c r="D1807">
        <v>79.967720032000003</v>
      </c>
      <c r="E1807">
        <v>40</v>
      </c>
      <c r="F1807">
        <v>41.673091888000002</v>
      </c>
      <c r="G1807">
        <v>1337.4387207</v>
      </c>
      <c r="H1807">
        <v>1335.6590576000001</v>
      </c>
      <c r="I1807">
        <v>1327.0604248</v>
      </c>
      <c r="J1807">
        <v>1325.3576660000001</v>
      </c>
      <c r="K1807">
        <v>1650</v>
      </c>
      <c r="L1807">
        <v>0</v>
      </c>
      <c r="M1807">
        <v>0</v>
      </c>
      <c r="N1807">
        <v>1650</v>
      </c>
    </row>
    <row r="1808" spans="1:14" x14ac:dyDescent="0.25">
      <c r="A1808">
        <v>1183.6255630000001</v>
      </c>
      <c r="B1808" s="1">
        <f>DATE(2013,7,27) + TIME(15,0,48)</f>
        <v>41482.625555555554</v>
      </c>
      <c r="C1808">
        <v>80</v>
      </c>
      <c r="D1808">
        <v>79.967712402000004</v>
      </c>
      <c r="E1808">
        <v>40</v>
      </c>
      <c r="F1808">
        <v>42.012161255000002</v>
      </c>
      <c r="G1808">
        <v>1337.4353027</v>
      </c>
      <c r="H1808">
        <v>1335.6580810999999</v>
      </c>
      <c r="I1808">
        <v>1327.0609131000001</v>
      </c>
      <c r="J1808">
        <v>1325.3544922000001</v>
      </c>
      <c r="K1808">
        <v>1650</v>
      </c>
      <c r="L1808">
        <v>0</v>
      </c>
      <c r="M1808">
        <v>0</v>
      </c>
      <c r="N1808">
        <v>1650</v>
      </c>
    </row>
    <row r="1809" spans="1:14" x14ac:dyDescent="0.25">
      <c r="A1809">
        <v>1184.4204789999999</v>
      </c>
      <c r="B1809" s="1">
        <f>DATE(2013,7,28) + TIME(10,5,29)</f>
        <v>41483.420474537037</v>
      </c>
      <c r="C1809">
        <v>80</v>
      </c>
      <c r="D1809">
        <v>79.967689514</v>
      </c>
      <c r="E1809">
        <v>40</v>
      </c>
      <c r="F1809">
        <v>42.281665801999999</v>
      </c>
      <c r="G1809">
        <v>1337.4320068</v>
      </c>
      <c r="H1809">
        <v>1335.6569824000001</v>
      </c>
      <c r="I1809">
        <v>1327.0637207</v>
      </c>
      <c r="J1809">
        <v>1325.3526611</v>
      </c>
      <c r="K1809">
        <v>1650</v>
      </c>
      <c r="L1809">
        <v>0</v>
      </c>
      <c r="M1809">
        <v>0</v>
      </c>
      <c r="N1809">
        <v>1650</v>
      </c>
    </row>
    <row r="1810" spans="1:14" x14ac:dyDescent="0.25">
      <c r="A1810">
        <v>1185.913045</v>
      </c>
      <c r="B1810" s="1">
        <f>DATE(2013,7,29) + TIME(21,54,47)</f>
        <v>41484.913043981483</v>
      </c>
      <c r="C1810">
        <v>80</v>
      </c>
      <c r="D1810">
        <v>79.967689514</v>
      </c>
      <c r="E1810">
        <v>40</v>
      </c>
      <c r="F1810">
        <v>42.620227814000003</v>
      </c>
      <c r="G1810">
        <v>1337.4302978999999</v>
      </c>
      <c r="H1810">
        <v>1335.6564940999999</v>
      </c>
      <c r="I1810">
        <v>1327.0618896000001</v>
      </c>
      <c r="J1810">
        <v>1325.3514404</v>
      </c>
      <c r="K1810">
        <v>1650</v>
      </c>
      <c r="L1810">
        <v>0</v>
      </c>
      <c r="M1810">
        <v>0</v>
      </c>
      <c r="N1810">
        <v>1650</v>
      </c>
    </row>
    <row r="1811" spans="1:14" x14ac:dyDescent="0.25">
      <c r="A1811">
        <v>1187.4620970000001</v>
      </c>
      <c r="B1811" s="1">
        <f>DATE(2013,7,31) + TIME(11,5,25)</f>
        <v>41486.462094907409</v>
      </c>
      <c r="C1811">
        <v>80</v>
      </c>
      <c r="D1811">
        <v>79.967689514</v>
      </c>
      <c r="E1811">
        <v>40</v>
      </c>
      <c r="F1811">
        <v>43.021236420000001</v>
      </c>
      <c r="G1811">
        <v>1337.427124</v>
      </c>
      <c r="H1811">
        <v>1335.6553954999999</v>
      </c>
      <c r="I1811">
        <v>1327.0631103999999</v>
      </c>
      <c r="J1811">
        <v>1325.3500977000001</v>
      </c>
      <c r="K1811">
        <v>1650</v>
      </c>
      <c r="L1811">
        <v>0</v>
      </c>
      <c r="M1811">
        <v>0</v>
      </c>
      <c r="N1811">
        <v>1650</v>
      </c>
    </row>
    <row r="1812" spans="1:14" x14ac:dyDescent="0.25">
      <c r="A1812">
        <v>1188</v>
      </c>
      <c r="B1812" s="1">
        <f>DATE(2013,8,1) + TIME(0,0,0)</f>
        <v>41487</v>
      </c>
      <c r="C1812">
        <v>80</v>
      </c>
      <c r="D1812">
        <v>79.967674255000006</v>
      </c>
      <c r="E1812">
        <v>40</v>
      </c>
      <c r="F1812">
        <v>43.270679473999998</v>
      </c>
      <c r="G1812">
        <v>1337.4240723</v>
      </c>
      <c r="H1812">
        <v>1335.6544189000001</v>
      </c>
      <c r="I1812">
        <v>1327.0681152</v>
      </c>
      <c r="J1812">
        <v>1325.3503418</v>
      </c>
      <c r="K1812">
        <v>1650</v>
      </c>
      <c r="L1812">
        <v>0</v>
      </c>
      <c r="M1812">
        <v>0</v>
      </c>
      <c r="N1812">
        <v>1650</v>
      </c>
    </row>
    <row r="1813" spans="1:14" x14ac:dyDescent="0.25">
      <c r="A1813">
        <v>1189.565605</v>
      </c>
      <c r="B1813" s="1">
        <f>DATE(2013,8,2) + TIME(13,34,28)</f>
        <v>41488.565601851849</v>
      </c>
      <c r="C1813">
        <v>80</v>
      </c>
      <c r="D1813">
        <v>79.967681885000005</v>
      </c>
      <c r="E1813">
        <v>40</v>
      </c>
      <c r="F1813">
        <v>43.663459778000004</v>
      </c>
      <c r="G1813">
        <v>1337.4229736</v>
      </c>
      <c r="H1813">
        <v>1335.6540527</v>
      </c>
      <c r="I1813">
        <v>1327.0651855000001</v>
      </c>
      <c r="J1813">
        <v>1325.3503418</v>
      </c>
      <c r="K1813">
        <v>1650</v>
      </c>
      <c r="L1813">
        <v>0</v>
      </c>
      <c r="M1813">
        <v>0</v>
      </c>
      <c r="N1813">
        <v>1650</v>
      </c>
    </row>
    <row r="1814" spans="1:14" x14ac:dyDescent="0.25">
      <c r="A1814">
        <v>1191.1754060000001</v>
      </c>
      <c r="B1814" s="1">
        <f>DATE(2013,8,4) + TIME(4,12,35)</f>
        <v>41490.175405092596</v>
      </c>
      <c r="C1814">
        <v>80</v>
      </c>
      <c r="D1814">
        <v>79.967674255000006</v>
      </c>
      <c r="E1814">
        <v>40</v>
      </c>
      <c r="F1814">
        <v>44.128093718999999</v>
      </c>
      <c r="G1814">
        <v>1337.4197998</v>
      </c>
      <c r="H1814">
        <v>1335.6529541</v>
      </c>
      <c r="I1814">
        <v>1327.0675048999999</v>
      </c>
      <c r="J1814">
        <v>1325.3507079999999</v>
      </c>
      <c r="K1814">
        <v>1650</v>
      </c>
      <c r="L1814">
        <v>0</v>
      </c>
      <c r="M1814">
        <v>0</v>
      </c>
      <c r="N1814">
        <v>1650</v>
      </c>
    </row>
    <row r="1815" spans="1:14" x14ac:dyDescent="0.25">
      <c r="A1815">
        <v>1192.8027440000001</v>
      </c>
      <c r="B1815" s="1">
        <f>DATE(2013,8,5) + TIME(19,15,57)</f>
        <v>41491.802743055552</v>
      </c>
      <c r="C1815">
        <v>80</v>
      </c>
      <c r="D1815">
        <v>79.967674255000006</v>
      </c>
      <c r="E1815">
        <v>40</v>
      </c>
      <c r="F1815">
        <v>44.644611359000002</v>
      </c>
      <c r="G1815">
        <v>1337.416626</v>
      </c>
      <c r="H1815">
        <v>1335.6519774999999</v>
      </c>
      <c r="I1815">
        <v>1327.0701904</v>
      </c>
      <c r="J1815">
        <v>1325.3520507999999</v>
      </c>
      <c r="K1815">
        <v>1650</v>
      </c>
      <c r="L1815">
        <v>0</v>
      </c>
      <c r="M1815">
        <v>0</v>
      </c>
      <c r="N1815">
        <v>1650</v>
      </c>
    </row>
    <row r="1816" spans="1:14" x14ac:dyDescent="0.25">
      <c r="A1816">
        <v>1194.4363719999999</v>
      </c>
      <c r="B1816" s="1">
        <f>DATE(2013,8,7) + TIME(10,28,22)</f>
        <v>41493.436365740738</v>
      </c>
      <c r="C1816">
        <v>80</v>
      </c>
      <c r="D1816">
        <v>79.967674255000006</v>
      </c>
      <c r="E1816">
        <v>40</v>
      </c>
      <c r="F1816">
        <v>45.199321746999999</v>
      </c>
      <c r="G1816">
        <v>1337.4135742000001</v>
      </c>
      <c r="H1816">
        <v>1335.6508789</v>
      </c>
      <c r="I1816">
        <v>1327.0731201000001</v>
      </c>
      <c r="J1816">
        <v>1325.3543701000001</v>
      </c>
      <c r="K1816">
        <v>1650</v>
      </c>
      <c r="L1816">
        <v>0</v>
      </c>
      <c r="M1816">
        <v>0</v>
      </c>
      <c r="N1816">
        <v>1650</v>
      </c>
    </row>
    <row r="1817" spans="1:14" x14ac:dyDescent="0.25">
      <c r="A1817">
        <v>1196.096736</v>
      </c>
      <c r="B1817" s="1">
        <f>DATE(2013,8,9) + TIME(2,19,18)</f>
        <v>41495.096736111111</v>
      </c>
      <c r="C1817">
        <v>80</v>
      </c>
      <c r="D1817">
        <v>79.967666625999996</v>
      </c>
      <c r="E1817">
        <v>40</v>
      </c>
      <c r="F1817">
        <v>45.784366607999999</v>
      </c>
      <c r="G1817">
        <v>1337.4105225000001</v>
      </c>
      <c r="H1817">
        <v>1335.6497803</v>
      </c>
      <c r="I1817">
        <v>1327.0762939000001</v>
      </c>
      <c r="J1817">
        <v>1325.3575439000001</v>
      </c>
      <c r="K1817">
        <v>1650</v>
      </c>
      <c r="L1817">
        <v>0</v>
      </c>
      <c r="M1817">
        <v>0</v>
      </c>
      <c r="N1817">
        <v>1650</v>
      </c>
    </row>
    <row r="1818" spans="1:14" x14ac:dyDescent="0.25">
      <c r="A1818">
        <v>1197.81862</v>
      </c>
      <c r="B1818" s="1">
        <f>DATE(2013,8,10) + TIME(19,38,48)</f>
        <v>41496.818611111114</v>
      </c>
      <c r="C1818">
        <v>80</v>
      </c>
      <c r="D1818">
        <v>79.967666625999996</v>
      </c>
      <c r="E1818">
        <v>40</v>
      </c>
      <c r="F1818">
        <v>46.400569916000002</v>
      </c>
      <c r="G1818">
        <v>1337.4074707</v>
      </c>
      <c r="H1818">
        <v>1335.6488036999999</v>
      </c>
      <c r="I1818">
        <v>1327.0797118999999</v>
      </c>
      <c r="J1818">
        <v>1325.3614502</v>
      </c>
      <c r="K1818">
        <v>1650</v>
      </c>
      <c r="L1818">
        <v>0</v>
      </c>
      <c r="M1818">
        <v>0</v>
      </c>
      <c r="N1818">
        <v>1650</v>
      </c>
    </row>
    <row r="1819" spans="1:14" x14ac:dyDescent="0.25">
      <c r="A1819">
        <v>1199.6178769999999</v>
      </c>
      <c r="B1819" s="1">
        <f>DATE(2013,8,12) + TIME(14,49,44)</f>
        <v>41498.61787037037</v>
      </c>
      <c r="C1819">
        <v>80</v>
      </c>
      <c r="D1819">
        <v>79.967666625999996</v>
      </c>
      <c r="E1819">
        <v>40</v>
      </c>
      <c r="F1819">
        <v>47.049560546999999</v>
      </c>
      <c r="G1819">
        <v>1337.4042969</v>
      </c>
      <c r="H1819">
        <v>1335.6477050999999</v>
      </c>
      <c r="I1819">
        <v>1327.0834961</v>
      </c>
      <c r="J1819">
        <v>1325.3660889</v>
      </c>
      <c r="K1819">
        <v>1650</v>
      </c>
      <c r="L1819">
        <v>0</v>
      </c>
      <c r="M1819">
        <v>0</v>
      </c>
      <c r="N1819">
        <v>1650</v>
      </c>
    </row>
    <row r="1820" spans="1:14" x14ac:dyDescent="0.25">
      <c r="A1820">
        <v>1201.4763989999999</v>
      </c>
      <c r="B1820" s="1">
        <f>DATE(2013,8,14) + TIME(11,26,0)</f>
        <v>41500.476388888892</v>
      </c>
      <c r="C1820">
        <v>80</v>
      </c>
      <c r="D1820">
        <v>79.967674255000006</v>
      </c>
      <c r="E1820">
        <v>40</v>
      </c>
      <c r="F1820">
        <v>47.726768493999998</v>
      </c>
      <c r="G1820">
        <v>1337.4011230000001</v>
      </c>
      <c r="H1820">
        <v>1335.6466064000001</v>
      </c>
      <c r="I1820">
        <v>1327.0877685999999</v>
      </c>
      <c r="J1820">
        <v>1325.3714600000001</v>
      </c>
      <c r="K1820">
        <v>1650</v>
      </c>
      <c r="L1820">
        <v>0</v>
      </c>
      <c r="M1820">
        <v>0</v>
      </c>
      <c r="N1820">
        <v>1650</v>
      </c>
    </row>
    <row r="1821" spans="1:14" x14ac:dyDescent="0.25">
      <c r="A1821">
        <v>1203.4135349999999</v>
      </c>
      <c r="B1821" s="1">
        <f>DATE(2013,8,16) + TIME(9,55,29)</f>
        <v>41502.413530092592</v>
      </c>
      <c r="C1821">
        <v>80</v>
      </c>
      <c r="D1821">
        <v>79.967674255000006</v>
      </c>
      <c r="E1821">
        <v>40</v>
      </c>
      <c r="F1821">
        <v>48.425743103000002</v>
      </c>
      <c r="G1821">
        <v>1337.3979492000001</v>
      </c>
      <c r="H1821">
        <v>1335.6455077999999</v>
      </c>
      <c r="I1821">
        <v>1327.0924072</v>
      </c>
      <c r="J1821">
        <v>1325.3775635</v>
      </c>
      <c r="K1821">
        <v>1650</v>
      </c>
      <c r="L1821">
        <v>0</v>
      </c>
      <c r="M1821">
        <v>0</v>
      </c>
      <c r="N1821">
        <v>1650</v>
      </c>
    </row>
    <row r="1822" spans="1:14" x14ac:dyDescent="0.25">
      <c r="A1822">
        <v>1205.4358729999999</v>
      </c>
      <c r="B1822" s="1">
        <f>DATE(2013,8,18) + TIME(10,27,39)</f>
        <v>41504.435868055552</v>
      </c>
      <c r="C1822">
        <v>80</v>
      </c>
      <c r="D1822">
        <v>79.967674255000006</v>
      </c>
      <c r="E1822">
        <v>40</v>
      </c>
      <c r="F1822">
        <v>49.142631530999999</v>
      </c>
      <c r="G1822">
        <v>1337.3947754000001</v>
      </c>
      <c r="H1822">
        <v>1335.6442870999999</v>
      </c>
      <c r="I1822">
        <v>1327.0975341999999</v>
      </c>
      <c r="J1822">
        <v>1325.3843993999999</v>
      </c>
      <c r="K1822">
        <v>1650</v>
      </c>
      <c r="L1822">
        <v>0</v>
      </c>
      <c r="M1822">
        <v>0</v>
      </c>
      <c r="N1822">
        <v>1650</v>
      </c>
    </row>
    <row r="1823" spans="1:14" x14ac:dyDescent="0.25">
      <c r="A1823">
        <v>1207.504477</v>
      </c>
      <c r="B1823" s="1">
        <f>DATE(2013,8,20) + TIME(12,6,26)</f>
        <v>41506.504467592589</v>
      </c>
      <c r="C1823">
        <v>80</v>
      </c>
      <c r="D1823">
        <v>79.967681885000005</v>
      </c>
      <c r="E1823">
        <v>40</v>
      </c>
      <c r="F1823">
        <v>49.869159697999997</v>
      </c>
      <c r="G1823">
        <v>1337.3914795000001</v>
      </c>
      <c r="H1823">
        <v>1335.6431885</v>
      </c>
      <c r="I1823">
        <v>1327.1032714999999</v>
      </c>
      <c r="J1823">
        <v>1325.3920897999999</v>
      </c>
      <c r="K1823">
        <v>1650</v>
      </c>
      <c r="L1823">
        <v>0</v>
      </c>
      <c r="M1823">
        <v>0</v>
      </c>
      <c r="N1823">
        <v>1650</v>
      </c>
    </row>
    <row r="1824" spans="1:14" x14ac:dyDescent="0.25">
      <c r="A1824">
        <v>1209.6404299999999</v>
      </c>
      <c r="B1824" s="1">
        <f>DATE(2013,8,22) + TIME(15,22,13)</f>
        <v>41508.640428240738</v>
      </c>
      <c r="C1824">
        <v>80</v>
      </c>
      <c r="D1824">
        <v>79.967681885000005</v>
      </c>
      <c r="E1824">
        <v>40</v>
      </c>
      <c r="F1824">
        <v>50.595386505</v>
      </c>
      <c r="G1824">
        <v>1337.3881836</v>
      </c>
      <c r="H1824">
        <v>1335.6419678</v>
      </c>
      <c r="I1824">
        <v>1327.1092529</v>
      </c>
      <c r="J1824">
        <v>1325.4002685999999</v>
      </c>
      <c r="K1824">
        <v>1650</v>
      </c>
      <c r="L1824">
        <v>0</v>
      </c>
      <c r="M1824">
        <v>0</v>
      </c>
      <c r="N1824">
        <v>1650</v>
      </c>
    </row>
    <row r="1825" spans="1:14" x14ac:dyDescent="0.25">
      <c r="A1825">
        <v>1211.8678649999999</v>
      </c>
      <c r="B1825" s="1">
        <f>DATE(2013,8,24) + TIME(20,49,43)</f>
        <v>41510.867858796293</v>
      </c>
      <c r="C1825">
        <v>80</v>
      </c>
      <c r="D1825">
        <v>79.967689514</v>
      </c>
      <c r="E1825">
        <v>40</v>
      </c>
      <c r="F1825">
        <v>51.319141387999998</v>
      </c>
      <c r="G1825">
        <v>1337.3848877</v>
      </c>
      <c r="H1825">
        <v>1335.6408690999999</v>
      </c>
      <c r="I1825">
        <v>1327.1157227000001</v>
      </c>
      <c r="J1825">
        <v>1325.4090576000001</v>
      </c>
      <c r="K1825">
        <v>1650</v>
      </c>
      <c r="L1825">
        <v>0</v>
      </c>
      <c r="M1825">
        <v>0</v>
      </c>
      <c r="N1825">
        <v>1650</v>
      </c>
    </row>
    <row r="1826" spans="1:14" x14ac:dyDescent="0.25">
      <c r="A1826">
        <v>1214.175524</v>
      </c>
      <c r="B1826" s="1">
        <f>DATE(2013,8,27) + TIME(4,12,45)</f>
        <v>41513.175520833334</v>
      </c>
      <c r="C1826">
        <v>80</v>
      </c>
      <c r="D1826">
        <v>79.967697143999999</v>
      </c>
      <c r="E1826">
        <v>40</v>
      </c>
      <c r="F1826">
        <v>52.035335541000002</v>
      </c>
      <c r="G1826">
        <v>1337.3814697</v>
      </c>
      <c r="H1826">
        <v>1335.6396483999999</v>
      </c>
      <c r="I1826">
        <v>1327.1228027</v>
      </c>
      <c r="J1826">
        <v>1325.4183350000001</v>
      </c>
      <c r="K1826">
        <v>1650</v>
      </c>
      <c r="L1826">
        <v>0</v>
      </c>
      <c r="M1826">
        <v>0</v>
      </c>
      <c r="N1826">
        <v>1650</v>
      </c>
    </row>
    <row r="1827" spans="1:14" x14ac:dyDescent="0.25">
      <c r="A1827">
        <v>1216.5192939999999</v>
      </c>
      <c r="B1827" s="1">
        <f>DATE(2013,8,29) + TIME(12,27,46)</f>
        <v>41515.519282407404</v>
      </c>
      <c r="C1827">
        <v>80</v>
      </c>
      <c r="D1827">
        <v>79.967704772999994</v>
      </c>
      <c r="E1827">
        <v>40</v>
      </c>
      <c r="F1827">
        <v>52.735588073999999</v>
      </c>
      <c r="G1827">
        <v>1337.3781738</v>
      </c>
      <c r="H1827">
        <v>1335.6385498</v>
      </c>
      <c r="I1827">
        <v>1327.1303711</v>
      </c>
      <c r="J1827">
        <v>1325.4283447</v>
      </c>
      <c r="K1827">
        <v>1650</v>
      </c>
      <c r="L1827">
        <v>0</v>
      </c>
      <c r="M1827">
        <v>0</v>
      </c>
      <c r="N1827">
        <v>1650</v>
      </c>
    </row>
    <row r="1828" spans="1:14" x14ac:dyDescent="0.25">
      <c r="A1828">
        <v>1219</v>
      </c>
      <c r="B1828" s="1">
        <f>DATE(2013,9,1) + TIME(0,0,0)</f>
        <v>41518</v>
      </c>
      <c r="C1828">
        <v>80</v>
      </c>
      <c r="D1828">
        <v>79.967720032000003</v>
      </c>
      <c r="E1828">
        <v>40</v>
      </c>
      <c r="F1828">
        <v>53.420425414999997</v>
      </c>
      <c r="G1828">
        <v>1337.3748779</v>
      </c>
      <c r="H1828">
        <v>1335.6373291</v>
      </c>
      <c r="I1828">
        <v>1327.1383057</v>
      </c>
      <c r="J1828">
        <v>1325.4387207</v>
      </c>
      <c r="K1828">
        <v>1650</v>
      </c>
      <c r="L1828">
        <v>0</v>
      </c>
      <c r="M1828">
        <v>0</v>
      </c>
      <c r="N1828">
        <v>1650</v>
      </c>
    </row>
    <row r="1829" spans="1:14" x14ac:dyDescent="0.25">
      <c r="A1829">
        <v>1221.4090289999999</v>
      </c>
      <c r="B1829" s="1">
        <f>DATE(2013,9,3) + TIME(9,49,0)</f>
        <v>41520.40902777778</v>
      </c>
      <c r="C1829">
        <v>80</v>
      </c>
      <c r="D1829">
        <v>79.967727660999998</v>
      </c>
      <c r="E1829">
        <v>40</v>
      </c>
      <c r="F1829">
        <v>54.088237761999999</v>
      </c>
      <c r="G1829">
        <v>1337.3714600000001</v>
      </c>
      <c r="H1829">
        <v>1335.6362305</v>
      </c>
      <c r="I1829">
        <v>1327.1469727000001</v>
      </c>
      <c r="J1829">
        <v>1325.449707</v>
      </c>
      <c r="K1829">
        <v>1650</v>
      </c>
      <c r="L1829">
        <v>0</v>
      </c>
      <c r="M1829">
        <v>0</v>
      </c>
      <c r="N1829">
        <v>1650</v>
      </c>
    </row>
    <row r="1830" spans="1:14" x14ac:dyDescent="0.25">
      <c r="A1830">
        <v>1223.9946090000001</v>
      </c>
      <c r="B1830" s="1">
        <f>DATE(2013,9,5) + TIME(23,52,14)</f>
        <v>41522.994606481479</v>
      </c>
      <c r="C1830">
        <v>80</v>
      </c>
      <c r="D1830">
        <v>79.967735290999997</v>
      </c>
      <c r="E1830">
        <v>40</v>
      </c>
      <c r="F1830">
        <v>54.730289458999998</v>
      </c>
      <c r="G1830">
        <v>1337.3682861</v>
      </c>
      <c r="H1830">
        <v>1335.6350098</v>
      </c>
      <c r="I1830">
        <v>1327.1555175999999</v>
      </c>
      <c r="J1830">
        <v>1325.4611815999999</v>
      </c>
      <c r="K1830">
        <v>1650</v>
      </c>
      <c r="L1830">
        <v>0</v>
      </c>
      <c r="M1830">
        <v>0</v>
      </c>
      <c r="N1830">
        <v>1650</v>
      </c>
    </row>
    <row r="1831" spans="1:14" x14ac:dyDescent="0.25">
      <c r="A1831">
        <v>1226.624071</v>
      </c>
      <c r="B1831" s="1">
        <f>DATE(2013,9,8) + TIME(14,58,39)</f>
        <v>41525.624062499999</v>
      </c>
      <c r="C1831">
        <v>80</v>
      </c>
      <c r="D1831">
        <v>79.967750549000002</v>
      </c>
      <c r="E1831">
        <v>40</v>
      </c>
      <c r="F1831">
        <v>55.364971161</v>
      </c>
      <c r="G1831">
        <v>1337.3649902</v>
      </c>
      <c r="H1831">
        <v>1335.6339111</v>
      </c>
      <c r="I1831">
        <v>1327.1646728999999</v>
      </c>
      <c r="J1831">
        <v>1325.4727783000001</v>
      </c>
      <c r="K1831">
        <v>1650</v>
      </c>
      <c r="L1831">
        <v>0</v>
      </c>
      <c r="M1831">
        <v>0</v>
      </c>
      <c r="N1831">
        <v>1650</v>
      </c>
    </row>
    <row r="1832" spans="1:14" x14ac:dyDescent="0.25">
      <c r="A1832">
        <v>1229.3292240000001</v>
      </c>
      <c r="B1832" s="1">
        <f>DATE(2013,9,11) + TIME(7,54,4)</f>
        <v>41528.329212962963</v>
      </c>
      <c r="C1832">
        <v>80</v>
      </c>
      <c r="D1832">
        <v>79.967765807999996</v>
      </c>
      <c r="E1832">
        <v>40</v>
      </c>
      <c r="F1832">
        <v>55.97882843</v>
      </c>
      <c r="G1832">
        <v>1337.3616943</v>
      </c>
      <c r="H1832">
        <v>1335.6328125</v>
      </c>
      <c r="I1832">
        <v>1327.1740723</v>
      </c>
      <c r="J1832">
        <v>1325.4847411999999</v>
      </c>
      <c r="K1832">
        <v>1650</v>
      </c>
      <c r="L1832">
        <v>0</v>
      </c>
      <c r="M1832">
        <v>0</v>
      </c>
      <c r="N1832">
        <v>1650</v>
      </c>
    </row>
    <row r="1833" spans="1:14" x14ac:dyDescent="0.25">
      <c r="A1833">
        <v>1232.146299</v>
      </c>
      <c r="B1833" s="1">
        <f>DATE(2013,9,14) + TIME(3,30,40)</f>
        <v>41531.146296296298</v>
      </c>
      <c r="C1833">
        <v>80</v>
      </c>
      <c r="D1833">
        <v>79.967781067000004</v>
      </c>
      <c r="E1833">
        <v>40</v>
      </c>
      <c r="F1833">
        <v>56.575881957999997</v>
      </c>
      <c r="G1833">
        <v>1337.3583983999999</v>
      </c>
      <c r="H1833">
        <v>1335.6317139</v>
      </c>
      <c r="I1833">
        <v>1327.1837158000001</v>
      </c>
      <c r="J1833">
        <v>1325.4969481999999</v>
      </c>
      <c r="K1833">
        <v>1650</v>
      </c>
      <c r="L1833">
        <v>0</v>
      </c>
      <c r="M1833">
        <v>0</v>
      </c>
      <c r="N1833">
        <v>1650</v>
      </c>
    </row>
    <row r="1834" spans="1:14" x14ac:dyDescent="0.25">
      <c r="A1834">
        <v>1235.0339280000001</v>
      </c>
      <c r="B1834" s="1">
        <f>DATE(2013,9,17) + TIME(0,48,51)</f>
        <v>41534.03392361111</v>
      </c>
      <c r="C1834">
        <v>80</v>
      </c>
      <c r="D1834">
        <v>79.967796325999998</v>
      </c>
      <c r="E1834">
        <v>40</v>
      </c>
      <c r="F1834">
        <v>57.157588959000002</v>
      </c>
      <c r="G1834">
        <v>1337.3552245999999</v>
      </c>
      <c r="H1834">
        <v>1335.6304932</v>
      </c>
      <c r="I1834">
        <v>1327.1936035000001</v>
      </c>
      <c r="J1834">
        <v>1325.5092772999999</v>
      </c>
      <c r="K1834">
        <v>1650</v>
      </c>
      <c r="L1834">
        <v>0</v>
      </c>
      <c r="M1834">
        <v>0</v>
      </c>
      <c r="N1834">
        <v>1650</v>
      </c>
    </row>
    <row r="1835" spans="1:14" x14ac:dyDescent="0.25">
      <c r="A1835">
        <v>1237.981927</v>
      </c>
      <c r="B1835" s="1">
        <f>DATE(2013,9,19) + TIME(23,33,58)</f>
        <v>41536.981921296298</v>
      </c>
      <c r="C1835">
        <v>80</v>
      </c>
      <c r="D1835">
        <v>79.967819214000002</v>
      </c>
      <c r="E1835">
        <v>40</v>
      </c>
      <c r="F1835">
        <v>57.718467711999999</v>
      </c>
      <c r="G1835">
        <v>1337.3519286999999</v>
      </c>
      <c r="H1835">
        <v>1335.6293945</v>
      </c>
      <c r="I1835">
        <v>1327.2036132999999</v>
      </c>
      <c r="J1835">
        <v>1325.5216064000001</v>
      </c>
      <c r="K1835">
        <v>1650</v>
      </c>
      <c r="L1835">
        <v>0</v>
      </c>
      <c r="M1835">
        <v>0</v>
      </c>
      <c r="N1835">
        <v>1650</v>
      </c>
    </row>
    <row r="1836" spans="1:14" x14ac:dyDescent="0.25">
      <c r="A1836">
        <v>1241.029393</v>
      </c>
      <c r="B1836" s="1">
        <f>DATE(2013,9,23) + TIME(0,42,19)</f>
        <v>41540.029386574075</v>
      </c>
      <c r="C1836">
        <v>80</v>
      </c>
      <c r="D1836">
        <v>79.967834472999996</v>
      </c>
      <c r="E1836">
        <v>40</v>
      </c>
      <c r="F1836">
        <v>58.259227752999998</v>
      </c>
      <c r="G1836">
        <v>1337.3487548999999</v>
      </c>
      <c r="H1836">
        <v>1335.628418</v>
      </c>
      <c r="I1836">
        <v>1327.2137451000001</v>
      </c>
      <c r="J1836">
        <v>1325.5340576000001</v>
      </c>
      <c r="K1836">
        <v>1650</v>
      </c>
      <c r="L1836">
        <v>0</v>
      </c>
      <c r="M1836">
        <v>0</v>
      </c>
      <c r="N1836">
        <v>1650</v>
      </c>
    </row>
    <row r="1837" spans="1:14" x14ac:dyDescent="0.25">
      <c r="A1837">
        <v>1244.1768360000001</v>
      </c>
      <c r="B1837" s="1">
        <f>DATE(2013,9,26) + TIME(4,14,38)</f>
        <v>41543.176828703705</v>
      </c>
      <c r="C1837">
        <v>80</v>
      </c>
      <c r="D1837">
        <v>79.967857361</v>
      </c>
      <c r="E1837">
        <v>40</v>
      </c>
      <c r="F1837">
        <v>58.783222197999997</v>
      </c>
      <c r="G1837">
        <v>1337.3455810999999</v>
      </c>
      <c r="H1837">
        <v>1335.6273193</v>
      </c>
      <c r="I1837">
        <v>1327.2238769999999</v>
      </c>
      <c r="J1837">
        <v>1325.5462646000001</v>
      </c>
      <c r="K1837">
        <v>1650</v>
      </c>
      <c r="L1837">
        <v>0</v>
      </c>
      <c r="M1837">
        <v>0</v>
      </c>
      <c r="N1837">
        <v>1650</v>
      </c>
    </row>
    <row r="1838" spans="1:14" x14ac:dyDescent="0.25">
      <c r="A1838">
        <v>1247.404243</v>
      </c>
      <c r="B1838" s="1">
        <f>DATE(2013,9,29) + TIME(9,42,6)</f>
        <v>41546.404236111113</v>
      </c>
      <c r="C1838">
        <v>80</v>
      </c>
      <c r="D1838">
        <v>79.967880249000004</v>
      </c>
      <c r="E1838">
        <v>40</v>
      </c>
      <c r="F1838">
        <v>59.290172577</v>
      </c>
      <c r="G1838">
        <v>1337.3424072</v>
      </c>
      <c r="H1838">
        <v>1335.6262207</v>
      </c>
      <c r="I1838">
        <v>1327.2341309000001</v>
      </c>
      <c r="J1838">
        <v>1325.5584716999999</v>
      </c>
      <c r="K1838">
        <v>1650</v>
      </c>
      <c r="L1838">
        <v>0</v>
      </c>
      <c r="M1838">
        <v>0</v>
      </c>
      <c r="N1838">
        <v>1650</v>
      </c>
    </row>
    <row r="1839" spans="1:14" x14ac:dyDescent="0.25">
      <c r="A1839">
        <v>1249</v>
      </c>
      <c r="B1839" s="1">
        <f>DATE(2013,10,1) + TIME(0,0,0)</f>
        <v>41548</v>
      </c>
      <c r="C1839">
        <v>80</v>
      </c>
      <c r="D1839">
        <v>79.967880249000004</v>
      </c>
      <c r="E1839">
        <v>40</v>
      </c>
      <c r="F1839">
        <v>59.690830231</v>
      </c>
      <c r="G1839">
        <v>1337.3393555</v>
      </c>
      <c r="H1839">
        <v>1335.6252440999999</v>
      </c>
      <c r="I1839">
        <v>1327.2457274999999</v>
      </c>
      <c r="J1839">
        <v>1325.5708007999999</v>
      </c>
      <c r="K1839">
        <v>1650</v>
      </c>
      <c r="L1839">
        <v>0</v>
      </c>
      <c r="M1839">
        <v>0</v>
      </c>
      <c r="N1839">
        <v>1650</v>
      </c>
    </row>
    <row r="1840" spans="1:14" x14ac:dyDescent="0.25">
      <c r="A1840">
        <v>1252.291815</v>
      </c>
      <c r="B1840" s="1">
        <f>DATE(2013,10,4) + TIME(7,0,12)</f>
        <v>41551.291805555556</v>
      </c>
      <c r="C1840">
        <v>80</v>
      </c>
      <c r="D1840">
        <v>79.967918396000002</v>
      </c>
      <c r="E1840">
        <v>40</v>
      </c>
      <c r="F1840">
        <v>60.032844543000003</v>
      </c>
      <c r="G1840">
        <v>1337.3378906</v>
      </c>
      <c r="H1840">
        <v>1335.6247559000001</v>
      </c>
      <c r="I1840">
        <v>1327.2508545000001</v>
      </c>
      <c r="J1840">
        <v>1325.5802002</v>
      </c>
      <c r="K1840">
        <v>1650</v>
      </c>
      <c r="L1840">
        <v>0</v>
      </c>
      <c r="M1840">
        <v>0</v>
      </c>
      <c r="N1840">
        <v>1650</v>
      </c>
    </row>
    <row r="1841" spans="1:14" x14ac:dyDescent="0.25">
      <c r="A1841">
        <v>1255.7006120000001</v>
      </c>
      <c r="B1841" s="1">
        <f>DATE(2013,10,7) + TIME(16,48,52)</f>
        <v>41554.700601851851</v>
      </c>
      <c r="C1841">
        <v>80</v>
      </c>
      <c r="D1841">
        <v>79.967941284000005</v>
      </c>
      <c r="E1841">
        <v>40</v>
      </c>
      <c r="F1841">
        <v>60.456768036</v>
      </c>
      <c r="G1841">
        <v>1337.3348389</v>
      </c>
      <c r="H1841">
        <v>1335.6237793</v>
      </c>
      <c r="I1841">
        <v>1327.2598877</v>
      </c>
      <c r="J1841">
        <v>1325.5888672000001</v>
      </c>
      <c r="K1841">
        <v>1650</v>
      </c>
      <c r="L1841">
        <v>0</v>
      </c>
      <c r="M1841">
        <v>0</v>
      </c>
      <c r="N1841">
        <v>1650</v>
      </c>
    </row>
    <row r="1842" spans="1:14" x14ac:dyDescent="0.25">
      <c r="A1842">
        <v>1259.2015200000001</v>
      </c>
      <c r="B1842" s="1">
        <f>DATE(2013,10,11) + TIME(4,50,11)</f>
        <v>41558.201516203706</v>
      </c>
      <c r="C1842">
        <v>80</v>
      </c>
      <c r="D1842">
        <v>79.967971801999994</v>
      </c>
      <c r="E1842">
        <v>40</v>
      </c>
      <c r="F1842">
        <v>60.881633759000003</v>
      </c>
      <c r="G1842">
        <v>1337.3317870999999</v>
      </c>
      <c r="H1842">
        <v>1335.6228027</v>
      </c>
      <c r="I1842">
        <v>1327.2697754000001</v>
      </c>
      <c r="J1842">
        <v>1325.5998535000001</v>
      </c>
      <c r="K1842">
        <v>1650</v>
      </c>
      <c r="L1842">
        <v>0</v>
      </c>
      <c r="M1842">
        <v>0</v>
      </c>
      <c r="N1842">
        <v>1650</v>
      </c>
    </row>
    <row r="1843" spans="1:14" x14ac:dyDescent="0.25">
      <c r="A1843">
        <v>1262.8120309999999</v>
      </c>
      <c r="B1843" s="1">
        <f>DATE(2013,10,14) + TIME(19,29,19)</f>
        <v>41561.812025462961</v>
      </c>
      <c r="C1843">
        <v>80</v>
      </c>
      <c r="D1843">
        <v>79.968002318999993</v>
      </c>
      <c r="E1843">
        <v>40</v>
      </c>
      <c r="F1843">
        <v>61.295917510999999</v>
      </c>
      <c r="G1843">
        <v>1337.3288574000001</v>
      </c>
      <c r="H1843">
        <v>1335.6218262</v>
      </c>
      <c r="I1843">
        <v>1327.2799072</v>
      </c>
      <c r="J1843">
        <v>1325.6112060999999</v>
      </c>
      <c r="K1843">
        <v>1650</v>
      </c>
      <c r="L1843">
        <v>0</v>
      </c>
      <c r="M1843">
        <v>0</v>
      </c>
      <c r="N1843">
        <v>1650</v>
      </c>
    </row>
    <row r="1844" spans="1:14" x14ac:dyDescent="0.25">
      <c r="A1844">
        <v>1266.544312</v>
      </c>
      <c r="B1844" s="1">
        <f>DATE(2013,10,18) + TIME(13,3,48)</f>
        <v>41565.544305555559</v>
      </c>
      <c r="C1844">
        <v>80</v>
      </c>
      <c r="D1844">
        <v>79.968032836999996</v>
      </c>
      <c r="E1844">
        <v>40</v>
      </c>
      <c r="F1844">
        <v>61.694541931000003</v>
      </c>
      <c r="G1844">
        <v>1337.3259277</v>
      </c>
      <c r="H1844">
        <v>1335.6209716999999</v>
      </c>
      <c r="I1844">
        <v>1327.2900391000001</v>
      </c>
      <c r="J1844">
        <v>1325.6225586</v>
      </c>
      <c r="K1844">
        <v>1650</v>
      </c>
      <c r="L1844">
        <v>0</v>
      </c>
      <c r="M1844">
        <v>0</v>
      </c>
      <c r="N1844">
        <v>1650</v>
      </c>
    </row>
    <row r="1845" spans="1:14" x14ac:dyDescent="0.25">
      <c r="A1845">
        <v>1270.357387</v>
      </c>
      <c r="B1845" s="1">
        <f>DATE(2013,10,22) + TIME(8,34,38)</f>
        <v>41569.35738425926</v>
      </c>
      <c r="C1845">
        <v>80</v>
      </c>
      <c r="D1845">
        <v>79.968070983999993</v>
      </c>
      <c r="E1845">
        <v>40</v>
      </c>
      <c r="F1845">
        <v>62.079612732000001</v>
      </c>
      <c r="G1845">
        <v>1337.3229980000001</v>
      </c>
      <c r="H1845">
        <v>1335.6199951000001</v>
      </c>
      <c r="I1845">
        <v>1327.3001709</v>
      </c>
      <c r="J1845">
        <v>1325.6337891000001</v>
      </c>
      <c r="K1845">
        <v>1650</v>
      </c>
      <c r="L1845">
        <v>0</v>
      </c>
      <c r="M1845">
        <v>0</v>
      </c>
      <c r="N1845">
        <v>1650</v>
      </c>
    </row>
    <row r="1846" spans="1:14" x14ac:dyDescent="0.25">
      <c r="A1846">
        <v>1274.2726379999999</v>
      </c>
      <c r="B1846" s="1">
        <f>DATE(2013,10,26) + TIME(6,32,35)</f>
        <v>41573.272627314815</v>
      </c>
      <c r="C1846">
        <v>80</v>
      </c>
      <c r="D1846">
        <v>79.968101501000007</v>
      </c>
      <c r="E1846">
        <v>40</v>
      </c>
      <c r="F1846">
        <v>62.446395873999997</v>
      </c>
      <c r="G1846">
        <v>1337.3200684000001</v>
      </c>
      <c r="H1846">
        <v>1335.6191406</v>
      </c>
      <c r="I1846">
        <v>1327.3103027</v>
      </c>
      <c r="J1846">
        <v>1325.6448975000001</v>
      </c>
      <c r="K1846">
        <v>1650</v>
      </c>
      <c r="L1846">
        <v>0</v>
      </c>
      <c r="M1846">
        <v>0</v>
      </c>
      <c r="N1846">
        <v>1650</v>
      </c>
    </row>
    <row r="1847" spans="1:14" x14ac:dyDescent="0.25">
      <c r="A1847">
        <v>1278.3086350000001</v>
      </c>
      <c r="B1847" s="1">
        <f>DATE(2013,10,30) + TIME(7,24,26)</f>
        <v>41577.308634259258</v>
      </c>
      <c r="C1847">
        <v>80</v>
      </c>
      <c r="D1847">
        <v>79.968139648000005</v>
      </c>
      <c r="E1847">
        <v>40</v>
      </c>
      <c r="F1847">
        <v>62.798221587999997</v>
      </c>
      <c r="G1847">
        <v>1337.3172606999999</v>
      </c>
      <c r="H1847">
        <v>1335.6182861</v>
      </c>
      <c r="I1847">
        <v>1327.3201904</v>
      </c>
      <c r="J1847">
        <v>1325.6557617000001</v>
      </c>
      <c r="K1847">
        <v>1650</v>
      </c>
      <c r="L1847">
        <v>0</v>
      </c>
      <c r="M1847">
        <v>0</v>
      </c>
      <c r="N1847">
        <v>1650</v>
      </c>
    </row>
    <row r="1848" spans="1:14" x14ac:dyDescent="0.25">
      <c r="A1848">
        <v>1280</v>
      </c>
      <c r="B1848" s="1">
        <f>DATE(2013,11,1) + TIME(0,0,0)</f>
        <v>41579</v>
      </c>
      <c r="C1848">
        <v>80</v>
      </c>
      <c r="D1848">
        <v>79.968139648000005</v>
      </c>
      <c r="E1848">
        <v>40</v>
      </c>
      <c r="F1848">
        <v>63.072711945000002</v>
      </c>
      <c r="G1848">
        <v>1337.3144531</v>
      </c>
      <c r="H1848">
        <v>1335.6174315999999</v>
      </c>
      <c r="I1848">
        <v>1327.3311768000001</v>
      </c>
      <c r="J1848">
        <v>1325.6667480000001</v>
      </c>
      <c r="K1848">
        <v>1650</v>
      </c>
      <c r="L1848">
        <v>0</v>
      </c>
      <c r="M1848">
        <v>0</v>
      </c>
      <c r="N1848">
        <v>1650</v>
      </c>
    </row>
    <row r="1849" spans="1:14" x14ac:dyDescent="0.25">
      <c r="A1849">
        <v>1280.0000010000001</v>
      </c>
      <c r="B1849" s="1">
        <f>DATE(2013,11,1) + TIME(0,0,0)</f>
        <v>41579</v>
      </c>
      <c r="C1849">
        <v>80</v>
      </c>
      <c r="D1849">
        <v>79.968070983999993</v>
      </c>
      <c r="E1849">
        <v>40</v>
      </c>
      <c r="F1849">
        <v>63.072772980000003</v>
      </c>
      <c r="G1849">
        <v>1335.1380615</v>
      </c>
      <c r="H1849">
        <v>1334.7679443</v>
      </c>
      <c r="I1849">
        <v>1329.6098632999999</v>
      </c>
      <c r="J1849">
        <v>1327.9874268000001</v>
      </c>
      <c r="K1849">
        <v>0</v>
      </c>
      <c r="L1849">
        <v>1650</v>
      </c>
      <c r="M1849">
        <v>1650</v>
      </c>
      <c r="N1849">
        <v>0</v>
      </c>
    </row>
    <row r="1850" spans="1:14" x14ac:dyDescent="0.25">
      <c r="A1850">
        <v>1280.000004</v>
      </c>
      <c r="B1850" s="1">
        <f>DATE(2013,11,1) + TIME(0,0,0)</f>
        <v>41579</v>
      </c>
      <c r="C1850">
        <v>80</v>
      </c>
      <c r="D1850">
        <v>79.967979431000003</v>
      </c>
      <c r="E1850">
        <v>40</v>
      </c>
      <c r="F1850">
        <v>63.072811127000001</v>
      </c>
      <c r="G1850">
        <v>1334.5023193</v>
      </c>
      <c r="H1850">
        <v>1334.1347656</v>
      </c>
      <c r="I1850">
        <v>1330.4371338000001</v>
      </c>
      <c r="J1850">
        <v>1328.8962402</v>
      </c>
      <c r="K1850">
        <v>0</v>
      </c>
      <c r="L1850">
        <v>1650</v>
      </c>
      <c r="M1850">
        <v>1650</v>
      </c>
      <c r="N1850">
        <v>0</v>
      </c>
    </row>
    <row r="1851" spans="1:14" x14ac:dyDescent="0.25">
      <c r="A1851">
        <v>1280.0000130000001</v>
      </c>
      <c r="B1851" s="1">
        <f>DATE(2013,11,1) + TIME(0,0,1)</f>
        <v>41579.000011574077</v>
      </c>
      <c r="C1851">
        <v>80</v>
      </c>
      <c r="D1851">
        <v>79.967887877999999</v>
      </c>
      <c r="E1851">
        <v>40</v>
      </c>
      <c r="F1851">
        <v>63.072692871000001</v>
      </c>
      <c r="G1851">
        <v>1333.8395995999999</v>
      </c>
      <c r="H1851">
        <v>1333.4454346</v>
      </c>
      <c r="I1851">
        <v>1331.4450684000001</v>
      </c>
      <c r="J1851">
        <v>1329.8890381000001</v>
      </c>
      <c r="K1851">
        <v>0</v>
      </c>
      <c r="L1851">
        <v>1650</v>
      </c>
      <c r="M1851">
        <v>1650</v>
      </c>
      <c r="N1851">
        <v>0</v>
      </c>
    </row>
    <row r="1852" spans="1:14" x14ac:dyDescent="0.25">
      <c r="A1852">
        <v>1280.0000399999999</v>
      </c>
      <c r="B1852" s="1">
        <f>DATE(2013,11,1) + TIME(0,0,3)</f>
        <v>41579.000034722223</v>
      </c>
      <c r="C1852">
        <v>80</v>
      </c>
      <c r="D1852">
        <v>79.967788696</v>
      </c>
      <c r="E1852">
        <v>40</v>
      </c>
      <c r="F1852">
        <v>63.072059631000002</v>
      </c>
      <c r="G1852">
        <v>1333.1799315999999</v>
      </c>
      <c r="H1852">
        <v>1332.7487793</v>
      </c>
      <c r="I1852">
        <v>1332.4715576000001</v>
      </c>
      <c r="J1852">
        <v>1330.8808594</v>
      </c>
      <c r="K1852">
        <v>0</v>
      </c>
      <c r="L1852">
        <v>1650</v>
      </c>
      <c r="M1852">
        <v>1650</v>
      </c>
      <c r="N1852">
        <v>0</v>
      </c>
    </row>
    <row r="1853" spans="1:14" x14ac:dyDescent="0.25">
      <c r="A1853">
        <v>1280.000121</v>
      </c>
      <c r="B1853" s="1">
        <f>DATE(2013,11,1) + TIME(0,0,10)</f>
        <v>41579.000115740739</v>
      </c>
      <c r="C1853">
        <v>80</v>
      </c>
      <c r="D1853">
        <v>79.967681885000005</v>
      </c>
      <c r="E1853">
        <v>40</v>
      </c>
      <c r="F1853">
        <v>63.069850922000001</v>
      </c>
      <c r="G1853">
        <v>1332.5003661999999</v>
      </c>
      <c r="H1853">
        <v>1332.027832</v>
      </c>
      <c r="I1853">
        <v>1333.4832764</v>
      </c>
      <c r="J1853">
        <v>1331.8587646000001</v>
      </c>
      <c r="K1853">
        <v>0</v>
      </c>
      <c r="L1853">
        <v>1650</v>
      </c>
      <c r="M1853">
        <v>1650</v>
      </c>
      <c r="N1853">
        <v>0</v>
      </c>
    </row>
    <row r="1854" spans="1:14" x14ac:dyDescent="0.25">
      <c r="A1854">
        <v>1280.000364</v>
      </c>
      <c r="B1854" s="1">
        <f>DATE(2013,11,1) + TIME(0,0,31)</f>
        <v>41579.000358796293</v>
      </c>
      <c r="C1854">
        <v>80</v>
      </c>
      <c r="D1854">
        <v>79.967567443999997</v>
      </c>
      <c r="E1854">
        <v>40</v>
      </c>
      <c r="F1854">
        <v>63.062763214</v>
      </c>
      <c r="G1854">
        <v>1331.8155518000001</v>
      </c>
      <c r="H1854">
        <v>1331.2993164</v>
      </c>
      <c r="I1854">
        <v>1334.4567870999999</v>
      </c>
      <c r="J1854">
        <v>1332.7888184000001</v>
      </c>
      <c r="K1854">
        <v>0</v>
      </c>
      <c r="L1854">
        <v>1650</v>
      </c>
      <c r="M1854">
        <v>1650</v>
      </c>
      <c r="N1854">
        <v>0</v>
      </c>
    </row>
    <row r="1855" spans="1:14" x14ac:dyDescent="0.25">
      <c r="A1855">
        <v>1280.0010930000001</v>
      </c>
      <c r="B1855" s="1">
        <f>DATE(2013,11,1) + TIME(0,1,34)</f>
        <v>41579.001087962963</v>
      </c>
      <c r="C1855">
        <v>80</v>
      </c>
      <c r="D1855">
        <v>79.967407226999995</v>
      </c>
      <c r="E1855">
        <v>40</v>
      </c>
      <c r="F1855">
        <v>63.040649414000001</v>
      </c>
      <c r="G1855">
        <v>1331.2308350000001</v>
      </c>
      <c r="H1855">
        <v>1330.6772461</v>
      </c>
      <c r="I1855">
        <v>1335.2755127</v>
      </c>
      <c r="J1855">
        <v>1333.5605469</v>
      </c>
      <c r="K1855">
        <v>0</v>
      </c>
      <c r="L1855">
        <v>1650</v>
      </c>
      <c r="M1855">
        <v>1650</v>
      </c>
      <c r="N1855">
        <v>0</v>
      </c>
    </row>
    <row r="1856" spans="1:14" x14ac:dyDescent="0.25">
      <c r="A1856">
        <v>1280.0032799999999</v>
      </c>
      <c r="B1856" s="1">
        <f>DATE(2013,11,1) + TIME(0,4,43)</f>
        <v>41579.003275462965</v>
      </c>
      <c r="C1856">
        <v>80</v>
      </c>
      <c r="D1856">
        <v>79.967124939000001</v>
      </c>
      <c r="E1856">
        <v>40</v>
      </c>
      <c r="F1856">
        <v>62.973136902</v>
      </c>
      <c r="G1856">
        <v>1330.8468018000001</v>
      </c>
      <c r="H1856">
        <v>1330.2736815999999</v>
      </c>
      <c r="I1856">
        <v>1335.8123779</v>
      </c>
      <c r="J1856">
        <v>1334.0666504000001</v>
      </c>
      <c r="K1856">
        <v>0</v>
      </c>
      <c r="L1856">
        <v>1650</v>
      </c>
      <c r="M1856">
        <v>1650</v>
      </c>
      <c r="N1856">
        <v>0</v>
      </c>
    </row>
    <row r="1857" spans="1:14" x14ac:dyDescent="0.25">
      <c r="A1857">
        <v>1280.0098410000001</v>
      </c>
      <c r="B1857" s="1">
        <f>DATE(2013,11,1) + TIME(0,14,10)</f>
        <v>41579.009837962964</v>
      </c>
      <c r="C1857">
        <v>80</v>
      </c>
      <c r="D1857">
        <v>79.966423035000005</v>
      </c>
      <c r="E1857">
        <v>40</v>
      </c>
      <c r="F1857">
        <v>62.771308898999997</v>
      </c>
      <c r="G1857">
        <v>1330.6622314000001</v>
      </c>
      <c r="H1857">
        <v>1330.0832519999999</v>
      </c>
      <c r="I1857">
        <v>1336.0562743999999</v>
      </c>
      <c r="J1857">
        <v>1334.2974853999999</v>
      </c>
      <c r="K1857">
        <v>0</v>
      </c>
      <c r="L1857">
        <v>1650</v>
      </c>
      <c r="M1857">
        <v>1650</v>
      </c>
      <c r="N1857">
        <v>0</v>
      </c>
    </row>
    <row r="1858" spans="1:14" x14ac:dyDescent="0.25">
      <c r="A1858">
        <v>1280.029524</v>
      </c>
      <c r="B1858" s="1">
        <f>DATE(2013,11,1) + TIME(0,42,30)</f>
        <v>41579.029513888891</v>
      </c>
      <c r="C1858">
        <v>80</v>
      </c>
      <c r="D1858">
        <v>79.964385985999996</v>
      </c>
      <c r="E1858">
        <v>40</v>
      </c>
      <c r="F1858">
        <v>62.184352875000002</v>
      </c>
      <c r="G1858">
        <v>1330.6076660000001</v>
      </c>
      <c r="H1858">
        <v>1330.0270995999999</v>
      </c>
      <c r="I1858">
        <v>1336.1116943</v>
      </c>
      <c r="J1858">
        <v>1334.3463135</v>
      </c>
      <c r="K1858">
        <v>0</v>
      </c>
      <c r="L1858">
        <v>1650</v>
      </c>
      <c r="M1858">
        <v>1650</v>
      </c>
      <c r="N1858">
        <v>0</v>
      </c>
    </row>
    <row r="1859" spans="1:14" x14ac:dyDescent="0.25">
      <c r="A1859">
        <v>1280.063058</v>
      </c>
      <c r="B1859" s="1">
        <f>DATE(2013,11,1) + TIME(1,30,48)</f>
        <v>41579.063055555554</v>
      </c>
      <c r="C1859">
        <v>80</v>
      </c>
      <c r="D1859">
        <v>79.960968018000003</v>
      </c>
      <c r="E1859">
        <v>40</v>
      </c>
      <c r="F1859">
        <v>61.238338470000002</v>
      </c>
      <c r="G1859">
        <v>1330.5972899999999</v>
      </c>
      <c r="H1859">
        <v>1330.0148925999999</v>
      </c>
      <c r="I1859">
        <v>1336.1074219</v>
      </c>
      <c r="J1859">
        <v>1334.3376464999999</v>
      </c>
      <c r="K1859">
        <v>0</v>
      </c>
      <c r="L1859">
        <v>1650</v>
      </c>
      <c r="M1859">
        <v>1650</v>
      </c>
      <c r="N1859">
        <v>0</v>
      </c>
    </row>
    <row r="1860" spans="1:14" x14ac:dyDescent="0.25">
      <c r="A1860">
        <v>1280.098506</v>
      </c>
      <c r="B1860" s="1">
        <f>DATE(2013,11,1) + TIME(2,21,50)</f>
        <v>41579.098495370374</v>
      </c>
      <c r="C1860">
        <v>80</v>
      </c>
      <c r="D1860">
        <v>79.957374572999996</v>
      </c>
      <c r="E1860">
        <v>40</v>
      </c>
      <c r="F1860">
        <v>60.295967101999999</v>
      </c>
      <c r="G1860">
        <v>1330.5917969</v>
      </c>
      <c r="H1860">
        <v>1330.0068358999999</v>
      </c>
      <c r="I1860">
        <v>1336.0922852000001</v>
      </c>
      <c r="J1860">
        <v>1334.3215332</v>
      </c>
      <c r="K1860">
        <v>0</v>
      </c>
      <c r="L1860">
        <v>1650</v>
      </c>
      <c r="M1860">
        <v>1650</v>
      </c>
      <c r="N1860">
        <v>0</v>
      </c>
    </row>
    <row r="1861" spans="1:14" x14ac:dyDescent="0.25">
      <c r="A1861">
        <v>1280.136121</v>
      </c>
      <c r="B1861" s="1">
        <f>DATE(2013,11,1) + TIME(3,16,0)</f>
        <v>41579.136111111111</v>
      </c>
      <c r="C1861">
        <v>80</v>
      </c>
      <c r="D1861">
        <v>79.953567504999995</v>
      </c>
      <c r="E1861">
        <v>40</v>
      </c>
      <c r="F1861">
        <v>59.355190276999998</v>
      </c>
      <c r="G1861">
        <v>1330.5867920000001</v>
      </c>
      <c r="H1861">
        <v>1329.9992675999999</v>
      </c>
      <c r="I1861">
        <v>1336.0771483999999</v>
      </c>
      <c r="J1861">
        <v>1334.3052978999999</v>
      </c>
      <c r="K1861">
        <v>0</v>
      </c>
      <c r="L1861">
        <v>1650</v>
      </c>
      <c r="M1861">
        <v>1650</v>
      </c>
      <c r="N1861">
        <v>0</v>
      </c>
    </row>
    <row r="1862" spans="1:14" x14ac:dyDescent="0.25">
      <c r="A1862">
        <v>1280.176105</v>
      </c>
      <c r="B1862" s="1">
        <f>DATE(2013,11,1) + TIME(4,13,35)</f>
        <v>41579.176099537035</v>
      </c>
      <c r="C1862">
        <v>80</v>
      </c>
      <c r="D1862">
        <v>79.949546814000001</v>
      </c>
      <c r="E1862">
        <v>40</v>
      </c>
      <c r="F1862">
        <v>58.416858673</v>
      </c>
      <c r="G1862">
        <v>1330.581543</v>
      </c>
      <c r="H1862">
        <v>1329.9913329999999</v>
      </c>
      <c r="I1862">
        <v>1336.0618896000001</v>
      </c>
      <c r="J1862">
        <v>1334.2891846</v>
      </c>
      <c r="K1862">
        <v>0</v>
      </c>
      <c r="L1862">
        <v>1650</v>
      </c>
      <c r="M1862">
        <v>1650</v>
      </c>
      <c r="N1862">
        <v>0</v>
      </c>
    </row>
    <row r="1863" spans="1:14" x14ac:dyDescent="0.25">
      <c r="A1863">
        <v>1280.2187160000001</v>
      </c>
      <c r="B1863" s="1">
        <f>DATE(2013,11,1) + TIME(5,14,57)</f>
        <v>41579.218715277777</v>
      </c>
      <c r="C1863">
        <v>80</v>
      </c>
      <c r="D1863">
        <v>79.945274353000002</v>
      </c>
      <c r="E1863">
        <v>40</v>
      </c>
      <c r="F1863">
        <v>57.481140136999997</v>
      </c>
      <c r="G1863">
        <v>1330.5760498</v>
      </c>
      <c r="H1863">
        <v>1329.9831543</v>
      </c>
      <c r="I1863">
        <v>1336.0467529</v>
      </c>
      <c r="J1863">
        <v>1334.2730713000001</v>
      </c>
      <c r="K1863">
        <v>0</v>
      </c>
      <c r="L1863">
        <v>1650</v>
      </c>
      <c r="M1863">
        <v>1650</v>
      </c>
      <c r="N1863">
        <v>0</v>
      </c>
    </row>
    <row r="1864" spans="1:14" x14ac:dyDescent="0.25">
      <c r="A1864">
        <v>1280.264255</v>
      </c>
      <c r="B1864" s="1">
        <f>DATE(2013,11,1) + TIME(6,20,31)</f>
        <v>41579.264247685183</v>
      </c>
      <c r="C1864">
        <v>80</v>
      </c>
      <c r="D1864">
        <v>79.940742493000002</v>
      </c>
      <c r="E1864">
        <v>40</v>
      </c>
      <c r="F1864">
        <v>56.548072814999998</v>
      </c>
      <c r="G1864">
        <v>1330.5704346</v>
      </c>
      <c r="H1864">
        <v>1329.9746094</v>
      </c>
      <c r="I1864">
        <v>1336.0316161999999</v>
      </c>
      <c r="J1864">
        <v>1334.2569579999999</v>
      </c>
      <c r="K1864">
        <v>0</v>
      </c>
      <c r="L1864">
        <v>1650</v>
      </c>
      <c r="M1864">
        <v>1650</v>
      </c>
      <c r="N1864">
        <v>0</v>
      </c>
    </row>
    <row r="1865" spans="1:14" x14ac:dyDescent="0.25">
      <c r="A1865">
        <v>1280.31306</v>
      </c>
      <c r="B1865" s="1">
        <f>DATE(2013,11,1) + TIME(7,30,48)</f>
        <v>41579.313055555554</v>
      </c>
      <c r="C1865">
        <v>80</v>
      </c>
      <c r="D1865">
        <v>79.935905457000004</v>
      </c>
      <c r="E1865">
        <v>40</v>
      </c>
      <c r="F1865">
        <v>55.617912292</v>
      </c>
      <c r="G1865">
        <v>1330.5645752</v>
      </c>
      <c r="H1865">
        <v>1329.9656981999999</v>
      </c>
      <c r="I1865">
        <v>1336.0166016000001</v>
      </c>
      <c r="J1865">
        <v>1334.2409668</v>
      </c>
      <c r="K1865">
        <v>0</v>
      </c>
      <c r="L1865">
        <v>1650</v>
      </c>
      <c r="M1865">
        <v>1650</v>
      </c>
      <c r="N1865">
        <v>0</v>
      </c>
    </row>
    <row r="1866" spans="1:14" x14ac:dyDescent="0.25">
      <c r="A1866">
        <v>1280.36553</v>
      </c>
      <c r="B1866" s="1">
        <f>DATE(2013,11,1) + TIME(8,46,21)</f>
        <v>41579.365520833337</v>
      </c>
      <c r="C1866">
        <v>80</v>
      </c>
      <c r="D1866">
        <v>79.930740356000001</v>
      </c>
      <c r="E1866">
        <v>40</v>
      </c>
      <c r="F1866">
        <v>54.690963744999998</v>
      </c>
      <c r="G1866">
        <v>1330.5583495999999</v>
      </c>
      <c r="H1866">
        <v>1329.9564209</v>
      </c>
      <c r="I1866">
        <v>1336.0015868999999</v>
      </c>
      <c r="J1866">
        <v>1334.2249756000001</v>
      </c>
      <c r="K1866">
        <v>0</v>
      </c>
      <c r="L1866">
        <v>1650</v>
      </c>
      <c r="M1866">
        <v>1650</v>
      </c>
      <c r="N1866">
        <v>0</v>
      </c>
    </row>
    <row r="1867" spans="1:14" x14ac:dyDescent="0.25">
      <c r="A1867">
        <v>1280.4221339999999</v>
      </c>
      <c r="B1867" s="1">
        <f>DATE(2013,11,1) + TIME(10,7,52)</f>
        <v>41579.422129629631</v>
      </c>
      <c r="C1867">
        <v>80</v>
      </c>
      <c r="D1867">
        <v>79.925201415999993</v>
      </c>
      <c r="E1867">
        <v>40</v>
      </c>
      <c r="F1867">
        <v>53.767570495999998</v>
      </c>
      <c r="G1867">
        <v>1330.5518798999999</v>
      </c>
      <c r="H1867">
        <v>1329.9466553</v>
      </c>
      <c r="I1867">
        <v>1335.9866943</v>
      </c>
      <c r="J1867">
        <v>1334.2089844</v>
      </c>
      <c r="K1867">
        <v>0</v>
      </c>
      <c r="L1867">
        <v>1650</v>
      </c>
      <c r="M1867">
        <v>1650</v>
      </c>
      <c r="N1867">
        <v>0</v>
      </c>
    </row>
    <row r="1868" spans="1:14" x14ac:dyDescent="0.25">
      <c r="A1868">
        <v>1280.4834350000001</v>
      </c>
      <c r="B1868" s="1">
        <f>DATE(2013,11,1) + TIME(11,36,8)</f>
        <v>41579.483425925922</v>
      </c>
      <c r="C1868">
        <v>80</v>
      </c>
      <c r="D1868">
        <v>79.919250488000003</v>
      </c>
      <c r="E1868">
        <v>40</v>
      </c>
      <c r="F1868">
        <v>52.848152161000002</v>
      </c>
      <c r="G1868">
        <v>1330.5450439000001</v>
      </c>
      <c r="H1868">
        <v>1329.9364014</v>
      </c>
      <c r="I1868">
        <v>1335.9718018000001</v>
      </c>
      <c r="J1868">
        <v>1334.1932373</v>
      </c>
      <c r="K1868">
        <v>0</v>
      </c>
      <c r="L1868">
        <v>1650</v>
      </c>
      <c r="M1868">
        <v>1650</v>
      </c>
      <c r="N1868">
        <v>0</v>
      </c>
    </row>
    <row r="1869" spans="1:14" x14ac:dyDescent="0.25">
      <c r="A1869">
        <v>1280.5501079999999</v>
      </c>
      <c r="B1869" s="1">
        <f>DATE(2013,11,1) + TIME(13,12,9)</f>
        <v>41579.550104166665</v>
      </c>
      <c r="C1869">
        <v>80</v>
      </c>
      <c r="D1869">
        <v>79.912834167</v>
      </c>
      <c r="E1869">
        <v>40</v>
      </c>
      <c r="F1869">
        <v>51.933193207000002</v>
      </c>
      <c r="G1869">
        <v>1330.5378418</v>
      </c>
      <c r="H1869">
        <v>1329.9256591999999</v>
      </c>
      <c r="I1869">
        <v>1335.9571533000001</v>
      </c>
      <c r="J1869">
        <v>1334.1773682</v>
      </c>
      <c r="K1869">
        <v>0</v>
      </c>
      <c r="L1869">
        <v>1650</v>
      </c>
      <c r="M1869">
        <v>1650</v>
      </c>
      <c r="N1869">
        <v>0</v>
      </c>
    </row>
    <row r="1870" spans="1:14" x14ac:dyDescent="0.25">
      <c r="A1870">
        <v>1280.6229780000001</v>
      </c>
      <c r="B1870" s="1">
        <f>DATE(2013,11,1) + TIME(14,57,5)</f>
        <v>41579.622974537036</v>
      </c>
      <c r="C1870">
        <v>80</v>
      </c>
      <c r="D1870">
        <v>79.905883789000001</v>
      </c>
      <c r="E1870">
        <v>40</v>
      </c>
      <c r="F1870">
        <v>51.023284912000001</v>
      </c>
      <c r="G1870">
        <v>1330.5302733999999</v>
      </c>
      <c r="H1870">
        <v>1329.9141846</v>
      </c>
      <c r="I1870">
        <v>1335.9425048999999</v>
      </c>
      <c r="J1870">
        <v>1334.1617432</v>
      </c>
      <c r="K1870">
        <v>0</v>
      </c>
      <c r="L1870">
        <v>1650</v>
      </c>
      <c r="M1870">
        <v>1650</v>
      </c>
      <c r="N1870">
        <v>0</v>
      </c>
    </row>
    <row r="1871" spans="1:14" x14ac:dyDescent="0.25">
      <c r="A1871">
        <v>1280.703064</v>
      </c>
      <c r="B1871" s="1">
        <f>DATE(2013,11,1) + TIME(16,52,24)</f>
        <v>41579.703055555554</v>
      </c>
      <c r="C1871">
        <v>80</v>
      </c>
      <c r="D1871">
        <v>79.898315429999997</v>
      </c>
      <c r="E1871">
        <v>40</v>
      </c>
      <c r="F1871">
        <v>50.119140625</v>
      </c>
      <c r="G1871">
        <v>1330.5222168</v>
      </c>
      <c r="H1871">
        <v>1329.9020995999999</v>
      </c>
      <c r="I1871">
        <v>1335.9281006000001</v>
      </c>
      <c r="J1871">
        <v>1334.1462402</v>
      </c>
      <c r="K1871">
        <v>0</v>
      </c>
      <c r="L1871">
        <v>1650</v>
      </c>
      <c r="M1871">
        <v>1650</v>
      </c>
      <c r="N1871">
        <v>0</v>
      </c>
    </row>
    <row r="1872" spans="1:14" x14ac:dyDescent="0.25">
      <c r="A1872">
        <v>1280.7916399999999</v>
      </c>
      <c r="B1872" s="1">
        <f>DATE(2013,11,1) + TIME(18,59,57)</f>
        <v>41579.791631944441</v>
      </c>
      <c r="C1872">
        <v>80</v>
      </c>
      <c r="D1872">
        <v>79.890037536999998</v>
      </c>
      <c r="E1872">
        <v>40</v>
      </c>
      <c r="F1872">
        <v>49.221252440999997</v>
      </c>
      <c r="G1872">
        <v>1330.5136719</v>
      </c>
      <c r="H1872">
        <v>1329.8892822</v>
      </c>
      <c r="I1872">
        <v>1335.9138184000001</v>
      </c>
      <c r="J1872">
        <v>1334.1307373</v>
      </c>
      <c r="K1872">
        <v>0</v>
      </c>
      <c r="L1872">
        <v>1650</v>
      </c>
      <c r="M1872">
        <v>1650</v>
      </c>
      <c r="N1872">
        <v>0</v>
      </c>
    </row>
    <row r="1873" spans="1:14" x14ac:dyDescent="0.25">
      <c r="A1873">
        <v>1280.8902889999999</v>
      </c>
      <c r="B1873" s="1">
        <f>DATE(2013,11,1) + TIME(21,22,0)</f>
        <v>41579.890277777777</v>
      </c>
      <c r="C1873">
        <v>80</v>
      </c>
      <c r="D1873">
        <v>79.880935668999996</v>
      </c>
      <c r="E1873">
        <v>40</v>
      </c>
      <c r="F1873">
        <v>48.331348419000001</v>
      </c>
      <c r="G1873">
        <v>1330.5045166</v>
      </c>
      <c r="H1873">
        <v>1329.8754882999999</v>
      </c>
      <c r="I1873">
        <v>1335.8997803</v>
      </c>
      <c r="J1873">
        <v>1334.1156006000001</v>
      </c>
      <c r="K1873">
        <v>0</v>
      </c>
      <c r="L1873">
        <v>1650</v>
      </c>
      <c r="M1873">
        <v>1650</v>
      </c>
      <c r="N1873">
        <v>0</v>
      </c>
    </row>
    <row r="1874" spans="1:14" x14ac:dyDescent="0.25">
      <c r="A1874">
        <v>1281.0011420000001</v>
      </c>
      <c r="B1874" s="1">
        <f>DATE(2013,11,2) + TIME(0,1,38)</f>
        <v>41580.001134259262</v>
      </c>
      <c r="C1874">
        <v>80</v>
      </c>
      <c r="D1874">
        <v>79.870841979999994</v>
      </c>
      <c r="E1874">
        <v>40</v>
      </c>
      <c r="F1874">
        <v>47.450595856</v>
      </c>
      <c r="G1874">
        <v>1330.4946289</v>
      </c>
      <c r="H1874">
        <v>1329.8607178</v>
      </c>
      <c r="I1874">
        <v>1335.8861084</v>
      </c>
      <c r="J1874">
        <v>1334.1004639</v>
      </c>
      <c r="K1874">
        <v>0</v>
      </c>
      <c r="L1874">
        <v>1650</v>
      </c>
      <c r="M1874">
        <v>1650</v>
      </c>
      <c r="N1874">
        <v>0</v>
      </c>
    </row>
    <row r="1875" spans="1:14" x14ac:dyDescent="0.25">
      <c r="A1875">
        <v>1281.1239250000001</v>
      </c>
      <c r="B1875" s="1">
        <f>DATE(2013,11,2) + TIME(2,58,27)</f>
        <v>41580.123923611114</v>
      </c>
      <c r="C1875">
        <v>80</v>
      </c>
      <c r="D1875">
        <v>79.859832764000004</v>
      </c>
      <c r="E1875">
        <v>40</v>
      </c>
      <c r="F1875">
        <v>46.599372864000003</v>
      </c>
      <c r="G1875">
        <v>1330.4838867000001</v>
      </c>
      <c r="H1875">
        <v>1329.8448486</v>
      </c>
      <c r="I1875">
        <v>1335.8728027</v>
      </c>
      <c r="J1875">
        <v>1334.0860596</v>
      </c>
      <c r="K1875">
        <v>0</v>
      </c>
      <c r="L1875">
        <v>1650</v>
      </c>
      <c r="M1875">
        <v>1650</v>
      </c>
      <c r="N1875">
        <v>0</v>
      </c>
    </row>
    <row r="1876" spans="1:14" x14ac:dyDescent="0.25">
      <c r="A1876">
        <v>1281.2515470000001</v>
      </c>
      <c r="B1876" s="1">
        <f>DATE(2013,11,2) + TIME(6,2,13)</f>
        <v>41580.251539351855</v>
      </c>
      <c r="C1876">
        <v>80</v>
      </c>
      <c r="D1876">
        <v>79.848503113000007</v>
      </c>
      <c r="E1876">
        <v>40</v>
      </c>
      <c r="F1876">
        <v>45.828712463000002</v>
      </c>
      <c r="G1876">
        <v>1330.4727783000001</v>
      </c>
      <c r="H1876">
        <v>1329.828125</v>
      </c>
      <c r="I1876">
        <v>1335.8605957</v>
      </c>
      <c r="J1876">
        <v>1334.072876</v>
      </c>
      <c r="K1876">
        <v>0</v>
      </c>
      <c r="L1876">
        <v>1650</v>
      </c>
      <c r="M1876">
        <v>1650</v>
      </c>
      <c r="N1876">
        <v>0</v>
      </c>
    </row>
    <row r="1877" spans="1:14" x14ac:dyDescent="0.25">
      <c r="A1877">
        <v>1281.3846510000001</v>
      </c>
      <c r="B1877" s="1">
        <f>DATE(2013,11,2) + TIME(9,13,53)</f>
        <v>41580.384641203702</v>
      </c>
      <c r="C1877">
        <v>80</v>
      </c>
      <c r="D1877">
        <v>79.836814880000006</v>
      </c>
      <c r="E1877">
        <v>40</v>
      </c>
      <c r="F1877">
        <v>45.130218505999999</v>
      </c>
      <c r="G1877">
        <v>1330.4614257999999</v>
      </c>
      <c r="H1877">
        <v>1329.8114014</v>
      </c>
      <c r="I1877">
        <v>1335.8498535000001</v>
      </c>
      <c r="J1877">
        <v>1334.0611572</v>
      </c>
      <c r="K1877">
        <v>0</v>
      </c>
      <c r="L1877">
        <v>1650</v>
      </c>
      <c r="M1877">
        <v>1650</v>
      </c>
      <c r="N1877">
        <v>0</v>
      </c>
    </row>
    <row r="1878" spans="1:14" x14ac:dyDescent="0.25">
      <c r="A1878">
        <v>1281.5231550000001</v>
      </c>
      <c r="B1878" s="1">
        <f>DATE(2013,11,2) + TIME(12,33,20)</f>
        <v>41580.523148148146</v>
      </c>
      <c r="C1878">
        <v>80</v>
      </c>
      <c r="D1878">
        <v>79.824775696000003</v>
      </c>
      <c r="E1878">
        <v>40</v>
      </c>
      <c r="F1878">
        <v>44.500015259000001</v>
      </c>
      <c r="G1878">
        <v>1330.4500731999999</v>
      </c>
      <c r="H1878">
        <v>1329.7945557</v>
      </c>
      <c r="I1878">
        <v>1335.840332</v>
      </c>
      <c r="J1878">
        <v>1334.0506591999999</v>
      </c>
      <c r="K1878">
        <v>0</v>
      </c>
      <c r="L1878">
        <v>1650</v>
      </c>
      <c r="M1878">
        <v>1650</v>
      </c>
      <c r="N1878">
        <v>0</v>
      </c>
    </row>
    <row r="1879" spans="1:14" x14ac:dyDescent="0.25">
      <c r="A1879">
        <v>1281.6671160000001</v>
      </c>
      <c r="B1879" s="1">
        <f>DATE(2013,11,2) + TIME(16,0,38)</f>
        <v>41580.66710648148</v>
      </c>
      <c r="C1879">
        <v>80</v>
      </c>
      <c r="D1879">
        <v>79.812408446999996</v>
      </c>
      <c r="E1879">
        <v>40</v>
      </c>
      <c r="F1879">
        <v>43.933460236000002</v>
      </c>
      <c r="G1879">
        <v>1330.4385986</v>
      </c>
      <c r="H1879">
        <v>1329.7775879000001</v>
      </c>
      <c r="I1879">
        <v>1335.8320312000001</v>
      </c>
      <c r="J1879">
        <v>1334.0413818</v>
      </c>
      <c r="K1879">
        <v>0</v>
      </c>
      <c r="L1879">
        <v>1650</v>
      </c>
      <c r="M1879">
        <v>1650</v>
      </c>
      <c r="N1879">
        <v>0</v>
      </c>
    </row>
    <row r="1880" spans="1:14" x14ac:dyDescent="0.25">
      <c r="A1880">
        <v>1281.8168499999999</v>
      </c>
      <c r="B1880" s="1">
        <f>DATE(2013,11,2) + TIME(19,36,15)</f>
        <v>41580.816840277781</v>
      </c>
      <c r="C1880">
        <v>80</v>
      </c>
      <c r="D1880">
        <v>79.799674988000007</v>
      </c>
      <c r="E1880">
        <v>40</v>
      </c>
      <c r="F1880">
        <v>43.425209045000003</v>
      </c>
      <c r="G1880">
        <v>1330.427124</v>
      </c>
      <c r="H1880">
        <v>1329.760376</v>
      </c>
      <c r="I1880">
        <v>1335.8248291</v>
      </c>
      <c r="J1880">
        <v>1334.0332031</v>
      </c>
      <c r="K1880">
        <v>0</v>
      </c>
      <c r="L1880">
        <v>1650</v>
      </c>
      <c r="M1880">
        <v>1650</v>
      </c>
      <c r="N1880">
        <v>0</v>
      </c>
    </row>
    <row r="1881" spans="1:14" x14ac:dyDescent="0.25">
      <c r="A1881">
        <v>1281.9727330000001</v>
      </c>
      <c r="B1881" s="1">
        <f>DATE(2013,11,2) + TIME(23,20,44)</f>
        <v>41580.972731481481</v>
      </c>
      <c r="C1881">
        <v>80</v>
      </c>
      <c r="D1881">
        <v>79.786560058999996</v>
      </c>
      <c r="E1881">
        <v>40</v>
      </c>
      <c r="F1881">
        <v>42.970325469999999</v>
      </c>
      <c r="G1881">
        <v>1330.4154053</v>
      </c>
      <c r="H1881">
        <v>1329.7431641000001</v>
      </c>
      <c r="I1881">
        <v>1335.8184814000001</v>
      </c>
      <c r="J1881">
        <v>1334.0258789</v>
      </c>
      <c r="K1881">
        <v>0</v>
      </c>
      <c r="L1881">
        <v>1650</v>
      </c>
      <c r="M1881">
        <v>1650</v>
      </c>
      <c r="N1881">
        <v>0</v>
      </c>
    </row>
    <row r="1882" spans="1:14" x14ac:dyDescent="0.25">
      <c r="A1882">
        <v>1282.135172</v>
      </c>
      <c r="B1882" s="1">
        <f>DATE(2013,11,3) + TIME(3,14,38)</f>
        <v>41581.135162037041</v>
      </c>
      <c r="C1882">
        <v>80</v>
      </c>
      <c r="D1882">
        <v>79.773040770999998</v>
      </c>
      <c r="E1882">
        <v>40</v>
      </c>
      <c r="F1882">
        <v>42.564311981000003</v>
      </c>
      <c r="G1882">
        <v>1330.4035644999999</v>
      </c>
      <c r="H1882">
        <v>1329.7257079999999</v>
      </c>
      <c r="I1882">
        <v>1335.8129882999999</v>
      </c>
      <c r="J1882">
        <v>1334.0194091999999</v>
      </c>
      <c r="K1882">
        <v>0</v>
      </c>
      <c r="L1882">
        <v>1650</v>
      </c>
      <c r="M1882">
        <v>1650</v>
      </c>
      <c r="N1882">
        <v>0</v>
      </c>
    </row>
    <row r="1883" spans="1:14" x14ac:dyDescent="0.25">
      <c r="A1883">
        <v>1282.3044789999999</v>
      </c>
      <c r="B1883" s="1">
        <f>DATE(2013,11,3) + TIME(7,18,26)</f>
        <v>41581.304467592592</v>
      </c>
      <c r="C1883">
        <v>80</v>
      </c>
      <c r="D1883">
        <v>79.759109496999997</v>
      </c>
      <c r="E1883">
        <v>40</v>
      </c>
      <c r="F1883">
        <v>42.203292847</v>
      </c>
      <c r="G1883">
        <v>1330.3916016000001</v>
      </c>
      <c r="H1883">
        <v>1329.7081298999999</v>
      </c>
      <c r="I1883">
        <v>1335.8081055</v>
      </c>
      <c r="J1883">
        <v>1334.0137939000001</v>
      </c>
      <c r="K1883">
        <v>0</v>
      </c>
      <c r="L1883">
        <v>1650</v>
      </c>
      <c r="M1883">
        <v>1650</v>
      </c>
      <c r="N1883">
        <v>0</v>
      </c>
    </row>
    <row r="1884" spans="1:14" x14ac:dyDescent="0.25">
      <c r="A1884">
        <v>1282.481223</v>
      </c>
      <c r="B1884" s="1">
        <f>DATE(2013,11,3) + TIME(11,32,57)</f>
        <v>41581.481215277781</v>
      </c>
      <c r="C1884">
        <v>80</v>
      </c>
      <c r="D1884">
        <v>79.744712829999997</v>
      </c>
      <c r="E1884">
        <v>40</v>
      </c>
      <c r="F1884">
        <v>41.883235931000002</v>
      </c>
      <c r="G1884">
        <v>1330.3795166</v>
      </c>
      <c r="H1884">
        <v>1329.6903076000001</v>
      </c>
      <c r="I1884">
        <v>1335.8039550999999</v>
      </c>
      <c r="J1884">
        <v>1334.0089111</v>
      </c>
      <c r="K1884">
        <v>0</v>
      </c>
      <c r="L1884">
        <v>1650</v>
      </c>
      <c r="M1884">
        <v>1650</v>
      </c>
      <c r="N1884">
        <v>0</v>
      </c>
    </row>
    <row r="1885" spans="1:14" x14ac:dyDescent="0.25">
      <c r="A1885">
        <v>1282.665933</v>
      </c>
      <c r="B1885" s="1">
        <f>DATE(2013,11,3) + TIME(15,58,56)</f>
        <v>41581.665925925925</v>
      </c>
      <c r="C1885">
        <v>80</v>
      </c>
      <c r="D1885">
        <v>79.729835510000001</v>
      </c>
      <c r="E1885">
        <v>40</v>
      </c>
      <c r="F1885">
        <v>41.600605010999999</v>
      </c>
      <c r="G1885">
        <v>1330.3671875</v>
      </c>
      <c r="H1885">
        <v>1329.6721190999999</v>
      </c>
      <c r="I1885">
        <v>1335.800293</v>
      </c>
      <c r="J1885">
        <v>1334.0045166</v>
      </c>
      <c r="K1885">
        <v>0</v>
      </c>
      <c r="L1885">
        <v>1650</v>
      </c>
      <c r="M1885">
        <v>1650</v>
      </c>
      <c r="N1885">
        <v>0</v>
      </c>
    </row>
    <row r="1886" spans="1:14" x14ac:dyDescent="0.25">
      <c r="A1886">
        <v>1282.859168</v>
      </c>
      <c r="B1886" s="1">
        <f>DATE(2013,11,3) + TIME(20,37,12)</f>
        <v>41581.859166666669</v>
      </c>
      <c r="C1886">
        <v>80</v>
      </c>
      <c r="D1886">
        <v>79.714439392000003</v>
      </c>
      <c r="E1886">
        <v>40</v>
      </c>
      <c r="F1886">
        <v>41.352146148999999</v>
      </c>
      <c r="G1886">
        <v>1330.3546143000001</v>
      </c>
      <c r="H1886">
        <v>1329.6538086</v>
      </c>
      <c r="I1886">
        <v>1335.7971190999999</v>
      </c>
      <c r="J1886">
        <v>1334.0007324000001</v>
      </c>
      <c r="K1886">
        <v>0</v>
      </c>
      <c r="L1886">
        <v>1650</v>
      </c>
      <c r="M1886">
        <v>1650</v>
      </c>
      <c r="N1886">
        <v>0</v>
      </c>
    </row>
    <row r="1887" spans="1:14" x14ac:dyDescent="0.25">
      <c r="A1887">
        <v>1283.0615379999999</v>
      </c>
      <c r="B1887" s="1">
        <f>DATE(2013,11,4) + TIME(1,28,36)</f>
        <v>41582.061527777776</v>
      </c>
      <c r="C1887">
        <v>80</v>
      </c>
      <c r="D1887">
        <v>79.698493958</v>
      </c>
      <c r="E1887">
        <v>40</v>
      </c>
      <c r="F1887">
        <v>41.134796143000003</v>
      </c>
      <c r="G1887">
        <v>1330.3417969</v>
      </c>
      <c r="H1887">
        <v>1329.6350098</v>
      </c>
      <c r="I1887">
        <v>1335.7943115</v>
      </c>
      <c r="J1887">
        <v>1333.9974365</v>
      </c>
      <c r="K1887">
        <v>0</v>
      </c>
      <c r="L1887">
        <v>1650</v>
      </c>
      <c r="M1887">
        <v>1650</v>
      </c>
      <c r="N1887">
        <v>0</v>
      </c>
    </row>
    <row r="1888" spans="1:14" x14ac:dyDescent="0.25">
      <c r="A1888">
        <v>1283.2737059999999</v>
      </c>
      <c r="B1888" s="1">
        <f>DATE(2013,11,4) + TIME(6,34,8)</f>
        <v>41582.2737037037</v>
      </c>
      <c r="C1888">
        <v>80</v>
      </c>
      <c r="D1888">
        <v>79.681953429999993</v>
      </c>
      <c r="E1888">
        <v>40</v>
      </c>
      <c r="F1888">
        <v>40.945693970000001</v>
      </c>
      <c r="G1888">
        <v>1330.3286132999999</v>
      </c>
      <c r="H1888">
        <v>1329.6159668</v>
      </c>
      <c r="I1888">
        <v>1335.7917480000001</v>
      </c>
      <c r="J1888">
        <v>1333.9945068</v>
      </c>
      <c r="K1888">
        <v>0</v>
      </c>
      <c r="L1888">
        <v>1650</v>
      </c>
      <c r="M1888">
        <v>1650</v>
      </c>
      <c r="N1888">
        <v>0</v>
      </c>
    </row>
    <row r="1889" spans="1:14" x14ac:dyDescent="0.25">
      <c r="A1889">
        <v>1283.496394</v>
      </c>
      <c r="B1889" s="1">
        <f>DATE(2013,11,4) + TIME(11,54,48)</f>
        <v>41582.496388888889</v>
      </c>
      <c r="C1889">
        <v>80</v>
      </c>
      <c r="D1889">
        <v>79.664779663000004</v>
      </c>
      <c r="E1889">
        <v>40</v>
      </c>
      <c r="F1889">
        <v>40.782150268999999</v>
      </c>
      <c r="G1889">
        <v>1330.3153076000001</v>
      </c>
      <c r="H1889">
        <v>1329.5964355000001</v>
      </c>
      <c r="I1889">
        <v>1335.7895507999999</v>
      </c>
      <c r="J1889">
        <v>1333.9919434000001</v>
      </c>
      <c r="K1889">
        <v>0</v>
      </c>
      <c r="L1889">
        <v>1650</v>
      </c>
      <c r="M1889">
        <v>1650</v>
      </c>
      <c r="N1889">
        <v>0</v>
      </c>
    </row>
    <row r="1890" spans="1:14" x14ac:dyDescent="0.25">
      <c r="A1890">
        <v>1283.7303959999999</v>
      </c>
      <c r="B1890" s="1">
        <f>DATE(2013,11,4) + TIME(17,31,46)</f>
        <v>41582.730393518519</v>
      </c>
      <c r="C1890">
        <v>80</v>
      </c>
      <c r="D1890">
        <v>79.646926879999995</v>
      </c>
      <c r="E1890">
        <v>40</v>
      </c>
      <c r="F1890">
        <v>40.641624450999998</v>
      </c>
      <c r="G1890">
        <v>1330.3015137</v>
      </c>
      <c r="H1890">
        <v>1329.5764160000001</v>
      </c>
      <c r="I1890">
        <v>1335.7875977000001</v>
      </c>
      <c r="J1890">
        <v>1333.989624</v>
      </c>
      <c r="K1890">
        <v>0</v>
      </c>
      <c r="L1890">
        <v>1650</v>
      </c>
      <c r="M1890">
        <v>1650</v>
      </c>
      <c r="N1890">
        <v>0</v>
      </c>
    </row>
    <row r="1891" spans="1:14" x14ac:dyDescent="0.25">
      <c r="A1891">
        <v>1283.976582</v>
      </c>
      <c r="B1891" s="1">
        <f>DATE(2013,11,4) + TIME(23,26,16)</f>
        <v>41582.976574074077</v>
      </c>
      <c r="C1891">
        <v>80</v>
      </c>
      <c r="D1891">
        <v>79.628349303999997</v>
      </c>
      <c r="E1891">
        <v>40</v>
      </c>
      <c r="F1891">
        <v>40.521720885999997</v>
      </c>
      <c r="G1891">
        <v>1330.2874756000001</v>
      </c>
      <c r="H1891">
        <v>1329.5560303</v>
      </c>
      <c r="I1891">
        <v>1335.7857666</v>
      </c>
      <c r="J1891">
        <v>1333.9876709</v>
      </c>
      <c r="K1891">
        <v>0</v>
      </c>
      <c r="L1891">
        <v>1650</v>
      </c>
      <c r="M1891">
        <v>1650</v>
      </c>
      <c r="N1891">
        <v>0</v>
      </c>
    </row>
    <row r="1892" spans="1:14" x14ac:dyDescent="0.25">
      <c r="A1892">
        <v>1284.2359140000001</v>
      </c>
      <c r="B1892" s="1">
        <f>DATE(2013,11,5) + TIME(5,39,42)</f>
        <v>41583.235902777778</v>
      </c>
      <c r="C1892">
        <v>80</v>
      </c>
      <c r="D1892">
        <v>79.608985900999997</v>
      </c>
      <c r="E1892">
        <v>40</v>
      </c>
      <c r="F1892">
        <v>40.420181274000001</v>
      </c>
      <c r="G1892">
        <v>1330.2729492000001</v>
      </c>
      <c r="H1892">
        <v>1329.5350341999999</v>
      </c>
      <c r="I1892">
        <v>1335.7840576000001</v>
      </c>
      <c r="J1892">
        <v>1333.9859618999999</v>
      </c>
      <c r="K1892">
        <v>0</v>
      </c>
      <c r="L1892">
        <v>1650</v>
      </c>
      <c r="M1892">
        <v>1650</v>
      </c>
      <c r="N1892">
        <v>0</v>
      </c>
    </row>
    <row r="1893" spans="1:14" x14ac:dyDescent="0.25">
      <c r="A1893">
        <v>1284.509376</v>
      </c>
      <c r="B1893" s="1">
        <f>DATE(2013,11,5) + TIME(12,13,30)</f>
        <v>41583.509375000001</v>
      </c>
      <c r="C1893">
        <v>80</v>
      </c>
      <c r="D1893">
        <v>79.588783264</v>
      </c>
      <c r="E1893">
        <v>40</v>
      </c>
      <c r="F1893">
        <v>40.334918975999997</v>
      </c>
      <c r="G1893">
        <v>1330.2579346</v>
      </c>
      <c r="H1893">
        <v>1329.5134277</v>
      </c>
      <c r="I1893">
        <v>1335.7824707</v>
      </c>
      <c r="J1893">
        <v>1333.9844971</v>
      </c>
      <c r="K1893">
        <v>0</v>
      </c>
      <c r="L1893">
        <v>1650</v>
      </c>
      <c r="M1893">
        <v>1650</v>
      </c>
      <c r="N1893">
        <v>0</v>
      </c>
    </row>
    <row r="1894" spans="1:14" x14ac:dyDescent="0.25">
      <c r="A1894">
        <v>1284.7981199999999</v>
      </c>
      <c r="B1894" s="1">
        <f>DATE(2013,11,5) + TIME(19,9,17)</f>
        <v>41583.798113425924</v>
      </c>
      <c r="C1894">
        <v>80</v>
      </c>
      <c r="D1894">
        <v>79.567687988000003</v>
      </c>
      <c r="E1894">
        <v>40</v>
      </c>
      <c r="F1894">
        <v>40.263938904</v>
      </c>
      <c r="G1894">
        <v>1330.2425536999999</v>
      </c>
      <c r="H1894">
        <v>1329.4912108999999</v>
      </c>
      <c r="I1894">
        <v>1335.7808838000001</v>
      </c>
      <c r="J1894">
        <v>1333.9831543</v>
      </c>
      <c r="K1894">
        <v>0</v>
      </c>
      <c r="L1894">
        <v>1650</v>
      </c>
      <c r="M1894">
        <v>1650</v>
      </c>
      <c r="N1894">
        <v>0</v>
      </c>
    </row>
    <row r="1895" spans="1:14" x14ac:dyDescent="0.25">
      <c r="A1895">
        <v>1285.103513</v>
      </c>
      <c r="B1895" s="1">
        <f>DATE(2013,11,6) + TIME(2,29,3)</f>
        <v>41584.103506944448</v>
      </c>
      <c r="C1895">
        <v>80</v>
      </c>
      <c r="D1895">
        <v>79.545608521000005</v>
      </c>
      <c r="E1895">
        <v>40</v>
      </c>
      <c r="F1895">
        <v>40.20539093</v>
      </c>
      <c r="G1895">
        <v>1330.2266846</v>
      </c>
      <c r="H1895">
        <v>1329.4682617000001</v>
      </c>
      <c r="I1895">
        <v>1335.7795410000001</v>
      </c>
      <c r="J1895">
        <v>1333.9819336</v>
      </c>
      <c r="K1895">
        <v>0</v>
      </c>
      <c r="L1895">
        <v>1650</v>
      </c>
      <c r="M1895">
        <v>1650</v>
      </c>
      <c r="N1895">
        <v>0</v>
      </c>
    </row>
    <row r="1896" spans="1:14" x14ac:dyDescent="0.25">
      <c r="A1896">
        <v>1285.4270369999999</v>
      </c>
      <c r="B1896" s="1">
        <f>DATE(2013,11,6) + TIME(10,14,56)</f>
        <v>41584.427037037036</v>
      </c>
      <c r="C1896">
        <v>80</v>
      </c>
      <c r="D1896">
        <v>79.522476196</v>
      </c>
      <c r="E1896">
        <v>40</v>
      </c>
      <c r="F1896">
        <v>40.157562255999999</v>
      </c>
      <c r="G1896">
        <v>1330.2102050999999</v>
      </c>
      <c r="H1896">
        <v>1329.4447021000001</v>
      </c>
      <c r="I1896">
        <v>1335.7780762</v>
      </c>
      <c r="J1896">
        <v>1333.9807129000001</v>
      </c>
      <c r="K1896">
        <v>0</v>
      </c>
      <c r="L1896">
        <v>1650</v>
      </c>
      <c r="M1896">
        <v>1650</v>
      </c>
      <c r="N1896">
        <v>0</v>
      </c>
    </row>
    <row r="1897" spans="1:14" x14ac:dyDescent="0.25">
      <c r="A1897">
        <v>1285.770358</v>
      </c>
      <c r="B1897" s="1">
        <f>DATE(2013,11,6) + TIME(18,29,18)</f>
        <v>41584.77034722222</v>
      </c>
      <c r="C1897">
        <v>80</v>
      </c>
      <c r="D1897">
        <v>79.498199463000006</v>
      </c>
      <c r="E1897">
        <v>40</v>
      </c>
      <c r="F1897">
        <v>40.118900299000003</v>
      </c>
      <c r="G1897">
        <v>1330.1931152</v>
      </c>
      <c r="H1897">
        <v>1329.4201660000001</v>
      </c>
      <c r="I1897">
        <v>1335.7766113</v>
      </c>
      <c r="J1897">
        <v>1333.9797363</v>
      </c>
      <c r="K1897">
        <v>0</v>
      </c>
      <c r="L1897">
        <v>1650</v>
      </c>
      <c r="M1897">
        <v>1650</v>
      </c>
      <c r="N1897">
        <v>0</v>
      </c>
    </row>
    <row r="1898" spans="1:14" x14ac:dyDescent="0.25">
      <c r="A1898">
        <v>1286.1353429999999</v>
      </c>
      <c r="B1898" s="1">
        <f>DATE(2013,11,7) + TIME(3,14,53)</f>
        <v>41585.135335648149</v>
      </c>
      <c r="C1898">
        <v>80</v>
      </c>
      <c r="D1898">
        <v>79.472671508999994</v>
      </c>
      <c r="E1898">
        <v>40</v>
      </c>
      <c r="F1898">
        <v>40.087985992</v>
      </c>
      <c r="G1898">
        <v>1330.175293</v>
      </c>
      <c r="H1898">
        <v>1329.3947754000001</v>
      </c>
      <c r="I1898">
        <v>1335.7752685999999</v>
      </c>
      <c r="J1898">
        <v>1333.9787598</v>
      </c>
      <c r="K1898">
        <v>0</v>
      </c>
      <c r="L1898">
        <v>1650</v>
      </c>
      <c r="M1898">
        <v>1650</v>
      </c>
      <c r="N1898">
        <v>0</v>
      </c>
    </row>
    <row r="1899" spans="1:14" x14ac:dyDescent="0.25">
      <c r="A1899">
        <v>1286.524091</v>
      </c>
      <c r="B1899" s="1">
        <f>DATE(2013,11,7) + TIME(12,34,41)</f>
        <v>41585.524085648147</v>
      </c>
      <c r="C1899">
        <v>80</v>
      </c>
      <c r="D1899">
        <v>79.445793151999993</v>
      </c>
      <c r="E1899">
        <v>40</v>
      </c>
      <c r="F1899">
        <v>40.063560486</v>
      </c>
      <c r="G1899">
        <v>1330.1568603999999</v>
      </c>
      <c r="H1899">
        <v>1329.3684082</v>
      </c>
      <c r="I1899">
        <v>1335.7738036999999</v>
      </c>
      <c r="J1899">
        <v>1333.9777832</v>
      </c>
      <c r="K1899">
        <v>0</v>
      </c>
      <c r="L1899">
        <v>1650</v>
      </c>
      <c r="M1899">
        <v>1650</v>
      </c>
      <c r="N1899">
        <v>0</v>
      </c>
    </row>
    <row r="1900" spans="1:14" x14ac:dyDescent="0.25">
      <c r="A1900">
        <v>1286.9389940000001</v>
      </c>
      <c r="B1900" s="1">
        <f>DATE(2013,11,7) + TIME(22,32,9)</f>
        <v>41585.938993055555</v>
      </c>
      <c r="C1900">
        <v>80</v>
      </c>
      <c r="D1900">
        <v>79.417434692</v>
      </c>
      <c r="E1900">
        <v>40</v>
      </c>
      <c r="F1900">
        <v>40.044483184999997</v>
      </c>
      <c r="G1900">
        <v>1330.1375731999999</v>
      </c>
      <c r="H1900">
        <v>1329.3409423999999</v>
      </c>
      <c r="I1900">
        <v>1335.7724608999999</v>
      </c>
      <c r="J1900">
        <v>1333.9768065999999</v>
      </c>
      <c r="K1900">
        <v>0</v>
      </c>
      <c r="L1900">
        <v>1650</v>
      </c>
      <c r="M1900">
        <v>1650</v>
      </c>
      <c r="N1900">
        <v>0</v>
      </c>
    </row>
    <row r="1901" spans="1:14" x14ac:dyDescent="0.25">
      <c r="A1901">
        <v>1287.382791</v>
      </c>
      <c r="B1901" s="1">
        <f>DATE(2013,11,8) + TIME(9,11,13)</f>
        <v>41586.382789351854</v>
      </c>
      <c r="C1901">
        <v>80</v>
      </c>
      <c r="D1901">
        <v>79.387458800999994</v>
      </c>
      <c r="E1901">
        <v>40</v>
      </c>
      <c r="F1901">
        <v>40.029766082999998</v>
      </c>
      <c r="G1901">
        <v>1330.1174315999999</v>
      </c>
      <c r="H1901">
        <v>1329.3123779</v>
      </c>
      <c r="I1901">
        <v>1335.7709961</v>
      </c>
      <c r="J1901">
        <v>1333.9757079999999</v>
      </c>
      <c r="K1901">
        <v>0</v>
      </c>
      <c r="L1901">
        <v>1650</v>
      </c>
      <c r="M1901">
        <v>1650</v>
      </c>
      <c r="N1901">
        <v>0</v>
      </c>
    </row>
    <row r="1902" spans="1:14" x14ac:dyDescent="0.25">
      <c r="A1902">
        <v>1287.8380709999999</v>
      </c>
      <c r="B1902" s="1">
        <f>DATE(2013,11,8) + TIME(20,6,49)</f>
        <v>41586.838067129633</v>
      </c>
      <c r="C1902">
        <v>80</v>
      </c>
      <c r="D1902">
        <v>79.356712341000005</v>
      </c>
      <c r="E1902">
        <v>40</v>
      </c>
      <c r="F1902">
        <v>40.018901825</v>
      </c>
      <c r="G1902">
        <v>1330.0964355000001</v>
      </c>
      <c r="H1902">
        <v>1329.2827147999999</v>
      </c>
      <c r="I1902">
        <v>1335.7695312000001</v>
      </c>
      <c r="J1902">
        <v>1333.9747314000001</v>
      </c>
      <c r="K1902">
        <v>0</v>
      </c>
      <c r="L1902">
        <v>1650</v>
      </c>
      <c r="M1902">
        <v>1650</v>
      </c>
      <c r="N1902">
        <v>0</v>
      </c>
    </row>
    <row r="1903" spans="1:14" x14ac:dyDescent="0.25">
      <c r="A1903">
        <v>1288.3057719999999</v>
      </c>
      <c r="B1903" s="1">
        <f>DATE(2013,11,9) + TIME(7,20,18)</f>
        <v>41587.305763888886</v>
      </c>
      <c r="C1903">
        <v>80</v>
      </c>
      <c r="D1903">
        <v>79.325202942000004</v>
      </c>
      <c r="E1903">
        <v>40</v>
      </c>
      <c r="F1903">
        <v>40.010890961000001</v>
      </c>
      <c r="G1903">
        <v>1330.0751952999999</v>
      </c>
      <c r="H1903">
        <v>1329.2525635</v>
      </c>
      <c r="I1903">
        <v>1335.7680664</v>
      </c>
      <c r="J1903">
        <v>1333.9737548999999</v>
      </c>
      <c r="K1903">
        <v>0</v>
      </c>
      <c r="L1903">
        <v>1650</v>
      </c>
      <c r="M1903">
        <v>1650</v>
      </c>
      <c r="N1903">
        <v>0</v>
      </c>
    </row>
    <row r="1904" spans="1:14" x14ac:dyDescent="0.25">
      <c r="A1904">
        <v>1288.7870499999999</v>
      </c>
      <c r="B1904" s="1">
        <f>DATE(2013,11,9) + TIME(18,53,21)</f>
        <v>41587.787048611113</v>
      </c>
      <c r="C1904">
        <v>80</v>
      </c>
      <c r="D1904">
        <v>79.292930603000002</v>
      </c>
      <c r="E1904">
        <v>40</v>
      </c>
      <c r="F1904">
        <v>40.004978180000002</v>
      </c>
      <c r="G1904">
        <v>1330.0537108999999</v>
      </c>
      <c r="H1904">
        <v>1329.222168</v>
      </c>
      <c r="I1904">
        <v>1335.7667236</v>
      </c>
      <c r="J1904">
        <v>1333.9726562000001</v>
      </c>
      <c r="K1904">
        <v>0</v>
      </c>
      <c r="L1904">
        <v>1650</v>
      </c>
      <c r="M1904">
        <v>1650</v>
      </c>
      <c r="N1904">
        <v>0</v>
      </c>
    </row>
    <row r="1905" spans="1:14" x14ac:dyDescent="0.25">
      <c r="A1905">
        <v>1289.2831470000001</v>
      </c>
      <c r="B1905" s="1">
        <f>DATE(2013,11,10) + TIME(6,47,43)</f>
        <v>41588.283136574071</v>
      </c>
      <c r="C1905">
        <v>80</v>
      </c>
      <c r="D1905">
        <v>79.259849548000005</v>
      </c>
      <c r="E1905">
        <v>40</v>
      </c>
      <c r="F1905">
        <v>40.000610352000002</v>
      </c>
      <c r="G1905">
        <v>1330.0319824000001</v>
      </c>
      <c r="H1905">
        <v>1329.1915283000001</v>
      </c>
      <c r="I1905">
        <v>1335.7652588000001</v>
      </c>
      <c r="J1905">
        <v>1333.9716797000001</v>
      </c>
      <c r="K1905">
        <v>0</v>
      </c>
      <c r="L1905">
        <v>1650</v>
      </c>
      <c r="M1905">
        <v>1650</v>
      </c>
      <c r="N1905">
        <v>0</v>
      </c>
    </row>
    <row r="1906" spans="1:14" x14ac:dyDescent="0.25">
      <c r="A1906">
        <v>1289.795404</v>
      </c>
      <c r="B1906" s="1">
        <f>DATE(2013,11,10) + TIME(19,5,22)</f>
        <v>41588.795393518521</v>
      </c>
      <c r="C1906">
        <v>80</v>
      </c>
      <c r="D1906">
        <v>79.225921631000006</v>
      </c>
      <c r="E1906">
        <v>40</v>
      </c>
      <c r="F1906">
        <v>39.997375488000003</v>
      </c>
      <c r="G1906">
        <v>1330.0098877</v>
      </c>
      <c r="H1906">
        <v>1329.1604004000001</v>
      </c>
      <c r="I1906">
        <v>1335.7639160000001</v>
      </c>
      <c r="J1906">
        <v>1333.9705810999999</v>
      </c>
      <c r="K1906">
        <v>0</v>
      </c>
      <c r="L1906">
        <v>1650</v>
      </c>
      <c r="M1906">
        <v>1650</v>
      </c>
      <c r="N1906">
        <v>0</v>
      </c>
    </row>
    <row r="1907" spans="1:14" x14ac:dyDescent="0.25">
      <c r="A1907">
        <v>1290.325288</v>
      </c>
      <c r="B1907" s="1">
        <f>DATE(2013,11,11) + TIME(7,48,24)</f>
        <v>41589.325277777774</v>
      </c>
      <c r="C1907">
        <v>80</v>
      </c>
      <c r="D1907">
        <v>79.191101074000002</v>
      </c>
      <c r="E1907">
        <v>40</v>
      </c>
      <c r="F1907">
        <v>39.994972228999998</v>
      </c>
      <c r="G1907">
        <v>1329.9875488</v>
      </c>
      <c r="H1907">
        <v>1329.1289062000001</v>
      </c>
      <c r="I1907">
        <v>1335.7625731999999</v>
      </c>
      <c r="J1907">
        <v>1333.9696045000001</v>
      </c>
      <c r="K1907">
        <v>0</v>
      </c>
      <c r="L1907">
        <v>1650</v>
      </c>
      <c r="M1907">
        <v>1650</v>
      </c>
      <c r="N1907">
        <v>0</v>
      </c>
    </row>
    <row r="1908" spans="1:14" x14ac:dyDescent="0.25">
      <c r="A1908">
        <v>1290.874374</v>
      </c>
      <c r="B1908" s="1">
        <f>DATE(2013,11,11) + TIME(20,59,5)</f>
        <v>41589.874363425923</v>
      </c>
      <c r="C1908">
        <v>80</v>
      </c>
      <c r="D1908">
        <v>79.155296325999998</v>
      </c>
      <c r="E1908">
        <v>40</v>
      </c>
      <c r="F1908">
        <v>39.993179321</v>
      </c>
      <c r="G1908">
        <v>1329.9648437999999</v>
      </c>
      <c r="H1908">
        <v>1329.0970459</v>
      </c>
      <c r="I1908">
        <v>1335.7611084</v>
      </c>
      <c r="J1908">
        <v>1333.9685059000001</v>
      </c>
      <c r="K1908">
        <v>0</v>
      </c>
      <c r="L1908">
        <v>1650</v>
      </c>
      <c r="M1908">
        <v>1650</v>
      </c>
      <c r="N1908">
        <v>0</v>
      </c>
    </row>
    <row r="1909" spans="1:14" x14ac:dyDescent="0.25">
      <c r="A1909">
        <v>1291.444391</v>
      </c>
      <c r="B1909" s="1">
        <f>DATE(2013,11,12) + TIME(10,39,55)</f>
        <v>41590.444386574076</v>
      </c>
      <c r="C1909">
        <v>80</v>
      </c>
      <c r="D1909">
        <v>79.118431091000005</v>
      </c>
      <c r="E1909">
        <v>40</v>
      </c>
      <c r="F1909">
        <v>39.991832733000003</v>
      </c>
      <c r="G1909">
        <v>1329.9417725000001</v>
      </c>
      <c r="H1909">
        <v>1329.0646973</v>
      </c>
      <c r="I1909">
        <v>1335.7597656</v>
      </c>
      <c r="J1909">
        <v>1333.9674072</v>
      </c>
      <c r="K1909">
        <v>0</v>
      </c>
      <c r="L1909">
        <v>1650</v>
      </c>
      <c r="M1909">
        <v>1650</v>
      </c>
      <c r="N1909">
        <v>0</v>
      </c>
    </row>
    <row r="1910" spans="1:14" x14ac:dyDescent="0.25">
      <c r="A1910">
        <v>1292.0372379999999</v>
      </c>
      <c r="B1910" s="1">
        <f>DATE(2013,11,13) + TIME(0,53,37)</f>
        <v>41591.037233796298</v>
      </c>
      <c r="C1910">
        <v>80</v>
      </c>
      <c r="D1910">
        <v>79.080406189000001</v>
      </c>
      <c r="E1910">
        <v>40</v>
      </c>
      <c r="F1910">
        <v>39.990810394</v>
      </c>
      <c r="G1910">
        <v>1329.9182129000001</v>
      </c>
      <c r="H1910">
        <v>1329.0317382999999</v>
      </c>
      <c r="I1910">
        <v>1335.7585449000001</v>
      </c>
      <c r="J1910">
        <v>1333.9664307</v>
      </c>
      <c r="K1910">
        <v>0</v>
      </c>
      <c r="L1910">
        <v>1650</v>
      </c>
      <c r="M1910">
        <v>1650</v>
      </c>
      <c r="N1910">
        <v>0</v>
      </c>
    </row>
    <row r="1911" spans="1:14" x14ac:dyDescent="0.25">
      <c r="A1911">
        <v>1292.6549970000001</v>
      </c>
      <c r="B1911" s="1">
        <f>DATE(2013,11,13) + TIME(15,43,11)</f>
        <v>41591.654988425929</v>
      </c>
      <c r="C1911">
        <v>80</v>
      </c>
      <c r="D1911">
        <v>79.041107178000004</v>
      </c>
      <c r="E1911">
        <v>40</v>
      </c>
      <c r="F1911">
        <v>39.990032196000001</v>
      </c>
      <c r="G1911">
        <v>1329.8941649999999</v>
      </c>
      <c r="H1911">
        <v>1328.9982910000001</v>
      </c>
      <c r="I1911">
        <v>1335.7572021000001</v>
      </c>
      <c r="J1911">
        <v>1333.9652100000001</v>
      </c>
      <c r="K1911">
        <v>0</v>
      </c>
      <c r="L1911">
        <v>1650</v>
      </c>
      <c r="M1911">
        <v>1650</v>
      </c>
      <c r="N1911">
        <v>0</v>
      </c>
    </row>
    <row r="1912" spans="1:14" x14ac:dyDescent="0.25">
      <c r="A1912">
        <v>1293.299706</v>
      </c>
      <c r="B1912" s="1">
        <f>DATE(2013,11,14) + TIME(7,11,34)</f>
        <v>41592.299699074072</v>
      </c>
      <c r="C1912">
        <v>80</v>
      </c>
      <c r="D1912">
        <v>79.000411987000007</v>
      </c>
      <c r="E1912">
        <v>40</v>
      </c>
      <c r="F1912">
        <v>39.989433288999997</v>
      </c>
      <c r="G1912">
        <v>1329.8696289</v>
      </c>
      <c r="H1912">
        <v>1328.9641113</v>
      </c>
      <c r="I1912">
        <v>1335.7558594</v>
      </c>
      <c r="J1912">
        <v>1333.9641113</v>
      </c>
      <c r="K1912">
        <v>0</v>
      </c>
      <c r="L1912">
        <v>1650</v>
      </c>
      <c r="M1912">
        <v>1650</v>
      </c>
      <c r="N1912">
        <v>0</v>
      </c>
    </row>
    <row r="1913" spans="1:14" x14ac:dyDescent="0.25">
      <c r="A1913">
        <v>1293.974127</v>
      </c>
      <c r="B1913" s="1">
        <f>DATE(2013,11,14) + TIME(23,22,44)</f>
        <v>41592.974120370367</v>
      </c>
      <c r="C1913">
        <v>80</v>
      </c>
      <c r="D1913">
        <v>78.958160399999997</v>
      </c>
      <c r="E1913">
        <v>40</v>
      </c>
      <c r="F1913">
        <v>39.988967895999998</v>
      </c>
      <c r="G1913">
        <v>1329.8444824000001</v>
      </c>
      <c r="H1913">
        <v>1328.9291992000001</v>
      </c>
      <c r="I1913">
        <v>1335.7546387</v>
      </c>
      <c r="J1913">
        <v>1333.9630127</v>
      </c>
      <c r="K1913">
        <v>0</v>
      </c>
      <c r="L1913">
        <v>1650</v>
      </c>
      <c r="M1913">
        <v>1650</v>
      </c>
      <c r="N1913">
        <v>0</v>
      </c>
    </row>
    <row r="1914" spans="1:14" x14ac:dyDescent="0.25">
      <c r="A1914">
        <v>1294.681151</v>
      </c>
      <c r="B1914" s="1">
        <f>DATE(2013,11,15) + TIME(16,20,51)</f>
        <v>41593.681145833332</v>
      </c>
      <c r="C1914">
        <v>80</v>
      </c>
      <c r="D1914">
        <v>78.914184570000003</v>
      </c>
      <c r="E1914">
        <v>40</v>
      </c>
      <c r="F1914">
        <v>39.988601684999999</v>
      </c>
      <c r="G1914">
        <v>1329.8187256000001</v>
      </c>
      <c r="H1914">
        <v>1328.8934326000001</v>
      </c>
      <c r="I1914">
        <v>1335.753418</v>
      </c>
      <c r="J1914">
        <v>1333.9619141000001</v>
      </c>
      <c r="K1914">
        <v>0</v>
      </c>
      <c r="L1914">
        <v>1650</v>
      </c>
      <c r="M1914">
        <v>1650</v>
      </c>
      <c r="N1914">
        <v>0</v>
      </c>
    </row>
    <row r="1915" spans="1:14" x14ac:dyDescent="0.25">
      <c r="A1915">
        <v>1295.4240219999999</v>
      </c>
      <c r="B1915" s="1">
        <f>DATE(2013,11,16) + TIME(10,10,35)</f>
        <v>41594.424016203702</v>
      </c>
      <c r="C1915">
        <v>80</v>
      </c>
      <c r="D1915">
        <v>78.868293761999993</v>
      </c>
      <c r="E1915">
        <v>40</v>
      </c>
      <c r="F1915">
        <v>39.988311768000003</v>
      </c>
      <c r="G1915">
        <v>1329.7923584</v>
      </c>
      <c r="H1915">
        <v>1328.8568115</v>
      </c>
      <c r="I1915">
        <v>1335.7520752</v>
      </c>
      <c r="J1915">
        <v>1333.9606934000001</v>
      </c>
      <c r="K1915">
        <v>0</v>
      </c>
      <c r="L1915">
        <v>1650</v>
      </c>
      <c r="M1915">
        <v>1650</v>
      </c>
      <c r="N1915">
        <v>0</v>
      </c>
    </row>
    <row r="1916" spans="1:14" x14ac:dyDescent="0.25">
      <c r="A1916">
        <v>1296.199118</v>
      </c>
      <c r="B1916" s="1">
        <f>DATE(2013,11,17) + TIME(4,46,43)</f>
        <v>41595.199108796296</v>
      </c>
      <c r="C1916">
        <v>80</v>
      </c>
      <c r="D1916">
        <v>78.820510863999999</v>
      </c>
      <c r="E1916">
        <v>40</v>
      </c>
      <c r="F1916">
        <v>39.988086699999997</v>
      </c>
      <c r="G1916">
        <v>1329.7650146000001</v>
      </c>
      <c r="H1916">
        <v>1328.8193358999999</v>
      </c>
      <c r="I1916">
        <v>1335.7508545000001</v>
      </c>
      <c r="J1916">
        <v>1333.9595947</v>
      </c>
      <c r="K1916">
        <v>0</v>
      </c>
      <c r="L1916">
        <v>1650</v>
      </c>
      <c r="M1916">
        <v>1650</v>
      </c>
      <c r="N1916">
        <v>0</v>
      </c>
    </row>
    <row r="1917" spans="1:14" x14ac:dyDescent="0.25">
      <c r="A1917">
        <v>1297.0101460000001</v>
      </c>
      <c r="B1917" s="1">
        <f>DATE(2013,11,18) + TIME(0,14,36)</f>
        <v>41596.010138888887</v>
      </c>
      <c r="C1917">
        <v>80</v>
      </c>
      <c r="D1917">
        <v>78.770668029999996</v>
      </c>
      <c r="E1917">
        <v>40</v>
      </c>
      <c r="F1917">
        <v>39.987903594999999</v>
      </c>
      <c r="G1917">
        <v>1329.7371826000001</v>
      </c>
      <c r="H1917">
        <v>1328.7808838000001</v>
      </c>
      <c r="I1917">
        <v>1335.7496338000001</v>
      </c>
      <c r="J1917">
        <v>1333.958374</v>
      </c>
      <c r="K1917">
        <v>0</v>
      </c>
      <c r="L1917">
        <v>1650</v>
      </c>
      <c r="M1917">
        <v>1650</v>
      </c>
      <c r="N1917">
        <v>0</v>
      </c>
    </row>
    <row r="1918" spans="1:14" x14ac:dyDescent="0.25">
      <c r="A1918">
        <v>1297.865018</v>
      </c>
      <c r="B1918" s="1">
        <f>DATE(2013,11,18) + TIME(20,45,37)</f>
        <v>41596.865011574075</v>
      </c>
      <c r="C1918">
        <v>80</v>
      </c>
      <c r="D1918">
        <v>78.718399047999995</v>
      </c>
      <c r="E1918">
        <v>40</v>
      </c>
      <c r="F1918">
        <v>39.987758636000002</v>
      </c>
      <c r="G1918">
        <v>1329.7084961</v>
      </c>
      <c r="H1918">
        <v>1328.7414550999999</v>
      </c>
      <c r="I1918">
        <v>1335.7485352000001</v>
      </c>
      <c r="J1918">
        <v>1333.9572754000001</v>
      </c>
      <c r="K1918">
        <v>0</v>
      </c>
      <c r="L1918">
        <v>1650</v>
      </c>
      <c r="M1918">
        <v>1650</v>
      </c>
      <c r="N1918">
        <v>0</v>
      </c>
    </row>
    <row r="1919" spans="1:14" x14ac:dyDescent="0.25">
      <c r="A1919">
        <v>1298.7526869999999</v>
      </c>
      <c r="B1919" s="1">
        <f>DATE(2013,11,19) + TIME(18,3,52)</f>
        <v>41597.752685185187</v>
      </c>
      <c r="C1919">
        <v>80</v>
      </c>
      <c r="D1919">
        <v>78.663902282999999</v>
      </c>
      <c r="E1919">
        <v>40</v>
      </c>
      <c r="F1919">
        <v>39.987644195999998</v>
      </c>
      <c r="G1919">
        <v>1329.6790771000001</v>
      </c>
      <c r="H1919">
        <v>1328.7010498</v>
      </c>
      <c r="I1919">
        <v>1335.7473144999999</v>
      </c>
      <c r="J1919">
        <v>1333.9561768000001</v>
      </c>
      <c r="K1919">
        <v>0</v>
      </c>
      <c r="L1919">
        <v>1650</v>
      </c>
      <c r="M1919">
        <v>1650</v>
      </c>
      <c r="N1919">
        <v>0</v>
      </c>
    </row>
    <row r="1920" spans="1:14" x14ac:dyDescent="0.25">
      <c r="A1920">
        <v>1299.67065</v>
      </c>
      <c r="B1920" s="1">
        <f>DATE(2013,11,20) + TIME(16,5,44)</f>
        <v>41598.670648148145</v>
      </c>
      <c r="C1920">
        <v>80</v>
      </c>
      <c r="D1920">
        <v>78.607269286999994</v>
      </c>
      <c r="E1920">
        <v>40</v>
      </c>
      <c r="F1920">
        <v>39.987548828000001</v>
      </c>
      <c r="G1920">
        <v>1329.6489257999999</v>
      </c>
      <c r="H1920">
        <v>1328.6599120999999</v>
      </c>
      <c r="I1920">
        <v>1335.7460937999999</v>
      </c>
      <c r="J1920">
        <v>1333.9549560999999</v>
      </c>
      <c r="K1920">
        <v>0</v>
      </c>
      <c r="L1920">
        <v>1650</v>
      </c>
      <c r="M1920">
        <v>1650</v>
      </c>
      <c r="N1920">
        <v>0</v>
      </c>
    </row>
    <row r="1921" spans="1:14" x14ac:dyDescent="0.25">
      <c r="A1921">
        <v>1300.62573</v>
      </c>
      <c r="B1921" s="1">
        <f>DATE(2013,11,21) + TIME(15,1,3)</f>
        <v>41599.62572916667</v>
      </c>
      <c r="C1921">
        <v>80</v>
      </c>
      <c r="D1921">
        <v>78.548271178999997</v>
      </c>
      <c r="E1921">
        <v>40</v>
      </c>
      <c r="F1921">
        <v>39.987476348999998</v>
      </c>
      <c r="G1921">
        <v>1329.6184082</v>
      </c>
      <c r="H1921">
        <v>1328.6180420000001</v>
      </c>
      <c r="I1921">
        <v>1335.7449951000001</v>
      </c>
      <c r="J1921">
        <v>1333.9538574000001</v>
      </c>
      <c r="K1921">
        <v>0</v>
      </c>
      <c r="L1921">
        <v>1650</v>
      </c>
      <c r="M1921">
        <v>1650</v>
      </c>
      <c r="N1921">
        <v>0</v>
      </c>
    </row>
    <row r="1922" spans="1:14" x14ac:dyDescent="0.25">
      <c r="A1922">
        <v>1301.625597</v>
      </c>
      <c r="B1922" s="1">
        <f>DATE(2013,11,22) + TIME(15,0,51)</f>
        <v>41600.625590277778</v>
      </c>
      <c r="C1922">
        <v>80</v>
      </c>
      <c r="D1922">
        <v>78.486534118999998</v>
      </c>
      <c r="E1922">
        <v>40</v>
      </c>
      <c r="F1922">
        <v>39.987411498999997</v>
      </c>
      <c r="G1922">
        <v>1329.5872803</v>
      </c>
      <c r="H1922">
        <v>1328.5755615</v>
      </c>
      <c r="I1922">
        <v>1335.7438964999999</v>
      </c>
      <c r="J1922">
        <v>1333.9527588000001</v>
      </c>
      <c r="K1922">
        <v>0</v>
      </c>
      <c r="L1922">
        <v>1650</v>
      </c>
      <c r="M1922">
        <v>1650</v>
      </c>
      <c r="N1922">
        <v>0</v>
      </c>
    </row>
    <row r="1923" spans="1:14" x14ac:dyDescent="0.25">
      <c r="A1923">
        <v>1302.6545659999999</v>
      </c>
      <c r="B1923" s="1">
        <f>DATE(2013,11,23) + TIME(15,42,34)</f>
        <v>41601.654560185183</v>
      </c>
      <c r="C1923">
        <v>80</v>
      </c>
      <c r="D1923">
        <v>78.422309874999996</v>
      </c>
      <c r="E1923">
        <v>40</v>
      </c>
      <c r="F1923">
        <v>39.987361907999997</v>
      </c>
      <c r="G1923">
        <v>1329.5554199000001</v>
      </c>
      <c r="H1923">
        <v>1328.5322266000001</v>
      </c>
      <c r="I1923">
        <v>1335.7429199000001</v>
      </c>
      <c r="J1923">
        <v>1333.9516602000001</v>
      </c>
      <c r="K1923">
        <v>0</v>
      </c>
      <c r="L1923">
        <v>1650</v>
      </c>
      <c r="M1923">
        <v>1650</v>
      </c>
      <c r="N1923">
        <v>0</v>
      </c>
    </row>
    <row r="1924" spans="1:14" x14ac:dyDescent="0.25">
      <c r="A1924">
        <v>1303.699611</v>
      </c>
      <c r="B1924" s="1">
        <f>DATE(2013,11,24) + TIME(16,47,26)</f>
        <v>41602.699606481481</v>
      </c>
      <c r="C1924">
        <v>80</v>
      </c>
      <c r="D1924">
        <v>78.356071471999996</v>
      </c>
      <c r="E1924">
        <v>40</v>
      </c>
      <c r="F1924">
        <v>39.987319946</v>
      </c>
      <c r="G1924">
        <v>1329.5231934000001</v>
      </c>
      <c r="H1924">
        <v>1328.4885254000001</v>
      </c>
      <c r="I1924">
        <v>1335.7418213000001</v>
      </c>
      <c r="J1924">
        <v>1333.9506836</v>
      </c>
      <c r="K1924">
        <v>0</v>
      </c>
      <c r="L1924">
        <v>1650</v>
      </c>
      <c r="M1924">
        <v>1650</v>
      </c>
      <c r="N1924">
        <v>0</v>
      </c>
    </row>
    <row r="1925" spans="1:14" x14ac:dyDescent="0.25">
      <c r="A1925">
        <v>1304.7635829999999</v>
      </c>
      <c r="B1925" s="1">
        <f>DATE(2013,11,25) + TIME(18,19,33)</f>
        <v>41603.76357638889</v>
      </c>
      <c r="C1925">
        <v>80</v>
      </c>
      <c r="D1925">
        <v>78.287956238000007</v>
      </c>
      <c r="E1925">
        <v>40</v>
      </c>
      <c r="F1925">
        <v>39.987281799000002</v>
      </c>
      <c r="G1925">
        <v>1329.4909668</v>
      </c>
      <c r="H1925">
        <v>1328.4447021000001</v>
      </c>
      <c r="I1925">
        <v>1335.7408447</v>
      </c>
      <c r="J1925">
        <v>1333.9495850000001</v>
      </c>
      <c r="K1925">
        <v>0</v>
      </c>
      <c r="L1925">
        <v>1650</v>
      </c>
      <c r="M1925">
        <v>1650</v>
      </c>
      <c r="N1925">
        <v>0</v>
      </c>
    </row>
    <row r="1926" spans="1:14" x14ac:dyDescent="0.25">
      <c r="A1926">
        <v>1305.8541680000001</v>
      </c>
      <c r="B1926" s="1">
        <f>DATE(2013,11,26) + TIME(20,30,0)</f>
        <v>41604.854166666664</v>
      </c>
      <c r="C1926">
        <v>80</v>
      </c>
      <c r="D1926">
        <v>78.217735290999997</v>
      </c>
      <c r="E1926">
        <v>40</v>
      </c>
      <c r="F1926">
        <v>39.987251282000003</v>
      </c>
      <c r="G1926">
        <v>1329.4587402</v>
      </c>
      <c r="H1926">
        <v>1328.4011230000001</v>
      </c>
      <c r="I1926">
        <v>1335.7398682</v>
      </c>
      <c r="J1926">
        <v>1333.9487305</v>
      </c>
      <c r="K1926">
        <v>0</v>
      </c>
      <c r="L1926">
        <v>1650</v>
      </c>
      <c r="M1926">
        <v>1650</v>
      </c>
      <c r="N1926">
        <v>0</v>
      </c>
    </row>
    <row r="1927" spans="1:14" x14ac:dyDescent="0.25">
      <c r="A1927">
        <v>1306.979525</v>
      </c>
      <c r="B1927" s="1">
        <f>DATE(2013,11,27) + TIME(23,30,30)</f>
        <v>41605.979513888888</v>
      </c>
      <c r="C1927">
        <v>80</v>
      </c>
      <c r="D1927">
        <v>78.144989014000004</v>
      </c>
      <c r="E1927">
        <v>40</v>
      </c>
      <c r="F1927">
        <v>39.987220764</v>
      </c>
      <c r="G1927">
        <v>1329.4265137</v>
      </c>
      <c r="H1927">
        <v>1328.3574219</v>
      </c>
      <c r="I1927">
        <v>1335.7390137</v>
      </c>
      <c r="J1927">
        <v>1333.9477539</v>
      </c>
      <c r="K1927">
        <v>0</v>
      </c>
      <c r="L1927">
        <v>1650</v>
      </c>
      <c r="M1927">
        <v>1650</v>
      </c>
      <c r="N1927">
        <v>0</v>
      </c>
    </row>
    <row r="1928" spans="1:14" x14ac:dyDescent="0.25">
      <c r="A1928">
        <v>1308.1487179999999</v>
      </c>
      <c r="B1928" s="1">
        <f>DATE(2013,11,29) + TIME(3,34,9)</f>
        <v>41607.148715277777</v>
      </c>
      <c r="C1928">
        <v>80</v>
      </c>
      <c r="D1928">
        <v>78.069168090999995</v>
      </c>
      <c r="E1928">
        <v>40</v>
      </c>
      <c r="F1928">
        <v>39.987194060999997</v>
      </c>
      <c r="G1928">
        <v>1329.3939209</v>
      </c>
      <c r="H1928">
        <v>1328.3134766000001</v>
      </c>
      <c r="I1928">
        <v>1335.7381591999999</v>
      </c>
      <c r="J1928">
        <v>1333.9468993999999</v>
      </c>
      <c r="K1928">
        <v>0</v>
      </c>
      <c r="L1928">
        <v>1650</v>
      </c>
      <c r="M1928">
        <v>1650</v>
      </c>
      <c r="N1928">
        <v>0</v>
      </c>
    </row>
    <row r="1929" spans="1:14" x14ac:dyDescent="0.25">
      <c r="A1929">
        <v>1309.3722009999999</v>
      </c>
      <c r="B1929" s="1">
        <f>DATE(2013,11,30) + TIME(8,55,58)</f>
        <v>41608.372199074074</v>
      </c>
      <c r="C1929">
        <v>80</v>
      </c>
      <c r="D1929">
        <v>77.989570618000002</v>
      </c>
      <c r="E1929">
        <v>40</v>
      </c>
      <c r="F1929">
        <v>39.987167358000001</v>
      </c>
      <c r="G1929">
        <v>1329.3609618999999</v>
      </c>
      <c r="H1929">
        <v>1328.2691649999999</v>
      </c>
      <c r="I1929">
        <v>1335.7373047000001</v>
      </c>
      <c r="J1929">
        <v>1333.9460449000001</v>
      </c>
      <c r="K1929">
        <v>0</v>
      </c>
      <c r="L1929">
        <v>1650</v>
      </c>
      <c r="M1929">
        <v>1650</v>
      </c>
      <c r="N1929">
        <v>0</v>
      </c>
    </row>
    <row r="1930" spans="1:14" x14ac:dyDescent="0.25">
      <c r="A1930">
        <v>1310</v>
      </c>
      <c r="B1930" s="1">
        <f>DATE(2013,12,1) + TIME(0,0,0)</f>
        <v>41609</v>
      </c>
      <c r="C1930">
        <v>80</v>
      </c>
      <c r="D1930">
        <v>77.931579589999998</v>
      </c>
      <c r="E1930">
        <v>40</v>
      </c>
      <c r="F1930">
        <v>39.987152100000003</v>
      </c>
      <c r="G1930">
        <v>1329.3283690999999</v>
      </c>
      <c r="H1930">
        <v>1328.2260742000001</v>
      </c>
      <c r="I1930">
        <v>1335.7364502</v>
      </c>
      <c r="J1930">
        <v>1333.9451904</v>
      </c>
      <c r="K1930">
        <v>0</v>
      </c>
      <c r="L1930">
        <v>1650</v>
      </c>
      <c r="M1930">
        <v>1650</v>
      </c>
      <c r="N1930">
        <v>0</v>
      </c>
    </row>
    <row r="1931" spans="1:14" x14ac:dyDescent="0.25">
      <c r="A1931">
        <v>1311.2898749999999</v>
      </c>
      <c r="B1931" s="1">
        <f>DATE(2013,12,2) + TIME(6,57,25)</f>
        <v>41610.289872685185</v>
      </c>
      <c r="C1931">
        <v>80</v>
      </c>
      <c r="D1931">
        <v>77.855491638000004</v>
      </c>
      <c r="E1931">
        <v>40</v>
      </c>
      <c r="F1931">
        <v>39.987129211000003</v>
      </c>
      <c r="G1931">
        <v>1329.3067627</v>
      </c>
      <c r="H1931">
        <v>1328.1949463000001</v>
      </c>
      <c r="I1931">
        <v>1335.7360839999999</v>
      </c>
      <c r="J1931">
        <v>1333.9448242000001</v>
      </c>
      <c r="K1931">
        <v>0</v>
      </c>
      <c r="L1931">
        <v>1650</v>
      </c>
      <c r="M1931">
        <v>1650</v>
      </c>
      <c r="N1931">
        <v>0</v>
      </c>
    </row>
    <row r="1932" spans="1:14" x14ac:dyDescent="0.25">
      <c r="A1932">
        <v>1312.6198710000001</v>
      </c>
      <c r="B1932" s="1">
        <f>DATE(2013,12,3) + TIME(14,52,36)</f>
        <v>41611.61986111111</v>
      </c>
      <c r="C1932">
        <v>80</v>
      </c>
      <c r="D1932">
        <v>77.769973754999995</v>
      </c>
      <c r="E1932">
        <v>40</v>
      </c>
      <c r="F1932">
        <v>39.987102509000003</v>
      </c>
      <c r="G1932">
        <v>1329.2744141000001</v>
      </c>
      <c r="H1932">
        <v>1328.1525879000001</v>
      </c>
      <c r="I1932">
        <v>1335.7352295000001</v>
      </c>
      <c r="J1932">
        <v>1333.9440918</v>
      </c>
      <c r="K1932">
        <v>0</v>
      </c>
      <c r="L1932">
        <v>1650</v>
      </c>
      <c r="M1932">
        <v>1650</v>
      </c>
      <c r="N1932">
        <v>0</v>
      </c>
    </row>
    <row r="1933" spans="1:14" x14ac:dyDescent="0.25">
      <c r="A1933">
        <v>1313.9773259999999</v>
      </c>
      <c r="B1933" s="1">
        <f>DATE(2013,12,4) + TIME(23,27,20)</f>
        <v>41612.977314814816</v>
      </c>
      <c r="C1933">
        <v>80</v>
      </c>
      <c r="D1933">
        <v>77.678398131999998</v>
      </c>
      <c r="E1933">
        <v>40</v>
      </c>
      <c r="F1933">
        <v>39.987075806</v>
      </c>
      <c r="G1933">
        <v>1329.2406006000001</v>
      </c>
      <c r="H1933">
        <v>1328.1077881000001</v>
      </c>
      <c r="I1933">
        <v>1335.7344971</v>
      </c>
      <c r="J1933">
        <v>1333.9433594</v>
      </c>
      <c r="K1933">
        <v>0</v>
      </c>
      <c r="L1933">
        <v>1650</v>
      </c>
      <c r="M1933">
        <v>1650</v>
      </c>
      <c r="N1933">
        <v>0</v>
      </c>
    </row>
    <row r="1934" spans="1:14" x14ac:dyDescent="0.25">
      <c r="A1934">
        <v>1315.3604780000001</v>
      </c>
      <c r="B1934" s="1">
        <f>DATE(2013,12,6) + TIME(8,39,5)</f>
        <v>41614.360474537039</v>
      </c>
      <c r="C1934">
        <v>80</v>
      </c>
      <c r="D1934">
        <v>77.582443237000007</v>
      </c>
      <c r="E1934">
        <v>40</v>
      </c>
      <c r="F1934">
        <v>39.987052917</v>
      </c>
      <c r="G1934">
        <v>1329.2062988</v>
      </c>
      <c r="H1934">
        <v>1328.0620117000001</v>
      </c>
      <c r="I1934">
        <v>1335.7336425999999</v>
      </c>
      <c r="J1934">
        <v>1333.9426269999999</v>
      </c>
      <c r="K1934">
        <v>0</v>
      </c>
      <c r="L1934">
        <v>1650</v>
      </c>
      <c r="M1934">
        <v>1650</v>
      </c>
      <c r="N1934">
        <v>0</v>
      </c>
    </row>
    <row r="1935" spans="1:14" x14ac:dyDescent="0.25">
      <c r="A1935">
        <v>1316.7809990000001</v>
      </c>
      <c r="B1935" s="1">
        <f>DATE(2013,12,7) + TIME(18,44,38)</f>
        <v>41615.780995370369</v>
      </c>
      <c r="C1935">
        <v>80</v>
      </c>
      <c r="D1935">
        <v>77.482482910000002</v>
      </c>
      <c r="E1935">
        <v>40</v>
      </c>
      <c r="F1935">
        <v>39.987026215</v>
      </c>
      <c r="G1935">
        <v>1329.1717529</v>
      </c>
      <c r="H1935">
        <v>1328.0161132999999</v>
      </c>
      <c r="I1935">
        <v>1335.7330322</v>
      </c>
      <c r="J1935">
        <v>1333.9420166</v>
      </c>
      <c r="K1935">
        <v>0</v>
      </c>
      <c r="L1935">
        <v>1650</v>
      </c>
      <c r="M1935">
        <v>1650</v>
      </c>
      <c r="N1935">
        <v>0</v>
      </c>
    </row>
    <row r="1936" spans="1:14" x14ac:dyDescent="0.25">
      <c r="A1936">
        <v>1318.2501890000001</v>
      </c>
      <c r="B1936" s="1">
        <f>DATE(2013,12,9) + TIME(6,0,16)</f>
        <v>41617.250185185185</v>
      </c>
      <c r="C1936">
        <v>80</v>
      </c>
      <c r="D1936">
        <v>77.378150939999998</v>
      </c>
      <c r="E1936">
        <v>40</v>
      </c>
      <c r="F1936">
        <v>39.986999511999997</v>
      </c>
      <c r="G1936">
        <v>1329.1370850000001</v>
      </c>
      <c r="H1936">
        <v>1327.9700928</v>
      </c>
      <c r="I1936">
        <v>1335.7322998</v>
      </c>
      <c r="J1936">
        <v>1333.9414062000001</v>
      </c>
      <c r="K1936">
        <v>0</v>
      </c>
      <c r="L1936">
        <v>1650</v>
      </c>
      <c r="M1936">
        <v>1650</v>
      </c>
      <c r="N1936">
        <v>0</v>
      </c>
    </row>
    <row r="1937" spans="1:14" x14ac:dyDescent="0.25">
      <c r="A1937">
        <v>1319.7472069999999</v>
      </c>
      <c r="B1937" s="1">
        <f>DATE(2013,12,10) + TIME(17,55,58)</f>
        <v>41618.747199074074</v>
      </c>
      <c r="C1937">
        <v>80</v>
      </c>
      <c r="D1937">
        <v>77.269615173000005</v>
      </c>
      <c r="E1937">
        <v>40</v>
      </c>
      <c r="F1937">
        <v>39.986972809000001</v>
      </c>
      <c r="G1937">
        <v>1329.1021728999999</v>
      </c>
      <c r="H1937">
        <v>1327.9237060999999</v>
      </c>
      <c r="I1937">
        <v>1335.7315673999999</v>
      </c>
      <c r="J1937">
        <v>1333.940918</v>
      </c>
      <c r="K1937">
        <v>0</v>
      </c>
      <c r="L1937">
        <v>1650</v>
      </c>
      <c r="M1937">
        <v>1650</v>
      </c>
      <c r="N1937">
        <v>0</v>
      </c>
    </row>
    <row r="1938" spans="1:14" x14ac:dyDescent="0.25">
      <c r="A1938">
        <v>1321.2834519999999</v>
      </c>
      <c r="B1938" s="1">
        <f>DATE(2013,12,12) + TIME(6,48,10)</f>
        <v>41620.283449074072</v>
      </c>
      <c r="C1938">
        <v>80</v>
      </c>
      <c r="D1938">
        <v>77.156951903999996</v>
      </c>
      <c r="E1938">
        <v>40</v>
      </c>
      <c r="F1938">
        <v>39.986946105999998</v>
      </c>
      <c r="G1938">
        <v>1329.0672606999999</v>
      </c>
      <c r="H1938">
        <v>1327.8774414</v>
      </c>
      <c r="I1938">
        <v>1335.730957</v>
      </c>
      <c r="J1938">
        <v>1333.9403076000001</v>
      </c>
      <c r="K1938">
        <v>0</v>
      </c>
      <c r="L1938">
        <v>1650</v>
      </c>
      <c r="M1938">
        <v>1650</v>
      </c>
      <c r="N1938">
        <v>0</v>
      </c>
    </row>
    <row r="1939" spans="1:14" x14ac:dyDescent="0.25">
      <c r="A1939">
        <v>1322.871067</v>
      </c>
      <c r="B1939" s="1">
        <f>DATE(2013,12,13) + TIME(20,54,20)</f>
        <v>41621.871064814812</v>
      </c>
      <c r="C1939">
        <v>80</v>
      </c>
      <c r="D1939">
        <v>77.039627074999999</v>
      </c>
      <c r="E1939">
        <v>40</v>
      </c>
      <c r="F1939">
        <v>39.986919403000002</v>
      </c>
      <c r="G1939">
        <v>1329.0322266000001</v>
      </c>
      <c r="H1939">
        <v>1327.8311768000001</v>
      </c>
      <c r="I1939">
        <v>1335.7302245999999</v>
      </c>
      <c r="J1939">
        <v>1333.9399414</v>
      </c>
      <c r="K1939">
        <v>0</v>
      </c>
      <c r="L1939">
        <v>1650</v>
      </c>
      <c r="M1939">
        <v>1650</v>
      </c>
      <c r="N1939">
        <v>0</v>
      </c>
    </row>
    <row r="1940" spans="1:14" x14ac:dyDescent="0.25">
      <c r="A1940">
        <v>1324.523829</v>
      </c>
      <c r="B1940" s="1">
        <f>DATE(2013,12,15) + TIME(12,34,18)</f>
        <v>41623.523819444446</v>
      </c>
      <c r="C1940">
        <v>80</v>
      </c>
      <c r="D1940">
        <v>76.916755675999994</v>
      </c>
      <c r="E1940">
        <v>40</v>
      </c>
      <c r="F1940">
        <v>39.986892699999999</v>
      </c>
      <c r="G1940">
        <v>1328.9970702999999</v>
      </c>
      <c r="H1940">
        <v>1327.784668</v>
      </c>
      <c r="I1940">
        <v>1335.7296143000001</v>
      </c>
      <c r="J1940">
        <v>1333.9394531</v>
      </c>
      <c r="K1940">
        <v>0</v>
      </c>
      <c r="L1940">
        <v>1650</v>
      </c>
      <c r="M1940">
        <v>1650</v>
      </c>
      <c r="N1940">
        <v>0</v>
      </c>
    </row>
    <row r="1941" spans="1:14" x14ac:dyDescent="0.25">
      <c r="A1941">
        <v>1326.248566</v>
      </c>
      <c r="B1941" s="1">
        <f>DATE(2013,12,17) + TIME(5,57,56)</f>
        <v>41625.248564814814</v>
      </c>
      <c r="C1941">
        <v>80</v>
      </c>
      <c r="D1941">
        <v>76.787452697999996</v>
      </c>
      <c r="E1941">
        <v>40</v>
      </c>
      <c r="F1941">
        <v>39.986862183</v>
      </c>
      <c r="G1941">
        <v>1328.9613036999999</v>
      </c>
      <c r="H1941">
        <v>1327.737793</v>
      </c>
      <c r="I1941">
        <v>1335.7290039</v>
      </c>
      <c r="J1941">
        <v>1333.9390868999999</v>
      </c>
      <c r="K1941">
        <v>0</v>
      </c>
      <c r="L1941">
        <v>1650</v>
      </c>
      <c r="M1941">
        <v>1650</v>
      </c>
      <c r="N1941">
        <v>0</v>
      </c>
    </row>
    <row r="1942" spans="1:14" x14ac:dyDescent="0.25">
      <c r="A1942">
        <v>1327.9851180000001</v>
      </c>
      <c r="B1942" s="1">
        <f>DATE(2013,12,18) + TIME(23,38,34)</f>
        <v>41626.985115740739</v>
      </c>
      <c r="C1942">
        <v>80</v>
      </c>
      <c r="D1942">
        <v>76.652679442999997</v>
      </c>
      <c r="E1942">
        <v>40</v>
      </c>
      <c r="F1942">
        <v>39.986831664999997</v>
      </c>
      <c r="G1942">
        <v>1328.9251709</v>
      </c>
      <c r="H1942">
        <v>1327.6903076000001</v>
      </c>
      <c r="I1942">
        <v>1335.7283935999999</v>
      </c>
      <c r="J1942">
        <v>1333.9387207</v>
      </c>
      <c r="K1942">
        <v>0</v>
      </c>
      <c r="L1942">
        <v>1650</v>
      </c>
      <c r="M1942">
        <v>1650</v>
      </c>
      <c r="N1942">
        <v>0</v>
      </c>
    </row>
    <row r="1943" spans="1:14" x14ac:dyDescent="0.25">
      <c r="A1943">
        <v>1329.7476349999999</v>
      </c>
      <c r="B1943" s="1">
        <f>DATE(2013,12,20) + TIME(17,56,35)</f>
        <v>41628.747627314813</v>
      </c>
      <c r="C1943">
        <v>80</v>
      </c>
      <c r="D1943">
        <v>76.513992310000006</v>
      </c>
      <c r="E1943">
        <v>40</v>
      </c>
      <c r="F1943">
        <v>39.986804962000001</v>
      </c>
      <c r="G1943">
        <v>1328.8891602000001</v>
      </c>
      <c r="H1943">
        <v>1327.6430664</v>
      </c>
      <c r="I1943">
        <v>1335.7277832</v>
      </c>
      <c r="J1943">
        <v>1333.9384766000001</v>
      </c>
      <c r="K1943">
        <v>0</v>
      </c>
      <c r="L1943">
        <v>1650</v>
      </c>
      <c r="M1943">
        <v>1650</v>
      </c>
      <c r="N1943">
        <v>0</v>
      </c>
    </row>
    <row r="1944" spans="1:14" x14ac:dyDescent="0.25">
      <c r="A1944">
        <v>1331.5510380000001</v>
      </c>
      <c r="B1944" s="1">
        <f>DATE(2013,12,22) + TIME(13,13,29)</f>
        <v>41630.551030092596</v>
      </c>
      <c r="C1944">
        <v>80</v>
      </c>
      <c r="D1944">
        <v>76.371170043999996</v>
      </c>
      <c r="E1944">
        <v>40</v>
      </c>
      <c r="F1944">
        <v>39.986774445000002</v>
      </c>
      <c r="G1944">
        <v>1328.8535156</v>
      </c>
      <c r="H1944">
        <v>1327.5961914</v>
      </c>
      <c r="I1944">
        <v>1335.7271728999999</v>
      </c>
      <c r="J1944">
        <v>1333.9381103999999</v>
      </c>
      <c r="K1944">
        <v>0</v>
      </c>
      <c r="L1944">
        <v>1650</v>
      </c>
      <c r="M1944">
        <v>1650</v>
      </c>
      <c r="N1944">
        <v>0</v>
      </c>
    </row>
    <row r="1945" spans="1:14" x14ac:dyDescent="0.25">
      <c r="A1945">
        <v>1333.411302</v>
      </c>
      <c r="B1945" s="1">
        <f>DATE(2013,12,24) + TIME(9,52,16)</f>
        <v>41632.411296296297</v>
      </c>
      <c r="C1945">
        <v>80</v>
      </c>
      <c r="D1945">
        <v>76.223312378000003</v>
      </c>
      <c r="E1945">
        <v>40</v>
      </c>
      <c r="F1945">
        <v>39.986743926999999</v>
      </c>
      <c r="G1945">
        <v>1328.8179932</v>
      </c>
      <c r="H1945">
        <v>1327.5496826000001</v>
      </c>
      <c r="I1945">
        <v>1335.7265625</v>
      </c>
      <c r="J1945">
        <v>1333.9379882999999</v>
      </c>
      <c r="K1945">
        <v>0</v>
      </c>
      <c r="L1945">
        <v>1650</v>
      </c>
      <c r="M1945">
        <v>1650</v>
      </c>
      <c r="N1945">
        <v>0</v>
      </c>
    </row>
    <row r="1946" spans="1:14" x14ac:dyDescent="0.25">
      <c r="A1946">
        <v>1335.3209529999999</v>
      </c>
      <c r="B1946" s="1">
        <f>DATE(2013,12,26) + TIME(7,42,10)</f>
        <v>41634.320949074077</v>
      </c>
      <c r="C1946">
        <v>80</v>
      </c>
      <c r="D1946">
        <v>76.069831848000007</v>
      </c>
      <c r="E1946">
        <v>40</v>
      </c>
      <c r="F1946">
        <v>39.986709595000001</v>
      </c>
      <c r="G1946">
        <v>1328.7823486</v>
      </c>
      <c r="H1946">
        <v>1327.5031738</v>
      </c>
      <c r="I1946">
        <v>1335.7259521000001</v>
      </c>
      <c r="J1946">
        <v>1333.9377440999999</v>
      </c>
      <c r="K1946">
        <v>0</v>
      </c>
      <c r="L1946">
        <v>1650</v>
      </c>
      <c r="M1946">
        <v>1650</v>
      </c>
      <c r="N1946">
        <v>0</v>
      </c>
    </row>
    <row r="1947" spans="1:14" x14ac:dyDescent="0.25">
      <c r="A1947">
        <v>1337.2634720000001</v>
      </c>
      <c r="B1947" s="1">
        <f>DATE(2013,12,28) + TIME(6,19,23)</f>
        <v>41636.263460648152</v>
      </c>
      <c r="C1947">
        <v>80</v>
      </c>
      <c r="D1947">
        <v>75.911140442000004</v>
      </c>
      <c r="E1947">
        <v>40</v>
      </c>
      <c r="F1947">
        <v>39.986679076999998</v>
      </c>
      <c r="G1947">
        <v>1328.746582</v>
      </c>
      <c r="H1947">
        <v>1327.4566649999999</v>
      </c>
      <c r="I1947">
        <v>1335.7253418</v>
      </c>
      <c r="J1947">
        <v>1333.9376221</v>
      </c>
      <c r="K1947">
        <v>0</v>
      </c>
      <c r="L1947">
        <v>1650</v>
      </c>
      <c r="M1947">
        <v>1650</v>
      </c>
      <c r="N1947">
        <v>0</v>
      </c>
    </row>
    <row r="1948" spans="1:14" x14ac:dyDescent="0.25">
      <c r="A1948">
        <v>1339.2541719999999</v>
      </c>
      <c r="B1948" s="1">
        <f>DATE(2013,12,30) + TIME(6,6,0)</f>
        <v>41638.254166666666</v>
      </c>
      <c r="C1948">
        <v>80</v>
      </c>
      <c r="D1948">
        <v>75.747566223000007</v>
      </c>
      <c r="E1948">
        <v>40</v>
      </c>
      <c r="F1948">
        <v>39.986644745</v>
      </c>
      <c r="G1948">
        <v>1328.7110596</v>
      </c>
      <c r="H1948">
        <v>1327.4102783000001</v>
      </c>
      <c r="I1948">
        <v>1335.7247314000001</v>
      </c>
      <c r="J1948">
        <v>1333.9375</v>
      </c>
      <c r="K1948">
        <v>0</v>
      </c>
      <c r="L1948">
        <v>1650</v>
      </c>
      <c r="M1948">
        <v>1650</v>
      </c>
      <c r="N1948">
        <v>0</v>
      </c>
    </row>
    <row r="1949" spans="1:14" x14ac:dyDescent="0.25">
      <c r="A1949">
        <v>1341</v>
      </c>
      <c r="B1949" s="1">
        <f>DATE(2014,1,1) + TIME(0,0,0)</f>
        <v>41640</v>
      </c>
      <c r="C1949">
        <v>80</v>
      </c>
      <c r="D1949">
        <v>75.586547851999995</v>
      </c>
      <c r="E1949">
        <v>40</v>
      </c>
      <c r="F1949">
        <v>39.986618042000003</v>
      </c>
      <c r="G1949">
        <v>1328.6757812000001</v>
      </c>
      <c r="H1949">
        <v>1327.364624</v>
      </c>
      <c r="I1949">
        <v>1335.7242432</v>
      </c>
      <c r="J1949">
        <v>1333.9373779</v>
      </c>
      <c r="K1949">
        <v>0</v>
      </c>
      <c r="L1949">
        <v>1650</v>
      </c>
      <c r="M1949">
        <v>1650</v>
      </c>
      <c r="N1949">
        <v>0</v>
      </c>
    </row>
    <row r="1950" spans="1:14" x14ac:dyDescent="0.25">
      <c r="A1950">
        <v>1343.0553669999999</v>
      </c>
      <c r="B1950" s="1">
        <f>DATE(2014,1,3) + TIME(1,19,43)</f>
        <v>41642.055358796293</v>
      </c>
      <c r="C1950">
        <v>80</v>
      </c>
      <c r="D1950">
        <v>75.425315857000001</v>
      </c>
      <c r="E1950">
        <v>40</v>
      </c>
      <c r="F1950">
        <v>39.986587524000001</v>
      </c>
      <c r="G1950">
        <v>1328.6436768000001</v>
      </c>
      <c r="H1950">
        <v>1327.3220214999999</v>
      </c>
      <c r="I1950">
        <v>1335.7237548999999</v>
      </c>
      <c r="J1950">
        <v>1333.9373779</v>
      </c>
      <c r="K1950">
        <v>0</v>
      </c>
      <c r="L1950">
        <v>1650</v>
      </c>
      <c r="M1950">
        <v>1650</v>
      </c>
      <c r="N1950">
        <v>0</v>
      </c>
    </row>
    <row r="1951" spans="1:14" x14ac:dyDescent="0.25">
      <c r="A1951">
        <v>1345.2159079999999</v>
      </c>
      <c r="B1951" s="1">
        <f>DATE(2014,1,5) + TIME(5,10,54)</f>
        <v>41644.215902777774</v>
      </c>
      <c r="C1951">
        <v>80</v>
      </c>
      <c r="D1951">
        <v>75.250137328999998</v>
      </c>
      <c r="E1951">
        <v>40</v>
      </c>
      <c r="F1951">
        <v>39.986553192000002</v>
      </c>
      <c r="G1951">
        <v>1328.6097411999999</v>
      </c>
      <c r="H1951">
        <v>1327.2784423999999</v>
      </c>
      <c r="I1951">
        <v>1335.7231445</v>
      </c>
      <c r="J1951">
        <v>1333.9373779</v>
      </c>
      <c r="K1951">
        <v>0</v>
      </c>
      <c r="L1951">
        <v>1650</v>
      </c>
      <c r="M1951">
        <v>1650</v>
      </c>
      <c r="N1951">
        <v>0</v>
      </c>
    </row>
    <row r="1952" spans="1:14" x14ac:dyDescent="0.25">
      <c r="A1952">
        <v>1347.408954</v>
      </c>
      <c r="B1952" s="1">
        <f>DATE(2014,1,7) + TIME(9,48,53)</f>
        <v>41646.408946759257</v>
      </c>
      <c r="C1952">
        <v>80</v>
      </c>
      <c r="D1952">
        <v>75.065284728999998</v>
      </c>
      <c r="E1952">
        <v>40</v>
      </c>
      <c r="F1952">
        <v>39.986518859999997</v>
      </c>
      <c r="G1952">
        <v>1328.5745850000001</v>
      </c>
      <c r="H1952">
        <v>1327.2331543</v>
      </c>
      <c r="I1952">
        <v>1335.7225341999999</v>
      </c>
      <c r="J1952">
        <v>1333.9373779</v>
      </c>
      <c r="K1952">
        <v>0</v>
      </c>
      <c r="L1952">
        <v>1650</v>
      </c>
      <c r="M1952">
        <v>1650</v>
      </c>
      <c r="N1952">
        <v>0</v>
      </c>
    </row>
    <row r="1953" spans="1:14" x14ac:dyDescent="0.25">
      <c r="A1953">
        <v>1349.6513580000001</v>
      </c>
      <c r="B1953" s="1">
        <f>DATE(2014,1,9) + TIME(15,37,57)</f>
        <v>41648.651354166665</v>
      </c>
      <c r="C1953">
        <v>80</v>
      </c>
      <c r="D1953">
        <v>74.874366760000001</v>
      </c>
      <c r="E1953">
        <v>40</v>
      </c>
      <c r="F1953">
        <v>39.986484527999998</v>
      </c>
      <c r="G1953">
        <v>1328.5391846</v>
      </c>
      <c r="H1953">
        <v>1327.1875</v>
      </c>
      <c r="I1953">
        <v>1335.7219238</v>
      </c>
      <c r="J1953">
        <v>1333.9375</v>
      </c>
      <c r="K1953">
        <v>0</v>
      </c>
      <c r="L1953">
        <v>1650</v>
      </c>
      <c r="M1953">
        <v>1650</v>
      </c>
      <c r="N1953">
        <v>0</v>
      </c>
    </row>
    <row r="1954" spans="1:14" x14ac:dyDescent="0.25">
      <c r="A1954">
        <v>1351.9424320000001</v>
      </c>
      <c r="B1954" s="1">
        <f>DATE(2014,1,11) + TIME(22,37,6)</f>
        <v>41650.942430555559</v>
      </c>
      <c r="C1954">
        <v>80</v>
      </c>
      <c r="D1954">
        <v>74.677780150999993</v>
      </c>
      <c r="E1954">
        <v>40</v>
      </c>
      <c r="F1954">
        <v>39.986450195000003</v>
      </c>
      <c r="G1954">
        <v>1328.5039062000001</v>
      </c>
      <c r="H1954">
        <v>1327.1419678</v>
      </c>
      <c r="I1954">
        <v>1335.7214355000001</v>
      </c>
      <c r="J1954">
        <v>1333.9375</v>
      </c>
      <c r="K1954">
        <v>0</v>
      </c>
      <c r="L1954">
        <v>1650</v>
      </c>
      <c r="M1954">
        <v>1650</v>
      </c>
      <c r="N1954">
        <v>0</v>
      </c>
    </row>
    <row r="1955" spans="1:14" x14ac:dyDescent="0.25">
      <c r="A1955">
        <v>1354.298734</v>
      </c>
      <c r="B1955" s="1">
        <f>DATE(2014,1,14) + TIME(7,10,10)</f>
        <v>41653.298726851855</v>
      </c>
      <c r="C1955">
        <v>80</v>
      </c>
      <c r="D1955">
        <v>74.475448607999994</v>
      </c>
      <c r="E1955">
        <v>40</v>
      </c>
      <c r="F1955">
        <v>39.986412047999998</v>
      </c>
      <c r="G1955">
        <v>1328.46875</v>
      </c>
      <c r="H1955">
        <v>1327.0966797000001</v>
      </c>
      <c r="I1955">
        <v>1335.7208252</v>
      </c>
      <c r="J1955">
        <v>1333.9376221</v>
      </c>
      <c r="K1955">
        <v>0</v>
      </c>
      <c r="L1955">
        <v>1650</v>
      </c>
      <c r="M1955">
        <v>1650</v>
      </c>
      <c r="N1955">
        <v>0</v>
      </c>
    </row>
    <row r="1956" spans="1:14" x14ac:dyDescent="0.25">
      <c r="A1956">
        <v>1356.692331</v>
      </c>
      <c r="B1956" s="1">
        <f>DATE(2014,1,16) + TIME(16,36,57)</f>
        <v>41655.692326388889</v>
      </c>
      <c r="C1956">
        <v>80</v>
      </c>
      <c r="D1956">
        <v>74.267265320000007</v>
      </c>
      <c r="E1956">
        <v>40</v>
      </c>
      <c r="F1956">
        <v>39.986377716</v>
      </c>
      <c r="G1956">
        <v>1328.4335937999999</v>
      </c>
      <c r="H1956">
        <v>1327.0513916</v>
      </c>
      <c r="I1956">
        <v>1335.7202147999999</v>
      </c>
      <c r="J1956">
        <v>1333.9377440999999</v>
      </c>
      <c r="K1956">
        <v>0</v>
      </c>
      <c r="L1956">
        <v>1650</v>
      </c>
      <c r="M1956">
        <v>1650</v>
      </c>
      <c r="N1956">
        <v>0</v>
      </c>
    </row>
    <row r="1957" spans="1:14" x14ac:dyDescent="0.25">
      <c r="A1957">
        <v>1359.142975</v>
      </c>
      <c r="B1957" s="1">
        <f>DATE(2014,1,19) + TIME(3,25,53)</f>
        <v>41658.142974537041</v>
      </c>
      <c r="C1957">
        <v>80</v>
      </c>
      <c r="D1957">
        <v>74.054016113000003</v>
      </c>
      <c r="E1957">
        <v>40</v>
      </c>
      <c r="F1957">
        <v>39.986339569000002</v>
      </c>
      <c r="G1957">
        <v>1328.3986815999999</v>
      </c>
      <c r="H1957">
        <v>1327.0063477000001</v>
      </c>
      <c r="I1957">
        <v>1335.7196045000001</v>
      </c>
      <c r="J1957">
        <v>1333.9378661999999</v>
      </c>
      <c r="K1957">
        <v>0</v>
      </c>
      <c r="L1957">
        <v>1650</v>
      </c>
      <c r="M1957">
        <v>1650</v>
      </c>
      <c r="N1957">
        <v>0</v>
      </c>
    </row>
    <row r="1958" spans="1:14" x14ac:dyDescent="0.25">
      <c r="A1958">
        <v>1361.6721500000001</v>
      </c>
      <c r="B1958" s="1">
        <f>DATE(2014,1,21) + TIME(16,7,53)</f>
        <v>41660.6721412037</v>
      </c>
      <c r="C1958">
        <v>80</v>
      </c>
      <c r="D1958">
        <v>73.834625243999994</v>
      </c>
      <c r="E1958">
        <v>40</v>
      </c>
      <c r="F1958">
        <v>39.986305237000003</v>
      </c>
      <c r="G1958">
        <v>1328.3637695</v>
      </c>
      <c r="H1958">
        <v>1326.9616699000001</v>
      </c>
      <c r="I1958">
        <v>1335.7189940999999</v>
      </c>
      <c r="J1958">
        <v>1333.9381103999999</v>
      </c>
      <c r="K1958">
        <v>0</v>
      </c>
      <c r="L1958">
        <v>1650</v>
      </c>
      <c r="M1958">
        <v>1650</v>
      </c>
      <c r="N1958">
        <v>0</v>
      </c>
    </row>
    <row r="1959" spans="1:14" x14ac:dyDescent="0.25">
      <c r="A1959">
        <v>1364.2807439999999</v>
      </c>
      <c r="B1959" s="1">
        <f>DATE(2014,1,24) + TIME(6,44,16)</f>
        <v>41663.280740740738</v>
      </c>
      <c r="C1959">
        <v>80</v>
      </c>
      <c r="D1959">
        <v>73.607856749999996</v>
      </c>
      <c r="E1959">
        <v>40</v>
      </c>
      <c r="F1959">
        <v>39.986267089999998</v>
      </c>
      <c r="G1959">
        <v>1328.3289795000001</v>
      </c>
      <c r="H1959">
        <v>1326.9168701000001</v>
      </c>
      <c r="I1959">
        <v>1335.7182617000001</v>
      </c>
      <c r="J1959">
        <v>1333.9383545000001</v>
      </c>
      <c r="K1959">
        <v>0</v>
      </c>
      <c r="L1959">
        <v>1650</v>
      </c>
      <c r="M1959">
        <v>1650</v>
      </c>
      <c r="N1959">
        <v>0</v>
      </c>
    </row>
    <row r="1960" spans="1:14" x14ac:dyDescent="0.25">
      <c r="A1960">
        <v>1366.9291740000001</v>
      </c>
      <c r="B1960" s="1">
        <f>DATE(2014,1,26) + TIME(22,18,0)</f>
        <v>41665.929166666669</v>
      </c>
      <c r="C1960">
        <v>80</v>
      </c>
      <c r="D1960">
        <v>73.374191284000005</v>
      </c>
      <c r="E1960">
        <v>40</v>
      </c>
      <c r="F1960">
        <v>39.986225128000001</v>
      </c>
      <c r="G1960">
        <v>1328.2939452999999</v>
      </c>
      <c r="H1960">
        <v>1326.8720702999999</v>
      </c>
      <c r="I1960">
        <v>1335.7176514</v>
      </c>
      <c r="J1960">
        <v>1333.9385986</v>
      </c>
      <c r="K1960">
        <v>0</v>
      </c>
      <c r="L1960">
        <v>1650</v>
      </c>
      <c r="M1960">
        <v>1650</v>
      </c>
      <c r="N1960">
        <v>0</v>
      </c>
    </row>
    <row r="1961" spans="1:14" x14ac:dyDescent="0.25">
      <c r="A1961">
        <v>1369.607041</v>
      </c>
      <c r="B1961" s="1">
        <f>DATE(2014,1,29) + TIME(14,34,8)</f>
        <v>41668.607037037036</v>
      </c>
      <c r="C1961">
        <v>80</v>
      </c>
      <c r="D1961">
        <v>73.135925293</v>
      </c>
      <c r="E1961">
        <v>40</v>
      </c>
      <c r="F1961">
        <v>39.986186981000003</v>
      </c>
      <c r="G1961">
        <v>1328.2590332</v>
      </c>
      <c r="H1961">
        <v>1326.8275146000001</v>
      </c>
      <c r="I1961">
        <v>1335.7169189000001</v>
      </c>
      <c r="J1961">
        <v>1333.9388428</v>
      </c>
      <c r="K1961">
        <v>0</v>
      </c>
      <c r="L1961">
        <v>1650</v>
      </c>
      <c r="M1961">
        <v>1650</v>
      </c>
      <c r="N1961">
        <v>0</v>
      </c>
    </row>
    <row r="1962" spans="1:14" x14ac:dyDescent="0.25">
      <c r="A1962">
        <v>1372</v>
      </c>
      <c r="B1962" s="1">
        <f>DATE(2014,2,1) + TIME(0,0,0)</f>
        <v>41671</v>
      </c>
      <c r="C1962">
        <v>80</v>
      </c>
      <c r="D1962">
        <v>72.901062011999997</v>
      </c>
      <c r="E1962">
        <v>40</v>
      </c>
      <c r="F1962">
        <v>39.986152648999997</v>
      </c>
      <c r="G1962">
        <v>1328.2247314000001</v>
      </c>
      <c r="H1962">
        <v>1326.7836914</v>
      </c>
      <c r="I1962">
        <v>1335.7163086</v>
      </c>
      <c r="J1962">
        <v>1333.9390868999999</v>
      </c>
      <c r="K1962">
        <v>0</v>
      </c>
      <c r="L1962">
        <v>1650</v>
      </c>
      <c r="M1962">
        <v>1650</v>
      </c>
      <c r="N1962">
        <v>0</v>
      </c>
    </row>
    <row r="1963" spans="1:14" x14ac:dyDescent="0.25">
      <c r="A1963">
        <v>1374.7285850000001</v>
      </c>
      <c r="B1963" s="1">
        <f>DATE(2014,2,3) + TIME(17,29,9)</f>
        <v>41673.728576388887</v>
      </c>
      <c r="C1963">
        <v>80</v>
      </c>
      <c r="D1963">
        <v>72.672874450999998</v>
      </c>
      <c r="E1963">
        <v>40</v>
      </c>
      <c r="F1963">
        <v>39.986114502</v>
      </c>
      <c r="G1963">
        <v>1328.1934814000001</v>
      </c>
      <c r="H1963">
        <v>1326.7426757999999</v>
      </c>
      <c r="I1963">
        <v>1335.7156981999999</v>
      </c>
      <c r="J1963">
        <v>1333.9393310999999</v>
      </c>
      <c r="K1963">
        <v>0</v>
      </c>
      <c r="L1963">
        <v>1650</v>
      </c>
      <c r="M1963">
        <v>1650</v>
      </c>
      <c r="N1963">
        <v>0</v>
      </c>
    </row>
    <row r="1964" spans="1:14" x14ac:dyDescent="0.25">
      <c r="A1964">
        <v>1377.590518</v>
      </c>
      <c r="B1964" s="1">
        <f>DATE(2014,2,6) + TIME(14,10,20)</f>
        <v>41676.590509259258</v>
      </c>
      <c r="C1964">
        <v>80</v>
      </c>
      <c r="D1964">
        <v>72.427070618000002</v>
      </c>
      <c r="E1964">
        <v>40</v>
      </c>
      <c r="F1964">
        <v>39.986076355000002</v>
      </c>
      <c r="G1964">
        <v>1328.1608887</v>
      </c>
      <c r="H1964">
        <v>1326.7016602000001</v>
      </c>
      <c r="I1964">
        <v>1335.7149658000001</v>
      </c>
      <c r="J1964">
        <v>1333.9395752</v>
      </c>
      <c r="K1964">
        <v>0</v>
      </c>
      <c r="L1964">
        <v>1650</v>
      </c>
      <c r="M1964">
        <v>1650</v>
      </c>
      <c r="N1964">
        <v>0</v>
      </c>
    </row>
    <row r="1965" spans="1:14" x14ac:dyDescent="0.25">
      <c r="A1965">
        <v>1380.5229609999999</v>
      </c>
      <c r="B1965" s="1">
        <f>DATE(2014,2,9) + TIME(12,33,3)</f>
        <v>41679.522951388892</v>
      </c>
      <c r="C1965">
        <v>80</v>
      </c>
      <c r="D1965">
        <v>72.169082642000006</v>
      </c>
      <c r="E1965">
        <v>40</v>
      </c>
      <c r="F1965">
        <v>39.986038207999997</v>
      </c>
      <c r="G1965">
        <v>1328.1274414</v>
      </c>
      <c r="H1965">
        <v>1326.6591797000001</v>
      </c>
      <c r="I1965">
        <v>1335.7142334</v>
      </c>
      <c r="J1965">
        <v>1333.9398193</v>
      </c>
      <c r="K1965">
        <v>0</v>
      </c>
      <c r="L1965">
        <v>1650</v>
      </c>
      <c r="M1965">
        <v>1650</v>
      </c>
      <c r="N1965">
        <v>0</v>
      </c>
    </row>
    <row r="1966" spans="1:14" x14ac:dyDescent="0.25">
      <c r="A1966">
        <v>1383.5543929999999</v>
      </c>
      <c r="B1966" s="1">
        <f>DATE(2014,2,12) + TIME(13,18,19)</f>
        <v>41682.554386574076</v>
      </c>
      <c r="C1966">
        <v>80</v>
      </c>
      <c r="D1966">
        <v>71.902839661000002</v>
      </c>
      <c r="E1966">
        <v>40</v>
      </c>
      <c r="F1966">
        <v>39.985996245999999</v>
      </c>
      <c r="G1966">
        <v>1328.0936279</v>
      </c>
      <c r="H1966">
        <v>1326.6162108999999</v>
      </c>
      <c r="I1966">
        <v>1335.713501</v>
      </c>
      <c r="J1966">
        <v>1333.9401855000001</v>
      </c>
      <c r="K1966">
        <v>0</v>
      </c>
      <c r="L1966">
        <v>1650</v>
      </c>
      <c r="M1966">
        <v>1650</v>
      </c>
      <c r="N1966">
        <v>0</v>
      </c>
    </row>
    <row r="1967" spans="1:14" x14ac:dyDescent="0.25">
      <c r="A1967">
        <v>1386.6524999999999</v>
      </c>
      <c r="B1967" s="1">
        <f>DATE(2014,2,15) + TIME(15,39,35)</f>
        <v>41685.652488425927</v>
      </c>
      <c r="C1967">
        <v>80</v>
      </c>
      <c r="D1967">
        <v>71.62828064</v>
      </c>
      <c r="E1967">
        <v>40</v>
      </c>
      <c r="F1967">
        <v>39.985954284999998</v>
      </c>
      <c r="G1967">
        <v>1328.0596923999999</v>
      </c>
      <c r="H1967">
        <v>1326.5729980000001</v>
      </c>
      <c r="I1967">
        <v>1335.7127685999999</v>
      </c>
      <c r="J1967">
        <v>1333.9405518000001</v>
      </c>
      <c r="K1967">
        <v>0</v>
      </c>
      <c r="L1967">
        <v>1650</v>
      </c>
      <c r="M1967">
        <v>1650</v>
      </c>
      <c r="N1967">
        <v>0</v>
      </c>
    </row>
    <row r="1968" spans="1:14" x14ac:dyDescent="0.25">
      <c r="A1968">
        <v>1389.777151</v>
      </c>
      <c r="B1968" s="1">
        <f>DATE(2014,2,18) + TIME(18,39,5)</f>
        <v>41688.777141203704</v>
      </c>
      <c r="C1968">
        <v>80</v>
      </c>
      <c r="D1968">
        <v>71.347946167000003</v>
      </c>
      <c r="E1968">
        <v>40</v>
      </c>
      <c r="F1968">
        <v>39.985912323000001</v>
      </c>
      <c r="G1968">
        <v>1328.0257568</v>
      </c>
      <c r="H1968">
        <v>1326.5297852000001</v>
      </c>
      <c r="I1968">
        <v>1335.7119141000001</v>
      </c>
      <c r="J1968">
        <v>1333.9407959</v>
      </c>
      <c r="K1968">
        <v>0</v>
      </c>
      <c r="L1968">
        <v>1650</v>
      </c>
      <c r="M1968">
        <v>1650</v>
      </c>
      <c r="N1968">
        <v>0</v>
      </c>
    </row>
    <row r="1969" spans="1:14" x14ac:dyDescent="0.25">
      <c r="A1969">
        <v>1392.9545049999999</v>
      </c>
      <c r="B1969" s="1">
        <f>DATE(2014,2,21) + TIME(22,54,29)</f>
        <v>41691.954502314817</v>
      </c>
      <c r="C1969">
        <v>80</v>
      </c>
      <c r="D1969">
        <v>71.064125060999999</v>
      </c>
      <c r="E1969">
        <v>40</v>
      </c>
      <c r="F1969">
        <v>39.985874176000003</v>
      </c>
      <c r="G1969">
        <v>1327.9923096</v>
      </c>
      <c r="H1969">
        <v>1326.4871826000001</v>
      </c>
      <c r="I1969">
        <v>1335.7110596</v>
      </c>
      <c r="J1969">
        <v>1333.9411620999999</v>
      </c>
      <c r="K1969">
        <v>0</v>
      </c>
      <c r="L1969">
        <v>1650</v>
      </c>
      <c r="M1969">
        <v>1650</v>
      </c>
      <c r="N1969">
        <v>0</v>
      </c>
    </row>
    <row r="1970" spans="1:14" x14ac:dyDescent="0.25">
      <c r="A1970">
        <v>1396.212916</v>
      </c>
      <c r="B1970" s="1">
        <f>DATE(2014,2,25) + TIME(5,6,35)</f>
        <v>41695.212905092594</v>
      </c>
      <c r="C1970">
        <v>80</v>
      </c>
      <c r="D1970">
        <v>70.775436400999993</v>
      </c>
      <c r="E1970">
        <v>40</v>
      </c>
      <c r="F1970">
        <v>39.985832213999998</v>
      </c>
      <c r="G1970">
        <v>1327.9591064000001</v>
      </c>
      <c r="H1970">
        <v>1326.4449463000001</v>
      </c>
      <c r="I1970">
        <v>1335.7102050999999</v>
      </c>
      <c r="J1970">
        <v>1333.9415283000001</v>
      </c>
      <c r="K1970">
        <v>0</v>
      </c>
      <c r="L1970">
        <v>1650</v>
      </c>
      <c r="M1970">
        <v>1650</v>
      </c>
      <c r="N1970">
        <v>0</v>
      </c>
    </row>
    <row r="1971" spans="1:14" x14ac:dyDescent="0.25">
      <c r="A1971">
        <v>1399.575542</v>
      </c>
      <c r="B1971" s="1">
        <f>DATE(2014,2,28) + TIME(13,48,46)</f>
        <v>41698.575532407405</v>
      </c>
      <c r="C1971">
        <v>80</v>
      </c>
      <c r="D1971">
        <v>70.479881286999998</v>
      </c>
      <c r="E1971">
        <v>40</v>
      </c>
      <c r="F1971">
        <v>39.985790252999998</v>
      </c>
      <c r="G1971">
        <v>1327.9261475000001</v>
      </c>
      <c r="H1971">
        <v>1326.4030762</v>
      </c>
      <c r="I1971">
        <v>1335.7093506000001</v>
      </c>
      <c r="J1971">
        <v>1333.9417725000001</v>
      </c>
      <c r="K1971">
        <v>0</v>
      </c>
      <c r="L1971">
        <v>1650</v>
      </c>
      <c r="M1971">
        <v>1650</v>
      </c>
      <c r="N1971">
        <v>0</v>
      </c>
    </row>
    <row r="1972" spans="1:14" x14ac:dyDescent="0.25">
      <c r="A1972">
        <v>1400</v>
      </c>
      <c r="B1972" s="1">
        <f>DATE(2014,3,1) + TIME(0,0,0)</f>
        <v>41699</v>
      </c>
      <c r="C1972">
        <v>80</v>
      </c>
      <c r="D1972">
        <v>70.346794127999999</v>
      </c>
      <c r="E1972">
        <v>40</v>
      </c>
      <c r="F1972">
        <v>39.985782622999999</v>
      </c>
      <c r="G1972">
        <v>1327.8933105000001</v>
      </c>
      <c r="H1972">
        <v>1326.3648682</v>
      </c>
      <c r="I1972">
        <v>1335.708374</v>
      </c>
      <c r="J1972">
        <v>1333.9420166</v>
      </c>
      <c r="K1972">
        <v>0</v>
      </c>
      <c r="L1972">
        <v>1650</v>
      </c>
      <c r="M1972">
        <v>1650</v>
      </c>
      <c r="N1972">
        <v>0</v>
      </c>
    </row>
    <row r="1973" spans="1:14" x14ac:dyDescent="0.25">
      <c r="A1973">
        <v>1403.456645</v>
      </c>
      <c r="B1973" s="1">
        <f>DATE(2014,3,4) + TIME(10,57,34)</f>
        <v>41702.456643518519</v>
      </c>
      <c r="C1973">
        <v>80</v>
      </c>
      <c r="D1973">
        <v>70.119995117000002</v>
      </c>
      <c r="E1973">
        <v>40</v>
      </c>
      <c r="F1973">
        <v>39.985740661999998</v>
      </c>
      <c r="G1973">
        <v>1327.8851318</v>
      </c>
      <c r="H1973">
        <v>1326.3485106999999</v>
      </c>
      <c r="I1973">
        <v>1335.708374</v>
      </c>
      <c r="J1973">
        <v>1333.9422606999999</v>
      </c>
      <c r="K1973">
        <v>0</v>
      </c>
      <c r="L1973">
        <v>1650</v>
      </c>
      <c r="M1973">
        <v>1650</v>
      </c>
      <c r="N1973">
        <v>0</v>
      </c>
    </row>
    <row r="1974" spans="1:14" x14ac:dyDescent="0.25">
      <c r="A1974">
        <v>1407.0292030000001</v>
      </c>
      <c r="B1974" s="1">
        <f>DATE(2014,3,8) + TIME(0,42,3)</f>
        <v>41706.02920138889</v>
      </c>
      <c r="C1974">
        <v>80</v>
      </c>
      <c r="D1974">
        <v>69.820343018000003</v>
      </c>
      <c r="E1974">
        <v>40</v>
      </c>
      <c r="F1974">
        <v>39.9856987</v>
      </c>
      <c r="G1974">
        <v>1327.8551024999999</v>
      </c>
      <c r="H1974">
        <v>1326.3125</v>
      </c>
      <c r="I1974">
        <v>1335.7073975000001</v>
      </c>
      <c r="J1974">
        <v>1333.9425048999999</v>
      </c>
      <c r="K1974">
        <v>0</v>
      </c>
      <c r="L1974">
        <v>1650</v>
      </c>
      <c r="M1974">
        <v>1650</v>
      </c>
      <c r="N1974">
        <v>0</v>
      </c>
    </row>
    <row r="1975" spans="1:14" x14ac:dyDescent="0.25">
      <c r="A1975">
        <v>1410.632038</v>
      </c>
      <c r="B1975" s="1">
        <f>DATE(2014,3,11) + TIME(15,10,8)</f>
        <v>41709.632037037038</v>
      </c>
      <c r="C1975">
        <v>80</v>
      </c>
      <c r="D1975">
        <v>69.502365112000007</v>
      </c>
      <c r="E1975">
        <v>40</v>
      </c>
      <c r="F1975">
        <v>39.985656738000003</v>
      </c>
      <c r="G1975">
        <v>1327.8226318</v>
      </c>
      <c r="H1975">
        <v>1326.2717285000001</v>
      </c>
      <c r="I1975">
        <v>1335.7064209</v>
      </c>
      <c r="J1975">
        <v>1333.9428711</v>
      </c>
      <c r="K1975">
        <v>0</v>
      </c>
      <c r="L1975">
        <v>1650</v>
      </c>
      <c r="M1975">
        <v>1650</v>
      </c>
      <c r="N1975">
        <v>0</v>
      </c>
    </row>
    <row r="1976" spans="1:14" x14ac:dyDescent="0.25">
      <c r="A1976">
        <v>1414.296961</v>
      </c>
      <c r="B1976" s="1">
        <f>DATE(2014,3,15) + TIME(7,7,37)</f>
        <v>41713.296956018516</v>
      </c>
      <c r="C1976">
        <v>80</v>
      </c>
      <c r="D1976">
        <v>69.178443908999995</v>
      </c>
      <c r="E1976">
        <v>40</v>
      </c>
      <c r="F1976">
        <v>39.985610962000003</v>
      </c>
      <c r="G1976">
        <v>1327.7900391000001</v>
      </c>
      <c r="H1976">
        <v>1326.2304687999999</v>
      </c>
      <c r="I1976">
        <v>1335.7054443</v>
      </c>
      <c r="J1976">
        <v>1333.9432373</v>
      </c>
      <c r="K1976">
        <v>0</v>
      </c>
      <c r="L1976">
        <v>1650</v>
      </c>
      <c r="M1976">
        <v>1650</v>
      </c>
      <c r="N1976">
        <v>0</v>
      </c>
    </row>
    <row r="1977" spans="1:14" x14ac:dyDescent="0.25">
      <c r="A1977">
        <v>1418.060244</v>
      </c>
      <c r="B1977" s="1">
        <f>DATE(2014,3,19) + TIME(1,26,45)</f>
        <v>41717.060243055559</v>
      </c>
      <c r="C1977">
        <v>80</v>
      </c>
      <c r="D1977">
        <v>68.849304199000002</v>
      </c>
      <c r="E1977">
        <v>40</v>
      </c>
      <c r="F1977">
        <v>39.985568999999998</v>
      </c>
      <c r="G1977">
        <v>1327.7578125</v>
      </c>
      <c r="H1977">
        <v>1326.1894531</v>
      </c>
      <c r="I1977">
        <v>1335.7043457</v>
      </c>
      <c r="J1977">
        <v>1333.9434814000001</v>
      </c>
      <c r="K1977">
        <v>0</v>
      </c>
      <c r="L1977">
        <v>1650</v>
      </c>
      <c r="M1977">
        <v>1650</v>
      </c>
      <c r="N1977">
        <v>0</v>
      </c>
    </row>
    <row r="1978" spans="1:14" x14ac:dyDescent="0.25">
      <c r="A1978">
        <v>1421.96192</v>
      </c>
      <c r="B1978" s="1">
        <f>DATE(2014,3,22) + TIME(23,5,9)</f>
        <v>41720.961909722224</v>
      </c>
      <c r="C1978">
        <v>80</v>
      </c>
      <c r="D1978">
        <v>68.512054442999997</v>
      </c>
      <c r="E1978">
        <v>40</v>
      </c>
      <c r="F1978">
        <v>39.985527038999997</v>
      </c>
      <c r="G1978">
        <v>1327.7255858999999</v>
      </c>
      <c r="H1978">
        <v>1326.1486815999999</v>
      </c>
      <c r="I1978">
        <v>1335.7033690999999</v>
      </c>
      <c r="J1978">
        <v>1333.9437256000001</v>
      </c>
      <c r="K1978">
        <v>0</v>
      </c>
      <c r="L1978">
        <v>1650</v>
      </c>
      <c r="M1978">
        <v>1650</v>
      </c>
      <c r="N1978">
        <v>0</v>
      </c>
    </row>
    <row r="1979" spans="1:14" x14ac:dyDescent="0.25">
      <c r="A1979">
        <v>1425.997118</v>
      </c>
      <c r="B1979" s="1">
        <f>DATE(2014,3,26) + TIME(23,55,50)</f>
        <v>41724.997106481482</v>
      </c>
      <c r="C1979">
        <v>80</v>
      </c>
      <c r="D1979">
        <v>68.164382935000006</v>
      </c>
      <c r="E1979">
        <v>40</v>
      </c>
      <c r="F1979">
        <v>39.985481262</v>
      </c>
      <c r="G1979">
        <v>1327.6933594</v>
      </c>
      <c r="H1979">
        <v>1326.1077881000001</v>
      </c>
      <c r="I1979">
        <v>1335.7021483999999</v>
      </c>
      <c r="J1979">
        <v>1333.9440918</v>
      </c>
      <c r="K1979">
        <v>0</v>
      </c>
      <c r="L1979">
        <v>1650</v>
      </c>
      <c r="M1979">
        <v>1650</v>
      </c>
      <c r="N1979">
        <v>0</v>
      </c>
    </row>
    <row r="1980" spans="1:14" x14ac:dyDescent="0.25">
      <c r="A1980">
        <v>1430.0978279999999</v>
      </c>
      <c r="B1980" s="1">
        <f>DATE(2014,3,31) + TIME(2,20,52)</f>
        <v>41729.097824074073</v>
      </c>
      <c r="C1980">
        <v>80</v>
      </c>
      <c r="D1980">
        <v>67.807060242000006</v>
      </c>
      <c r="E1980">
        <v>40</v>
      </c>
      <c r="F1980">
        <v>39.985439301</v>
      </c>
      <c r="G1980">
        <v>1327.6608887</v>
      </c>
      <c r="H1980">
        <v>1326.0666504000001</v>
      </c>
      <c r="I1980">
        <v>1335.7010498</v>
      </c>
      <c r="J1980">
        <v>1333.9443358999999</v>
      </c>
      <c r="K1980">
        <v>0</v>
      </c>
      <c r="L1980">
        <v>1650</v>
      </c>
      <c r="M1980">
        <v>1650</v>
      </c>
      <c r="N1980">
        <v>0</v>
      </c>
    </row>
    <row r="1981" spans="1:14" x14ac:dyDescent="0.25">
      <c r="A1981">
        <v>1431</v>
      </c>
      <c r="B1981" s="1">
        <f>DATE(2014,4,1) + TIME(0,0,0)</f>
        <v>41730</v>
      </c>
      <c r="C1981">
        <v>80</v>
      </c>
      <c r="D1981">
        <v>67.573791503999999</v>
      </c>
      <c r="E1981">
        <v>40</v>
      </c>
      <c r="F1981">
        <v>39.985424041999998</v>
      </c>
      <c r="G1981">
        <v>1327.628418</v>
      </c>
      <c r="H1981">
        <v>1326.0281981999999</v>
      </c>
      <c r="I1981">
        <v>1335.6998291</v>
      </c>
      <c r="J1981">
        <v>1333.9444579999999</v>
      </c>
      <c r="K1981">
        <v>0</v>
      </c>
      <c r="L1981">
        <v>1650</v>
      </c>
      <c r="M1981">
        <v>1650</v>
      </c>
      <c r="N1981">
        <v>0</v>
      </c>
    </row>
    <row r="1982" spans="1:14" x14ac:dyDescent="0.25">
      <c r="A1982">
        <v>1435.162855</v>
      </c>
      <c r="B1982" s="1">
        <f>DATE(2014,4,5) + TIME(3,54,30)</f>
        <v>41734.162847222222</v>
      </c>
      <c r="C1982">
        <v>80</v>
      </c>
      <c r="D1982">
        <v>67.340583800999994</v>
      </c>
      <c r="E1982">
        <v>40</v>
      </c>
      <c r="F1982">
        <v>39.985385895</v>
      </c>
      <c r="G1982">
        <v>1327.6165771000001</v>
      </c>
      <c r="H1982">
        <v>1326.0069579999999</v>
      </c>
      <c r="I1982">
        <v>1335.6995850000001</v>
      </c>
      <c r="J1982">
        <v>1333.9445800999999</v>
      </c>
      <c r="K1982">
        <v>0</v>
      </c>
      <c r="L1982">
        <v>1650</v>
      </c>
      <c r="M1982">
        <v>1650</v>
      </c>
      <c r="N1982">
        <v>0</v>
      </c>
    </row>
    <row r="1983" spans="1:14" x14ac:dyDescent="0.25">
      <c r="A1983">
        <v>1439.4641770000001</v>
      </c>
      <c r="B1983" s="1">
        <f>DATE(2014,4,9) + TIME(11,8,24)</f>
        <v>41738.464166666665</v>
      </c>
      <c r="C1983">
        <v>80</v>
      </c>
      <c r="D1983">
        <v>66.991188049000002</v>
      </c>
      <c r="E1983">
        <v>40</v>
      </c>
      <c r="F1983">
        <v>39.985340118000003</v>
      </c>
      <c r="G1983">
        <v>1327.5891113</v>
      </c>
      <c r="H1983">
        <v>1325.9748535000001</v>
      </c>
      <c r="I1983">
        <v>1335.6983643000001</v>
      </c>
      <c r="J1983">
        <v>1333.9448242000001</v>
      </c>
      <c r="K1983">
        <v>0</v>
      </c>
      <c r="L1983">
        <v>1650</v>
      </c>
      <c r="M1983">
        <v>1650</v>
      </c>
      <c r="N1983">
        <v>0</v>
      </c>
    </row>
    <row r="1984" spans="1:14" x14ac:dyDescent="0.25">
      <c r="A1984">
        <v>1443.931718</v>
      </c>
      <c r="B1984" s="1">
        <f>DATE(2014,4,13) + TIME(22,21,40)</f>
        <v>41742.931712962964</v>
      </c>
      <c r="C1984">
        <v>80</v>
      </c>
      <c r="D1984">
        <v>66.616973877000007</v>
      </c>
      <c r="E1984">
        <v>40</v>
      </c>
      <c r="F1984">
        <v>39.985298157000003</v>
      </c>
      <c r="G1984">
        <v>1327.5582274999999</v>
      </c>
      <c r="H1984">
        <v>1325.9362793</v>
      </c>
      <c r="I1984">
        <v>1335.6970214999999</v>
      </c>
      <c r="J1984">
        <v>1333.9450684000001</v>
      </c>
      <c r="K1984">
        <v>0</v>
      </c>
      <c r="L1984">
        <v>1650</v>
      </c>
      <c r="M1984">
        <v>1650</v>
      </c>
      <c r="N1984">
        <v>0</v>
      </c>
    </row>
    <row r="1985" spans="1:14" x14ac:dyDescent="0.25">
      <c r="A1985">
        <v>1448.5287860000001</v>
      </c>
      <c r="B1985" s="1">
        <f>DATE(2014,4,18) + TIME(12,41,27)</f>
        <v>41747.528784722221</v>
      </c>
      <c r="C1985">
        <v>80</v>
      </c>
      <c r="D1985">
        <v>66.228248596</v>
      </c>
      <c r="E1985">
        <v>40</v>
      </c>
      <c r="F1985">
        <v>39.985252379999999</v>
      </c>
      <c r="G1985">
        <v>1327.5267334</v>
      </c>
      <c r="H1985">
        <v>1325.8966064000001</v>
      </c>
      <c r="I1985">
        <v>1335.6956786999999</v>
      </c>
      <c r="J1985">
        <v>1333.9451904</v>
      </c>
      <c r="K1985">
        <v>0</v>
      </c>
      <c r="L1985">
        <v>1650</v>
      </c>
      <c r="M1985">
        <v>1650</v>
      </c>
      <c r="N1985">
        <v>0</v>
      </c>
    </row>
    <row r="1986" spans="1:14" x14ac:dyDescent="0.25">
      <c r="A1986">
        <v>1453.209216</v>
      </c>
      <c r="B1986" s="1">
        <f>DATE(2014,4,23) + TIME(5,1,16)</f>
        <v>41752.20921296296</v>
      </c>
      <c r="C1986">
        <v>80</v>
      </c>
      <c r="D1986">
        <v>65.830390929999993</v>
      </c>
      <c r="E1986">
        <v>40</v>
      </c>
      <c r="F1986">
        <v>39.985210418999998</v>
      </c>
      <c r="G1986">
        <v>1327.4952393000001</v>
      </c>
      <c r="H1986">
        <v>1325.8565673999999</v>
      </c>
      <c r="I1986">
        <v>1335.6942139</v>
      </c>
      <c r="J1986">
        <v>1333.9453125</v>
      </c>
      <c r="K1986">
        <v>0</v>
      </c>
      <c r="L1986">
        <v>1650</v>
      </c>
      <c r="M1986">
        <v>1650</v>
      </c>
      <c r="N1986">
        <v>0</v>
      </c>
    </row>
    <row r="1987" spans="1:14" x14ac:dyDescent="0.25">
      <c r="A1987">
        <v>1458.0068269999999</v>
      </c>
      <c r="B1987" s="1">
        <f>DATE(2014,4,28) + TIME(0,9,49)</f>
        <v>41757.00681712963</v>
      </c>
      <c r="C1987">
        <v>80</v>
      </c>
      <c r="D1987">
        <v>65.425903320000003</v>
      </c>
      <c r="E1987">
        <v>40</v>
      </c>
      <c r="F1987">
        <v>39.985164642000001</v>
      </c>
      <c r="G1987">
        <v>1327.4639893000001</v>
      </c>
      <c r="H1987">
        <v>1325.8170166</v>
      </c>
      <c r="I1987">
        <v>1335.6928711</v>
      </c>
      <c r="J1987">
        <v>1333.9454346</v>
      </c>
      <c r="K1987">
        <v>0</v>
      </c>
      <c r="L1987">
        <v>1650</v>
      </c>
      <c r="M1987">
        <v>1650</v>
      </c>
      <c r="N1987">
        <v>0</v>
      </c>
    </row>
    <row r="1988" spans="1:14" x14ac:dyDescent="0.25">
      <c r="A1988">
        <v>1461</v>
      </c>
      <c r="B1988" s="1">
        <f>DATE(2014,5,1) + TIME(0,0,0)</f>
        <v>41760</v>
      </c>
      <c r="C1988">
        <v>80</v>
      </c>
      <c r="D1988">
        <v>65.046562195000007</v>
      </c>
      <c r="E1988">
        <v>40</v>
      </c>
      <c r="F1988">
        <v>39.985134125000002</v>
      </c>
      <c r="G1988">
        <v>1327.4328613</v>
      </c>
      <c r="H1988">
        <v>1325.7781981999999</v>
      </c>
      <c r="I1988">
        <v>1335.6912841999999</v>
      </c>
      <c r="J1988">
        <v>1333.9455565999999</v>
      </c>
      <c r="K1988">
        <v>0</v>
      </c>
      <c r="L1988">
        <v>1650</v>
      </c>
      <c r="M1988">
        <v>1650</v>
      </c>
      <c r="N1988">
        <v>0</v>
      </c>
    </row>
    <row r="1989" spans="1:14" x14ac:dyDescent="0.25">
      <c r="A1989">
        <v>1461.0000010000001</v>
      </c>
      <c r="B1989" s="1">
        <f>DATE(2014,5,1) + TIME(0,0,0)</f>
        <v>41760</v>
      </c>
      <c r="C1989">
        <v>80</v>
      </c>
      <c r="D1989">
        <v>65.046676636000001</v>
      </c>
      <c r="E1989">
        <v>40</v>
      </c>
      <c r="F1989">
        <v>39.985080719000003</v>
      </c>
      <c r="G1989">
        <v>1329.7446289</v>
      </c>
      <c r="H1989">
        <v>1328.0997314000001</v>
      </c>
      <c r="I1989">
        <v>1333.4781493999999</v>
      </c>
      <c r="J1989">
        <v>1332.0915527</v>
      </c>
      <c r="K1989">
        <v>1650</v>
      </c>
      <c r="L1989">
        <v>0</v>
      </c>
      <c r="M1989">
        <v>0</v>
      </c>
      <c r="N1989">
        <v>1650</v>
      </c>
    </row>
    <row r="1990" spans="1:14" x14ac:dyDescent="0.25">
      <c r="A1990">
        <v>1461.000004</v>
      </c>
      <c r="B1990" s="1">
        <f>DATE(2014,5,1) + TIME(0,0,0)</f>
        <v>41760</v>
      </c>
      <c r="C1990">
        <v>80</v>
      </c>
      <c r="D1990">
        <v>65.046852111999996</v>
      </c>
      <c r="E1990">
        <v>40</v>
      </c>
      <c r="F1990">
        <v>39.984985352000002</v>
      </c>
      <c r="G1990">
        <v>1330.5809326000001</v>
      </c>
      <c r="H1990">
        <v>1329.0205077999999</v>
      </c>
      <c r="I1990">
        <v>1332.7006836</v>
      </c>
      <c r="J1990">
        <v>1331.3140868999999</v>
      </c>
      <c r="K1990">
        <v>1650</v>
      </c>
      <c r="L1990">
        <v>0</v>
      </c>
      <c r="M1990">
        <v>0</v>
      </c>
      <c r="N1990">
        <v>1650</v>
      </c>
    </row>
    <row r="1991" spans="1:14" x14ac:dyDescent="0.25">
      <c r="A1991">
        <v>1461.0000130000001</v>
      </c>
      <c r="B1991" s="1">
        <f>DATE(2014,5,1) + TIME(0,0,1)</f>
        <v>41760.000011574077</v>
      </c>
      <c r="C1991">
        <v>80</v>
      </c>
      <c r="D1991">
        <v>65.047157287999994</v>
      </c>
      <c r="E1991">
        <v>40</v>
      </c>
      <c r="F1991">
        <v>39.984874724999997</v>
      </c>
      <c r="G1991">
        <v>1331.5959473</v>
      </c>
      <c r="H1991">
        <v>1330.0128173999999</v>
      </c>
      <c r="I1991">
        <v>1331.7725829999999</v>
      </c>
      <c r="J1991">
        <v>1330.3861084</v>
      </c>
      <c r="K1991">
        <v>1650</v>
      </c>
      <c r="L1991">
        <v>0</v>
      </c>
      <c r="M1991">
        <v>0</v>
      </c>
      <c r="N1991">
        <v>1650</v>
      </c>
    </row>
    <row r="1992" spans="1:14" x14ac:dyDescent="0.25">
      <c r="A1992">
        <v>1461.0000399999999</v>
      </c>
      <c r="B1992" s="1">
        <f>DATE(2014,5,1) + TIME(0,0,3)</f>
        <v>41760.000034722223</v>
      </c>
      <c r="C1992">
        <v>80</v>
      </c>
      <c r="D1992">
        <v>65.047813415999997</v>
      </c>
      <c r="E1992">
        <v>40</v>
      </c>
      <c r="F1992">
        <v>39.984764099000003</v>
      </c>
      <c r="G1992">
        <v>1332.6258545000001</v>
      </c>
      <c r="H1992">
        <v>1330.9943848</v>
      </c>
      <c r="I1992">
        <v>1330.8468018000001</v>
      </c>
      <c r="J1992">
        <v>1329.4603271000001</v>
      </c>
      <c r="K1992">
        <v>1650</v>
      </c>
      <c r="L1992">
        <v>0</v>
      </c>
      <c r="M1992">
        <v>0</v>
      </c>
      <c r="N1992">
        <v>1650</v>
      </c>
    </row>
    <row r="1993" spans="1:14" x14ac:dyDescent="0.25">
      <c r="A1993">
        <v>1461.000121</v>
      </c>
      <c r="B1993" s="1">
        <f>DATE(2014,5,1) + TIME(0,0,10)</f>
        <v>41760.000115740739</v>
      </c>
      <c r="C1993">
        <v>80</v>
      </c>
      <c r="D1993">
        <v>65.049545288000004</v>
      </c>
      <c r="E1993">
        <v>40</v>
      </c>
      <c r="F1993">
        <v>39.984649658000002</v>
      </c>
      <c r="G1993">
        <v>1333.6345214999999</v>
      </c>
      <c r="H1993">
        <v>1331.958374</v>
      </c>
      <c r="I1993">
        <v>1329.9384766000001</v>
      </c>
      <c r="J1993">
        <v>1328.5473632999999</v>
      </c>
      <c r="K1993">
        <v>1650</v>
      </c>
      <c r="L1993">
        <v>0</v>
      </c>
      <c r="M1993">
        <v>0</v>
      </c>
      <c r="N1993">
        <v>1650</v>
      </c>
    </row>
    <row r="1994" spans="1:14" x14ac:dyDescent="0.25">
      <c r="A1994">
        <v>1461.000364</v>
      </c>
      <c r="B1994" s="1">
        <f>DATE(2014,5,1) + TIME(0,0,31)</f>
        <v>41760.000358796293</v>
      </c>
      <c r="C1994">
        <v>80</v>
      </c>
      <c r="D1994">
        <v>65.054626464999998</v>
      </c>
      <c r="E1994">
        <v>40</v>
      </c>
      <c r="F1994">
        <v>39.984531402999998</v>
      </c>
      <c r="G1994">
        <v>1334.6053466999999</v>
      </c>
      <c r="H1994">
        <v>1332.885376</v>
      </c>
      <c r="I1994">
        <v>1329.0444336</v>
      </c>
      <c r="J1994">
        <v>1327.6346435999999</v>
      </c>
      <c r="K1994">
        <v>1650</v>
      </c>
      <c r="L1994">
        <v>0</v>
      </c>
      <c r="M1994">
        <v>0</v>
      </c>
      <c r="N1994">
        <v>1650</v>
      </c>
    </row>
    <row r="1995" spans="1:14" x14ac:dyDescent="0.25">
      <c r="A1995">
        <v>1461.0010930000001</v>
      </c>
      <c r="B1995" s="1">
        <f>DATE(2014,5,1) + TIME(0,1,34)</f>
        <v>41760.001087962963</v>
      </c>
      <c r="C1995">
        <v>80</v>
      </c>
      <c r="D1995">
        <v>65.069900512999993</v>
      </c>
      <c r="E1995">
        <v>40</v>
      </c>
      <c r="F1995">
        <v>39.984401703000003</v>
      </c>
      <c r="G1995">
        <v>1335.4196777</v>
      </c>
      <c r="H1995">
        <v>1333.6612548999999</v>
      </c>
      <c r="I1995">
        <v>1328.2496338000001</v>
      </c>
      <c r="J1995">
        <v>1326.8110352000001</v>
      </c>
      <c r="K1995">
        <v>1650</v>
      </c>
      <c r="L1995">
        <v>0</v>
      </c>
      <c r="M1995">
        <v>0</v>
      </c>
      <c r="N1995">
        <v>1650</v>
      </c>
    </row>
    <row r="1996" spans="1:14" x14ac:dyDescent="0.25">
      <c r="A1996">
        <v>1461.0032799999999</v>
      </c>
      <c r="B1996" s="1">
        <f>DATE(2014,5,1) + TIME(0,4,43)</f>
        <v>41760.003275462965</v>
      </c>
      <c r="C1996">
        <v>80</v>
      </c>
      <c r="D1996">
        <v>65.115898131999998</v>
      </c>
      <c r="E1996">
        <v>40</v>
      </c>
      <c r="F1996">
        <v>39.984233856000003</v>
      </c>
      <c r="G1996">
        <v>1335.9400635</v>
      </c>
      <c r="H1996">
        <v>1334.1610106999999</v>
      </c>
      <c r="I1996">
        <v>1327.6882324000001</v>
      </c>
      <c r="J1996">
        <v>1326.2315673999999</v>
      </c>
      <c r="K1996">
        <v>1650</v>
      </c>
      <c r="L1996">
        <v>0</v>
      </c>
      <c r="M1996">
        <v>0</v>
      </c>
      <c r="N1996">
        <v>1650</v>
      </c>
    </row>
    <row r="1997" spans="1:14" x14ac:dyDescent="0.25">
      <c r="A1997">
        <v>1461.0098410000001</v>
      </c>
      <c r="B1997" s="1">
        <f>DATE(2014,5,1) + TIME(0,14,10)</f>
        <v>41760.009837962964</v>
      </c>
      <c r="C1997">
        <v>80</v>
      </c>
      <c r="D1997">
        <v>65.252891540999997</v>
      </c>
      <c r="E1997">
        <v>40</v>
      </c>
      <c r="F1997">
        <v>39.983898162999999</v>
      </c>
      <c r="G1997">
        <v>1336.1745605000001</v>
      </c>
      <c r="H1997">
        <v>1334.3929443</v>
      </c>
      <c r="I1997">
        <v>1327.4145507999999</v>
      </c>
      <c r="J1997">
        <v>1325.9519043</v>
      </c>
      <c r="K1997">
        <v>1650</v>
      </c>
      <c r="L1997">
        <v>0</v>
      </c>
      <c r="M1997">
        <v>0</v>
      </c>
      <c r="N1997">
        <v>1650</v>
      </c>
    </row>
    <row r="1998" spans="1:14" x14ac:dyDescent="0.25">
      <c r="A1998">
        <v>1461.029524</v>
      </c>
      <c r="B1998" s="1">
        <f>DATE(2014,5,1) + TIME(0,42,30)</f>
        <v>41760.029513888891</v>
      </c>
      <c r="C1998">
        <v>80</v>
      </c>
      <c r="D1998">
        <v>65.652374268000003</v>
      </c>
      <c r="E1998">
        <v>40</v>
      </c>
      <c r="F1998">
        <v>39.982986449999999</v>
      </c>
      <c r="G1998">
        <v>1336.2255858999999</v>
      </c>
      <c r="H1998">
        <v>1334.4544678</v>
      </c>
      <c r="I1998">
        <v>1327.3470459</v>
      </c>
      <c r="J1998">
        <v>1325.8833007999999</v>
      </c>
      <c r="K1998">
        <v>1650</v>
      </c>
      <c r="L1998">
        <v>0</v>
      </c>
      <c r="M1998">
        <v>0</v>
      </c>
      <c r="N1998">
        <v>1650</v>
      </c>
    </row>
    <row r="1999" spans="1:14" x14ac:dyDescent="0.25">
      <c r="A1999">
        <v>1461.057734</v>
      </c>
      <c r="B1999" s="1">
        <f>DATE(2014,5,1) + TIME(1,23,8)</f>
        <v>41760.05773148148</v>
      </c>
      <c r="C1999">
        <v>80</v>
      </c>
      <c r="D1999">
        <v>66.204910278</v>
      </c>
      <c r="E1999">
        <v>40</v>
      </c>
      <c r="F1999">
        <v>39.981704712000003</v>
      </c>
      <c r="G1999">
        <v>1336.2329102000001</v>
      </c>
      <c r="H1999">
        <v>1334.4683838000001</v>
      </c>
      <c r="I1999">
        <v>1327.3416748</v>
      </c>
      <c r="J1999">
        <v>1325.8778076000001</v>
      </c>
      <c r="K1999">
        <v>1650</v>
      </c>
      <c r="L1999">
        <v>0</v>
      </c>
      <c r="M1999">
        <v>0</v>
      </c>
      <c r="N1999">
        <v>1650</v>
      </c>
    </row>
    <row r="2000" spans="1:14" x14ac:dyDescent="0.25">
      <c r="A2000">
        <v>1461.0864959999999</v>
      </c>
      <c r="B2000" s="1">
        <f>DATE(2014,5,1) + TIME(2,4,33)</f>
        <v>41760.086493055554</v>
      </c>
      <c r="C2000">
        <v>80</v>
      </c>
      <c r="D2000">
        <v>66.750396729000002</v>
      </c>
      <c r="E2000">
        <v>40</v>
      </c>
      <c r="F2000">
        <v>39.980411529999998</v>
      </c>
      <c r="G2000">
        <v>1336.2507324000001</v>
      </c>
      <c r="H2000">
        <v>1334.4848632999999</v>
      </c>
      <c r="I2000">
        <v>1327.3416748</v>
      </c>
      <c r="J2000">
        <v>1325.8776855000001</v>
      </c>
      <c r="K2000">
        <v>1650</v>
      </c>
      <c r="L2000">
        <v>0</v>
      </c>
      <c r="M2000">
        <v>0</v>
      </c>
      <c r="N2000">
        <v>1650</v>
      </c>
    </row>
    <row r="2001" spans="1:14" x14ac:dyDescent="0.25">
      <c r="A2001">
        <v>1461.1158600000001</v>
      </c>
      <c r="B2001" s="1">
        <f>DATE(2014,5,1) + TIME(2,46,50)</f>
        <v>41760.115856481483</v>
      </c>
      <c r="C2001">
        <v>80</v>
      </c>
      <c r="D2001">
        <v>67.289192200000002</v>
      </c>
      <c r="E2001">
        <v>40</v>
      </c>
      <c r="F2001">
        <v>39.979099273999999</v>
      </c>
      <c r="G2001">
        <v>1336.2696533000001</v>
      </c>
      <c r="H2001">
        <v>1334.5017089999999</v>
      </c>
      <c r="I2001">
        <v>1327.3419189000001</v>
      </c>
      <c r="J2001">
        <v>1325.8776855000001</v>
      </c>
      <c r="K2001">
        <v>1650</v>
      </c>
      <c r="L2001">
        <v>0</v>
      </c>
      <c r="M2001">
        <v>0</v>
      </c>
      <c r="N2001">
        <v>1650</v>
      </c>
    </row>
    <row r="2002" spans="1:14" x14ac:dyDescent="0.25">
      <c r="A2002">
        <v>1461.145855</v>
      </c>
      <c r="B2002" s="1">
        <f>DATE(2014,5,1) + TIME(3,30,1)</f>
        <v>41760.145844907405</v>
      </c>
      <c r="C2002">
        <v>80</v>
      </c>
      <c r="D2002">
        <v>67.821159363000007</v>
      </c>
      <c r="E2002">
        <v>40</v>
      </c>
      <c r="F2002">
        <v>39.977771758999999</v>
      </c>
      <c r="G2002">
        <v>1336.2905272999999</v>
      </c>
      <c r="H2002">
        <v>1334.5196533000001</v>
      </c>
      <c r="I2002">
        <v>1327.3420410000001</v>
      </c>
      <c r="J2002">
        <v>1325.8776855000001</v>
      </c>
      <c r="K2002">
        <v>1650</v>
      </c>
      <c r="L2002">
        <v>0</v>
      </c>
      <c r="M2002">
        <v>0</v>
      </c>
      <c r="N2002">
        <v>1650</v>
      </c>
    </row>
    <row r="2003" spans="1:14" x14ac:dyDescent="0.25">
      <c r="A2003">
        <v>1461.176508</v>
      </c>
      <c r="B2003" s="1">
        <f>DATE(2014,5,1) + TIME(4,14,10)</f>
        <v>41760.176504629628</v>
      </c>
      <c r="C2003">
        <v>80</v>
      </c>
      <c r="D2003">
        <v>68.346122742000006</v>
      </c>
      <c r="E2003">
        <v>40</v>
      </c>
      <c r="F2003">
        <v>39.976425171000002</v>
      </c>
      <c r="G2003">
        <v>1336.3133545000001</v>
      </c>
      <c r="H2003">
        <v>1334.5386963000001</v>
      </c>
      <c r="I2003">
        <v>1327.3421631000001</v>
      </c>
      <c r="J2003">
        <v>1325.8776855000001</v>
      </c>
      <c r="K2003">
        <v>1650</v>
      </c>
      <c r="L2003">
        <v>0</v>
      </c>
      <c r="M2003">
        <v>0</v>
      </c>
      <c r="N2003">
        <v>1650</v>
      </c>
    </row>
    <row r="2004" spans="1:14" x14ac:dyDescent="0.25">
      <c r="A2004">
        <v>1461.2078509999999</v>
      </c>
      <c r="B2004" s="1">
        <f>DATE(2014,5,1) + TIME(4,59,18)</f>
        <v>41760.20784722222</v>
      </c>
      <c r="C2004">
        <v>80</v>
      </c>
      <c r="D2004">
        <v>68.863883971999996</v>
      </c>
      <c r="E2004">
        <v>40</v>
      </c>
      <c r="F2004">
        <v>39.975055695000002</v>
      </c>
      <c r="G2004">
        <v>1336.3381348</v>
      </c>
      <c r="H2004">
        <v>1334.5588379000001</v>
      </c>
      <c r="I2004">
        <v>1327.3421631000001</v>
      </c>
      <c r="J2004">
        <v>1325.8775635</v>
      </c>
      <c r="K2004">
        <v>1650</v>
      </c>
      <c r="L2004">
        <v>0</v>
      </c>
      <c r="M2004">
        <v>0</v>
      </c>
      <c r="N2004">
        <v>1650</v>
      </c>
    </row>
    <row r="2005" spans="1:14" x14ac:dyDescent="0.25">
      <c r="A2005">
        <v>1461.2399170000001</v>
      </c>
      <c r="B2005" s="1">
        <f>DATE(2014,5,1) + TIME(5,45,28)</f>
        <v>41760.239907407406</v>
      </c>
      <c r="C2005">
        <v>80</v>
      </c>
      <c r="D2005">
        <v>69.374183654999996</v>
      </c>
      <c r="E2005">
        <v>40</v>
      </c>
      <c r="F2005">
        <v>39.973667145</v>
      </c>
      <c r="G2005">
        <v>1336.364624</v>
      </c>
      <c r="H2005">
        <v>1334.5800781</v>
      </c>
      <c r="I2005">
        <v>1327.3422852000001</v>
      </c>
      <c r="J2005">
        <v>1325.8775635</v>
      </c>
      <c r="K2005">
        <v>1650</v>
      </c>
      <c r="L2005">
        <v>0</v>
      </c>
      <c r="M2005">
        <v>0</v>
      </c>
      <c r="N2005">
        <v>1650</v>
      </c>
    </row>
    <row r="2006" spans="1:14" x14ac:dyDescent="0.25">
      <c r="A2006">
        <v>1461.2727420000001</v>
      </c>
      <c r="B2006" s="1">
        <f>DATE(2014,5,1) + TIME(6,32,44)</f>
        <v>41760.272731481484</v>
      </c>
      <c r="C2006">
        <v>80</v>
      </c>
      <c r="D2006">
        <v>69.876770019999995</v>
      </c>
      <c r="E2006">
        <v>40</v>
      </c>
      <c r="F2006">
        <v>39.972259520999998</v>
      </c>
      <c r="G2006">
        <v>1336.3928223</v>
      </c>
      <c r="H2006">
        <v>1334.6022949000001</v>
      </c>
      <c r="I2006">
        <v>1327.3424072</v>
      </c>
      <c r="J2006">
        <v>1325.8774414</v>
      </c>
      <c r="K2006">
        <v>1650</v>
      </c>
      <c r="L2006">
        <v>0</v>
      </c>
      <c r="M2006">
        <v>0</v>
      </c>
      <c r="N2006">
        <v>1650</v>
      </c>
    </row>
    <row r="2007" spans="1:14" x14ac:dyDescent="0.25">
      <c r="A2007">
        <v>1461.306362</v>
      </c>
      <c r="B2007" s="1">
        <f>DATE(2014,5,1) + TIME(7,21,9)</f>
        <v>41760.306354166663</v>
      </c>
      <c r="C2007">
        <v>80</v>
      </c>
      <c r="D2007">
        <v>70.371055603000002</v>
      </c>
      <c r="E2007">
        <v>40</v>
      </c>
      <c r="F2007">
        <v>39.970825195000003</v>
      </c>
      <c r="G2007">
        <v>1336.4227295000001</v>
      </c>
      <c r="H2007">
        <v>1334.6256103999999</v>
      </c>
      <c r="I2007">
        <v>1327.3424072</v>
      </c>
      <c r="J2007">
        <v>1325.8773193</v>
      </c>
      <c r="K2007">
        <v>1650</v>
      </c>
      <c r="L2007">
        <v>0</v>
      </c>
      <c r="M2007">
        <v>0</v>
      </c>
      <c r="N2007">
        <v>1650</v>
      </c>
    </row>
    <row r="2008" spans="1:14" x14ac:dyDescent="0.25">
      <c r="A2008">
        <v>1461.340815</v>
      </c>
      <c r="B2008" s="1">
        <f>DATE(2014,5,1) + TIME(8,10,46)</f>
        <v>41760.340810185182</v>
      </c>
      <c r="C2008">
        <v>80</v>
      </c>
      <c r="D2008">
        <v>70.856857300000001</v>
      </c>
      <c r="E2008">
        <v>40</v>
      </c>
      <c r="F2008">
        <v>39.969367980999998</v>
      </c>
      <c r="G2008">
        <v>1336.4543457</v>
      </c>
      <c r="H2008">
        <v>1334.6497803</v>
      </c>
      <c r="I2008">
        <v>1327.3424072</v>
      </c>
      <c r="J2008">
        <v>1325.8771973</v>
      </c>
      <c r="K2008">
        <v>1650</v>
      </c>
      <c r="L2008">
        <v>0</v>
      </c>
      <c r="M2008">
        <v>0</v>
      </c>
      <c r="N2008">
        <v>1650</v>
      </c>
    </row>
    <row r="2009" spans="1:14" x14ac:dyDescent="0.25">
      <c r="A2009">
        <v>1461.3761420000001</v>
      </c>
      <c r="B2009" s="1">
        <f>DATE(2014,5,1) + TIME(9,1,38)</f>
        <v>41760.376134259262</v>
      </c>
      <c r="C2009">
        <v>80</v>
      </c>
      <c r="D2009">
        <v>71.333862304999997</v>
      </c>
      <c r="E2009">
        <v>40</v>
      </c>
      <c r="F2009">
        <v>39.967887877999999</v>
      </c>
      <c r="G2009">
        <v>1336.4873047000001</v>
      </c>
      <c r="H2009">
        <v>1334.6749268000001</v>
      </c>
      <c r="I2009">
        <v>1327.3425293</v>
      </c>
      <c r="J2009">
        <v>1325.8770752</v>
      </c>
      <c r="K2009">
        <v>1650</v>
      </c>
      <c r="L2009">
        <v>0</v>
      </c>
      <c r="M2009">
        <v>0</v>
      </c>
      <c r="N2009">
        <v>1650</v>
      </c>
    </row>
    <row r="2010" spans="1:14" x14ac:dyDescent="0.25">
      <c r="A2010">
        <v>1461.4123910000001</v>
      </c>
      <c r="B2010" s="1">
        <f>DATE(2014,5,1) + TIME(9,53,50)</f>
        <v>41760.41238425926</v>
      </c>
      <c r="C2010">
        <v>80</v>
      </c>
      <c r="D2010">
        <v>71.801742554</v>
      </c>
      <c r="E2010">
        <v>40</v>
      </c>
      <c r="F2010">
        <v>39.966381073000001</v>
      </c>
      <c r="G2010">
        <v>1336.5217285000001</v>
      </c>
      <c r="H2010">
        <v>1334.7008057</v>
      </c>
      <c r="I2010">
        <v>1327.3425293</v>
      </c>
      <c r="J2010">
        <v>1325.8769531</v>
      </c>
      <c r="K2010">
        <v>1650</v>
      </c>
      <c r="L2010">
        <v>0</v>
      </c>
      <c r="M2010">
        <v>0</v>
      </c>
      <c r="N2010">
        <v>1650</v>
      </c>
    </row>
    <row r="2011" spans="1:14" x14ac:dyDescent="0.25">
      <c r="A2011">
        <v>1461.449613</v>
      </c>
      <c r="B2011" s="1">
        <f>DATE(2014,5,1) + TIME(10,47,26)</f>
        <v>41760.449606481481</v>
      </c>
      <c r="C2011">
        <v>80</v>
      </c>
      <c r="D2011">
        <v>72.260108947999996</v>
      </c>
      <c r="E2011">
        <v>40</v>
      </c>
      <c r="F2011">
        <v>39.964847564999999</v>
      </c>
      <c r="G2011">
        <v>1336.5574951000001</v>
      </c>
      <c r="H2011">
        <v>1334.7275391000001</v>
      </c>
      <c r="I2011">
        <v>1327.3425293</v>
      </c>
      <c r="J2011">
        <v>1325.8767089999999</v>
      </c>
      <c r="K2011">
        <v>1650</v>
      </c>
      <c r="L2011">
        <v>0</v>
      </c>
      <c r="M2011">
        <v>0</v>
      </c>
      <c r="N2011">
        <v>1650</v>
      </c>
    </row>
    <row r="2012" spans="1:14" x14ac:dyDescent="0.25">
      <c r="A2012">
        <v>1461.4878610000001</v>
      </c>
      <c r="B2012" s="1">
        <f>DATE(2014,5,1) + TIME(11,42,31)</f>
        <v>41760.487858796296</v>
      </c>
      <c r="C2012">
        <v>80</v>
      </c>
      <c r="D2012">
        <v>72.708518982000001</v>
      </c>
      <c r="E2012">
        <v>40</v>
      </c>
      <c r="F2012">
        <v>39.963283539000003</v>
      </c>
      <c r="G2012">
        <v>1336.5946045000001</v>
      </c>
      <c r="H2012">
        <v>1334.7551269999999</v>
      </c>
      <c r="I2012">
        <v>1327.3425293</v>
      </c>
      <c r="J2012">
        <v>1325.8765868999999</v>
      </c>
      <c r="K2012">
        <v>1650</v>
      </c>
      <c r="L2012">
        <v>0</v>
      </c>
      <c r="M2012">
        <v>0</v>
      </c>
      <c r="N2012">
        <v>1650</v>
      </c>
    </row>
    <row r="2013" spans="1:14" x14ac:dyDescent="0.25">
      <c r="A2013">
        <v>1461.52719</v>
      </c>
      <c r="B2013" s="1">
        <f>DATE(2014,5,1) + TIME(12,39,9)</f>
        <v>41760.527187500003</v>
      </c>
      <c r="C2013">
        <v>80</v>
      </c>
      <c r="D2013">
        <v>73.146537781000006</v>
      </c>
      <c r="E2013">
        <v>40</v>
      </c>
      <c r="F2013">
        <v>39.961688995000003</v>
      </c>
      <c r="G2013">
        <v>1336.6328125</v>
      </c>
      <c r="H2013">
        <v>1334.7832031</v>
      </c>
      <c r="I2013">
        <v>1327.3425293</v>
      </c>
      <c r="J2013">
        <v>1325.8763428</v>
      </c>
      <c r="K2013">
        <v>1650</v>
      </c>
      <c r="L2013">
        <v>0</v>
      </c>
      <c r="M2013">
        <v>0</v>
      </c>
      <c r="N2013">
        <v>1650</v>
      </c>
    </row>
    <row r="2014" spans="1:14" x14ac:dyDescent="0.25">
      <c r="A2014">
        <v>1461.567663</v>
      </c>
      <c r="B2014" s="1">
        <f>DATE(2014,5,1) + TIME(13,37,26)</f>
        <v>41760.567662037036</v>
      </c>
      <c r="C2014">
        <v>80</v>
      </c>
      <c r="D2014">
        <v>73.573699950999995</v>
      </c>
      <c r="E2014">
        <v>40</v>
      </c>
      <c r="F2014">
        <v>39.960063933999997</v>
      </c>
      <c r="G2014">
        <v>1336.6721190999999</v>
      </c>
      <c r="H2014">
        <v>1334.8121338000001</v>
      </c>
      <c r="I2014">
        <v>1327.3425293</v>
      </c>
      <c r="J2014">
        <v>1325.8760986</v>
      </c>
      <c r="K2014">
        <v>1650</v>
      </c>
      <c r="L2014">
        <v>0</v>
      </c>
      <c r="M2014">
        <v>0</v>
      </c>
      <c r="N2014">
        <v>1650</v>
      </c>
    </row>
    <row r="2015" spans="1:14" x14ac:dyDescent="0.25">
      <c r="A2015">
        <v>1461.6093450000001</v>
      </c>
      <c r="B2015" s="1">
        <f>DATE(2014,5,1) + TIME(14,37,27)</f>
        <v>41760.609340277777</v>
      </c>
      <c r="C2015">
        <v>80</v>
      </c>
      <c r="D2015">
        <v>73.989540099999999</v>
      </c>
      <c r="E2015">
        <v>40</v>
      </c>
      <c r="F2015">
        <v>39.958404541</v>
      </c>
      <c r="G2015">
        <v>1336.7125243999999</v>
      </c>
      <c r="H2015">
        <v>1334.8414307</v>
      </c>
      <c r="I2015">
        <v>1327.3425293</v>
      </c>
      <c r="J2015">
        <v>1325.8759766000001</v>
      </c>
      <c r="K2015">
        <v>1650</v>
      </c>
      <c r="L2015">
        <v>0</v>
      </c>
      <c r="M2015">
        <v>0</v>
      </c>
      <c r="N2015">
        <v>1650</v>
      </c>
    </row>
    <row r="2016" spans="1:14" x14ac:dyDescent="0.25">
      <c r="A2016">
        <v>1461.6523079999999</v>
      </c>
      <c r="B2016" s="1">
        <f>DATE(2014,5,1) + TIME(15,39,19)</f>
        <v>41760.652303240742</v>
      </c>
      <c r="C2016">
        <v>80</v>
      </c>
      <c r="D2016">
        <v>74.393585204999994</v>
      </c>
      <c r="E2016">
        <v>40</v>
      </c>
      <c r="F2016">
        <v>39.956710815000001</v>
      </c>
      <c r="G2016">
        <v>1336.7537841999999</v>
      </c>
      <c r="H2016">
        <v>1334.8714600000001</v>
      </c>
      <c r="I2016">
        <v>1327.3425293</v>
      </c>
      <c r="J2016">
        <v>1325.8757324000001</v>
      </c>
      <c r="K2016">
        <v>1650</v>
      </c>
      <c r="L2016">
        <v>0</v>
      </c>
      <c r="M2016">
        <v>0</v>
      </c>
      <c r="N2016">
        <v>1650</v>
      </c>
    </row>
    <row r="2017" spans="1:14" x14ac:dyDescent="0.25">
      <c r="A2017">
        <v>1461.696629</v>
      </c>
      <c r="B2017" s="1">
        <f>DATE(2014,5,1) + TIME(16,43,8)</f>
        <v>41760.696620370371</v>
      </c>
      <c r="C2017">
        <v>80</v>
      </c>
      <c r="D2017">
        <v>74.785362243999998</v>
      </c>
      <c r="E2017">
        <v>40</v>
      </c>
      <c r="F2017">
        <v>39.954978943</v>
      </c>
      <c r="G2017">
        <v>1336.7957764</v>
      </c>
      <c r="H2017">
        <v>1334.9018555</v>
      </c>
      <c r="I2017">
        <v>1327.3425293</v>
      </c>
      <c r="J2017">
        <v>1325.8754882999999</v>
      </c>
      <c r="K2017">
        <v>1650</v>
      </c>
      <c r="L2017">
        <v>0</v>
      </c>
      <c r="M2017">
        <v>0</v>
      </c>
      <c r="N2017">
        <v>1650</v>
      </c>
    </row>
    <row r="2018" spans="1:14" x14ac:dyDescent="0.25">
      <c r="A2018">
        <v>1461.7423940000001</v>
      </c>
      <c r="B2018" s="1">
        <f>DATE(2014,5,1) + TIME(17,49,2)</f>
        <v>41760.742384259262</v>
      </c>
      <c r="C2018">
        <v>80</v>
      </c>
      <c r="D2018">
        <v>75.164283752000003</v>
      </c>
      <c r="E2018">
        <v>40</v>
      </c>
      <c r="F2018">
        <v>39.953205109000002</v>
      </c>
      <c r="G2018">
        <v>1336.8387451000001</v>
      </c>
      <c r="H2018">
        <v>1334.9326172000001</v>
      </c>
      <c r="I2018">
        <v>1327.3425293</v>
      </c>
      <c r="J2018">
        <v>1325.8752440999999</v>
      </c>
      <c r="K2018">
        <v>1650</v>
      </c>
      <c r="L2018">
        <v>0</v>
      </c>
      <c r="M2018">
        <v>0</v>
      </c>
      <c r="N2018">
        <v>1650</v>
      </c>
    </row>
    <row r="2019" spans="1:14" x14ac:dyDescent="0.25">
      <c r="A2019">
        <v>1461.7897170000001</v>
      </c>
      <c r="B2019" s="1">
        <f>DATE(2014,5,1) + TIME(18,57,11)</f>
        <v>41760.789710648147</v>
      </c>
      <c r="C2019">
        <v>80</v>
      </c>
      <c r="D2019">
        <v>75.530014038000004</v>
      </c>
      <c r="E2019">
        <v>40</v>
      </c>
      <c r="F2019">
        <v>39.951389313</v>
      </c>
      <c r="G2019">
        <v>1336.8822021000001</v>
      </c>
      <c r="H2019">
        <v>1334.9638672000001</v>
      </c>
      <c r="I2019">
        <v>1327.3424072</v>
      </c>
      <c r="J2019">
        <v>1325.8748779</v>
      </c>
      <c r="K2019">
        <v>1650</v>
      </c>
      <c r="L2019">
        <v>0</v>
      </c>
      <c r="M2019">
        <v>0</v>
      </c>
      <c r="N2019">
        <v>1650</v>
      </c>
    </row>
    <row r="2020" spans="1:14" x14ac:dyDescent="0.25">
      <c r="A2020">
        <v>1461.8386800000001</v>
      </c>
      <c r="B2020" s="1">
        <f>DATE(2014,5,1) + TIME(20,7,41)</f>
        <v>41760.83866898148</v>
      </c>
      <c r="C2020">
        <v>80</v>
      </c>
      <c r="D2020">
        <v>75.882095336999996</v>
      </c>
      <c r="E2020">
        <v>40</v>
      </c>
      <c r="F2020">
        <v>39.949527740000001</v>
      </c>
      <c r="G2020">
        <v>1336.9262695</v>
      </c>
      <c r="H2020">
        <v>1334.9953613</v>
      </c>
      <c r="I2020">
        <v>1327.3424072</v>
      </c>
      <c r="J2020">
        <v>1325.8746338000001</v>
      </c>
      <c r="K2020">
        <v>1650</v>
      </c>
      <c r="L2020">
        <v>0</v>
      </c>
      <c r="M2020">
        <v>0</v>
      </c>
      <c r="N2020">
        <v>1650</v>
      </c>
    </row>
    <row r="2021" spans="1:14" x14ac:dyDescent="0.25">
      <c r="A2021">
        <v>1461.889396</v>
      </c>
      <c r="B2021" s="1">
        <f>DATE(2014,5,1) + TIME(21,20,43)</f>
        <v>41760.889386574076</v>
      </c>
      <c r="C2021">
        <v>80</v>
      </c>
      <c r="D2021">
        <v>76.220108031999999</v>
      </c>
      <c r="E2021">
        <v>40</v>
      </c>
      <c r="F2021">
        <v>39.947620391999997</v>
      </c>
      <c r="G2021">
        <v>1336.9709473</v>
      </c>
      <c r="H2021">
        <v>1335.0270995999999</v>
      </c>
      <c r="I2021">
        <v>1327.3422852000001</v>
      </c>
      <c r="J2021">
        <v>1325.8743896000001</v>
      </c>
      <c r="K2021">
        <v>1650</v>
      </c>
      <c r="L2021">
        <v>0</v>
      </c>
      <c r="M2021">
        <v>0</v>
      </c>
      <c r="N2021">
        <v>1650</v>
      </c>
    </row>
    <row r="2022" spans="1:14" x14ac:dyDescent="0.25">
      <c r="A2022">
        <v>1461.9419849999999</v>
      </c>
      <c r="B2022" s="1">
        <f>DATE(2014,5,1) + TIME(22,36,27)</f>
        <v>41760.941979166666</v>
      </c>
      <c r="C2022">
        <v>80</v>
      </c>
      <c r="D2022">
        <v>76.543655396000005</v>
      </c>
      <c r="E2022">
        <v>40</v>
      </c>
      <c r="F2022">
        <v>39.945659636999999</v>
      </c>
      <c r="G2022">
        <v>1337.0158690999999</v>
      </c>
      <c r="H2022">
        <v>1335.0589600000001</v>
      </c>
      <c r="I2022">
        <v>1327.3422852000001</v>
      </c>
      <c r="J2022">
        <v>1325.8740233999999</v>
      </c>
      <c r="K2022">
        <v>1650</v>
      </c>
      <c r="L2022">
        <v>0</v>
      </c>
      <c r="M2022">
        <v>0</v>
      </c>
      <c r="N2022">
        <v>1650</v>
      </c>
    </row>
    <row r="2023" spans="1:14" x14ac:dyDescent="0.25">
      <c r="A2023">
        <v>1461.996586</v>
      </c>
      <c r="B2023" s="1">
        <f>DATE(2014,5,1) + TIME(23,55,5)</f>
        <v>41760.99658564815</v>
      </c>
      <c r="C2023">
        <v>80</v>
      </c>
      <c r="D2023">
        <v>76.852394103999998</v>
      </c>
      <c r="E2023">
        <v>40</v>
      </c>
      <c r="F2023">
        <v>39.943645476999997</v>
      </c>
      <c r="G2023">
        <v>1337.0611572</v>
      </c>
      <c r="H2023">
        <v>1335.0909423999999</v>
      </c>
      <c r="I2023">
        <v>1327.3421631000001</v>
      </c>
      <c r="J2023">
        <v>1325.8737793</v>
      </c>
      <c r="K2023">
        <v>1650</v>
      </c>
      <c r="L2023">
        <v>0</v>
      </c>
      <c r="M2023">
        <v>0</v>
      </c>
      <c r="N2023">
        <v>1650</v>
      </c>
    </row>
    <row r="2024" spans="1:14" x14ac:dyDescent="0.25">
      <c r="A2024">
        <v>1462.0533479999999</v>
      </c>
      <c r="B2024" s="1">
        <f>DATE(2014,5,2) + TIME(1,16,49)</f>
        <v>41761.053344907406</v>
      </c>
      <c r="C2024">
        <v>80</v>
      </c>
      <c r="D2024">
        <v>77.146003723000007</v>
      </c>
      <c r="E2024">
        <v>40</v>
      </c>
      <c r="F2024">
        <v>39.941574097</v>
      </c>
      <c r="G2024">
        <v>1337.1065673999999</v>
      </c>
      <c r="H2024">
        <v>1335.1230469</v>
      </c>
      <c r="I2024">
        <v>1327.3421631000001</v>
      </c>
      <c r="J2024">
        <v>1325.8734131000001</v>
      </c>
      <c r="K2024">
        <v>1650</v>
      </c>
      <c r="L2024">
        <v>0</v>
      </c>
      <c r="M2024">
        <v>0</v>
      </c>
      <c r="N2024">
        <v>1650</v>
      </c>
    </row>
    <row r="2025" spans="1:14" x14ac:dyDescent="0.25">
      <c r="A2025">
        <v>1462.112441</v>
      </c>
      <c r="B2025" s="1">
        <f>DATE(2014,5,2) + TIME(2,41,54)</f>
        <v>41761.112430555557</v>
      </c>
      <c r="C2025">
        <v>80</v>
      </c>
      <c r="D2025">
        <v>77.424217224000003</v>
      </c>
      <c r="E2025">
        <v>40</v>
      </c>
      <c r="F2025">
        <v>39.939437865999999</v>
      </c>
      <c r="G2025">
        <v>1337.1520995999999</v>
      </c>
      <c r="H2025">
        <v>1335.1550293</v>
      </c>
      <c r="I2025">
        <v>1327.3420410000001</v>
      </c>
      <c r="J2025">
        <v>1325.8730469</v>
      </c>
      <c r="K2025">
        <v>1650</v>
      </c>
      <c r="L2025">
        <v>0</v>
      </c>
      <c r="M2025">
        <v>0</v>
      </c>
      <c r="N2025">
        <v>1650</v>
      </c>
    </row>
    <row r="2026" spans="1:14" x14ac:dyDescent="0.25">
      <c r="A2026">
        <v>1462.174053</v>
      </c>
      <c r="B2026" s="1">
        <f>DATE(2014,5,2) + TIME(4,10,38)</f>
        <v>41761.174050925925</v>
      </c>
      <c r="C2026">
        <v>80</v>
      </c>
      <c r="D2026">
        <v>77.686813353999995</v>
      </c>
      <c r="E2026">
        <v>40</v>
      </c>
      <c r="F2026">
        <v>39.937232971</v>
      </c>
      <c r="G2026">
        <v>1337.1976318</v>
      </c>
      <c r="H2026">
        <v>1335.1870117000001</v>
      </c>
      <c r="I2026">
        <v>1327.3419189000001</v>
      </c>
      <c r="J2026">
        <v>1325.8726807</v>
      </c>
      <c r="K2026">
        <v>1650</v>
      </c>
      <c r="L2026">
        <v>0</v>
      </c>
      <c r="M2026">
        <v>0</v>
      </c>
      <c r="N2026">
        <v>1650</v>
      </c>
    </row>
    <row r="2027" spans="1:14" x14ac:dyDescent="0.25">
      <c r="A2027">
        <v>1462.2383970000001</v>
      </c>
      <c r="B2027" s="1">
        <f>DATE(2014,5,2) + TIME(5,43,17)</f>
        <v>41761.238391203704</v>
      </c>
      <c r="C2027">
        <v>80</v>
      </c>
      <c r="D2027">
        <v>77.933639525999993</v>
      </c>
      <c r="E2027">
        <v>40</v>
      </c>
      <c r="F2027">
        <v>39.934959411999998</v>
      </c>
      <c r="G2027">
        <v>1337.2430420000001</v>
      </c>
      <c r="H2027">
        <v>1335.2188721</v>
      </c>
      <c r="I2027">
        <v>1327.3419189000001</v>
      </c>
      <c r="J2027">
        <v>1325.8723144999999</v>
      </c>
      <c r="K2027">
        <v>1650</v>
      </c>
      <c r="L2027">
        <v>0</v>
      </c>
      <c r="M2027">
        <v>0</v>
      </c>
      <c r="N2027">
        <v>1650</v>
      </c>
    </row>
    <row r="2028" spans="1:14" x14ac:dyDescent="0.25">
      <c r="A2028">
        <v>1462.305713</v>
      </c>
      <c r="B2028" s="1">
        <f>DATE(2014,5,2) + TIME(7,20,13)</f>
        <v>41761.305706018517</v>
      </c>
      <c r="C2028">
        <v>80</v>
      </c>
      <c r="D2028">
        <v>78.164611816000004</v>
      </c>
      <c r="E2028">
        <v>40</v>
      </c>
      <c r="F2028">
        <v>39.932601929</v>
      </c>
      <c r="G2028">
        <v>1337.2882079999999</v>
      </c>
      <c r="H2028">
        <v>1335.2504882999999</v>
      </c>
      <c r="I2028">
        <v>1327.3417969</v>
      </c>
      <c r="J2028">
        <v>1325.8719481999999</v>
      </c>
      <c r="K2028">
        <v>1650</v>
      </c>
      <c r="L2028">
        <v>0</v>
      </c>
      <c r="M2028">
        <v>0</v>
      </c>
      <c r="N2028">
        <v>1650</v>
      </c>
    </row>
    <row r="2029" spans="1:14" x14ac:dyDescent="0.25">
      <c r="A2029">
        <v>1462.376307</v>
      </c>
      <c r="B2029" s="1">
        <f>DATE(2014,5,2) + TIME(9,1,52)</f>
        <v>41761.376296296294</v>
      </c>
      <c r="C2029">
        <v>80</v>
      </c>
      <c r="D2029">
        <v>78.379783630000006</v>
      </c>
      <c r="E2029">
        <v>40</v>
      </c>
      <c r="F2029">
        <v>39.930160522000001</v>
      </c>
      <c r="G2029">
        <v>1337.3331298999999</v>
      </c>
      <c r="H2029">
        <v>1335.2818603999999</v>
      </c>
      <c r="I2029">
        <v>1327.3416748</v>
      </c>
      <c r="J2029">
        <v>1325.871582</v>
      </c>
      <c r="K2029">
        <v>1650</v>
      </c>
      <c r="L2029">
        <v>0</v>
      </c>
      <c r="M2029">
        <v>0</v>
      </c>
      <c r="N2029">
        <v>1650</v>
      </c>
    </row>
    <row r="2030" spans="1:14" x14ac:dyDescent="0.25">
      <c r="A2030">
        <v>1462.4504870000001</v>
      </c>
      <c r="B2030" s="1">
        <f>DATE(2014,5,2) + TIME(10,48,42)</f>
        <v>41761.450486111113</v>
      </c>
      <c r="C2030">
        <v>80</v>
      </c>
      <c r="D2030">
        <v>78.579170227000006</v>
      </c>
      <c r="E2030">
        <v>40</v>
      </c>
      <c r="F2030">
        <v>39.927627563000001</v>
      </c>
      <c r="G2030">
        <v>1337.3775635</v>
      </c>
      <c r="H2030">
        <v>1335.3129882999999</v>
      </c>
      <c r="I2030">
        <v>1327.3415527</v>
      </c>
      <c r="J2030">
        <v>1325.8712158000001</v>
      </c>
      <c r="K2030">
        <v>1650</v>
      </c>
      <c r="L2030">
        <v>0</v>
      </c>
      <c r="M2030">
        <v>0</v>
      </c>
      <c r="N2030">
        <v>1650</v>
      </c>
    </row>
    <row r="2031" spans="1:14" x14ac:dyDescent="0.25">
      <c r="A2031">
        <v>1462.5286000000001</v>
      </c>
      <c r="B2031" s="1">
        <f>DATE(2014,5,2) + TIME(12,41,11)</f>
        <v>41761.528599537036</v>
      </c>
      <c r="C2031">
        <v>80</v>
      </c>
      <c r="D2031">
        <v>78.762847899999997</v>
      </c>
      <c r="E2031">
        <v>40</v>
      </c>
      <c r="F2031">
        <v>39.924987793</v>
      </c>
      <c r="G2031">
        <v>1337.4216309000001</v>
      </c>
      <c r="H2031">
        <v>1335.3436279</v>
      </c>
      <c r="I2031">
        <v>1327.3414307</v>
      </c>
      <c r="J2031">
        <v>1325.8708495999999</v>
      </c>
      <c r="K2031">
        <v>1650</v>
      </c>
      <c r="L2031">
        <v>0</v>
      </c>
      <c r="M2031">
        <v>0</v>
      </c>
      <c r="N2031">
        <v>1650</v>
      </c>
    </row>
    <row r="2032" spans="1:14" x14ac:dyDescent="0.25">
      <c r="A2032">
        <v>1462.611067</v>
      </c>
      <c r="B2032" s="1">
        <f>DATE(2014,5,2) + TIME(14,39,56)</f>
        <v>41761.611064814817</v>
      </c>
      <c r="C2032">
        <v>80</v>
      </c>
      <c r="D2032">
        <v>78.931015015</v>
      </c>
      <c r="E2032">
        <v>40</v>
      </c>
      <c r="F2032">
        <v>39.922237396</v>
      </c>
      <c r="G2032">
        <v>1337.4650879000001</v>
      </c>
      <c r="H2032">
        <v>1335.3739014</v>
      </c>
      <c r="I2032">
        <v>1327.3413086</v>
      </c>
      <c r="J2032">
        <v>1325.8704834</v>
      </c>
      <c r="K2032">
        <v>1650</v>
      </c>
      <c r="L2032">
        <v>0</v>
      </c>
      <c r="M2032">
        <v>0</v>
      </c>
      <c r="N2032">
        <v>1650</v>
      </c>
    </row>
    <row r="2033" spans="1:14" x14ac:dyDescent="0.25">
      <c r="A2033">
        <v>1462.698384</v>
      </c>
      <c r="B2033" s="1">
        <f>DATE(2014,5,2) + TIME(16,45,40)</f>
        <v>41761.698379629626</v>
      </c>
      <c r="C2033">
        <v>80</v>
      </c>
      <c r="D2033">
        <v>79.083969116000006</v>
      </c>
      <c r="E2033">
        <v>40</v>
      </c>
      <c r="F2033">
        <v>39.919361115000001</v>
      </c>
      <c r="G2033">
        <v>1337.5076904</v>
      </c>
      <c r="H2033">
        <v>1335.4035644999999</v>
      </c>
      <c r="I2033">
        <v>1327.3411865</v>
      </c>
      <c r="J2033">
        <v>1325.8701172000001</v>
      </c>
      <c r="K2033">
        <v>1650</v>
      </c>
      <c r="L2033">
        <v>0</v>
      </c>
      <c r="M2033">
        <v>0</v>
      </c>
      <c r="N2033">
        <v>1650</v>
      </c>
    </row>
    <row r="2034" spans="1:14" x14ac:dyDescent="0.25">
      <c r="A2034">
        <v>1462.7911300000001</v>
      </c>
      <c r="B2034" s="1">
        <f>DATE(2014,5,2) + TIME(18,59,13)</f>
        <v>41761.791122685187</v>
      </c>
      <c r="C2034">
        <v>80</v>
      </c>
      <c r="D2034">
        <v>79.222068786999998</v>
      </c>
      <c r="E2034">
        <v>40</v>
      </c>
      <c r="F2034">
        <v>39.916347504000001</v>
      </c>
      <c r="G2034">
        <v>1337.5495605000001</v>
      </c>
      <c r="H2034">
        <v>1335.4327393000001</v>
      </c>
      <c r="I2034">
        <v>1327.3410644999999</v>
      </c>
      <c r="J2034">
        <v>1325.8696289</v>
      </c>
      <c r="K2034">
        <v>1650</v>
      </c>
      <c r="L2034">
        <v>0</v>
      </c>
      <c r="M2034">
        <v>0</v>
      </c>
      <c r="N2034">
        <v>1650</v>
      </c>
    </row>
    <row r="2035" spans="1:14" x14ac:dyDescent="0.25">
      <c r="A2035">
        <v>1462.88949</v>
      </c>
      <c r="B2035" s="1">
        <f>DATE(2014,5,2) + TIME(21,20,51)</f>
        <v>41761.889479166668</v>
      </c>
      <c r="C2035">
        <v>80</v>
      </c>
      <c r="D2035">
        <v>79.345222473000007</v>
      </c>
      <c r="E2035">
        <v>40</v>
      </c>
      <c r="F2035">
        <v>39.913188933999997</v>
      </c>
      <c r="G2035">
        <v>1337.5904541</v>
      </c>
      <c r="H2035">
        <v>1335.4613036999999</v>
      </c>
      <c r="I2035">
        <v>1327.3409423999999</v>
      </c>
      <c r="J2035">
        <v>1325.8691406</v>
      </c>
      <c r="K2035">
        <v>1650</v>
      </c>
      <c r="L2035">
        <v>0</v>
      </c>
      <c r="M2035">
        <v>0</v>
      </c>
      <c r="N2035">
        <v>1650</v>
      </c>
    </row>
    <row r="2036" spans="1:14" x14ac:dyDescent="0.25">
      <c r="A2036">
        <v>1462.9937130000001</v>
      </c>
      <c r="B2036" s="1">
        <f>DATE(2014,5,2) + TIME(23,50,56)</f>
        <v>41761.993703703702</v>
      </c>
      <c r="C2036">
        <v>80</v>
      </c>
      <c r="D2036">
        <v>79.453742981000005</v>
      </c>
      <c r="E2036">
        <v>40</v>
      </c>
      <c r="F2036">
        <v>39.909893036</v>
      </c>
      <c r="G2036">
        <v>1337.6301269999999</v>
      </c>
      <c r="H2036">
        <v>1335.4890137</v>
      </c>
      <c r="I2036">
        <v>1327.3408202999999</v>
      </c>
      <c r="J2036">
        <v>1325.8687743999999</v>
      </c>
      <c r="K2036">
        <v>1650</v>
      </c>
      <c r="L2036">
        <v>0</v>
      </c>
      <c r="M2036">
        <v>0</v>
      </c>
      <c r="N2036">
        <v>1650</v>
      </c>
    </row>
    <row r="2037" spans="1:14" x14ac:dyDescent="0.25">
      <c r="A2037">
        <v>1463.100009</v>
      </c>
      <c r="B2037" s="1">
        <f>DATE(2014,5,3) + TIME(2,24,0)</f>
        <v>41762.1</v>
      </c>
      <c r="C2037">
        <v>80</v>
      </c>
      <c r="D2037">
        <v>79.545349121000001</v>
      </c>
      <c r="E2037">
        <v>40</v>
      </c>
      <c r="F2037">
        <v>39.906562805</v>
      </c>
      <c r="G2037">
        <v>1337.6687012</v>
      </c>
      <c r="H2037">
        <v>1335.5158690999999</v>
      </c>
      <c r="I2037">
        <v>1327.3405762</v>
      </c>
      <c r="J2037">
        <v>1325.8682861</v>
      </c>
      <c r="K2037">
        <v>1650</v>
      </c>
      <c r="L2037">
        <v>0</v>
      </c>
      <c r="M2037">
        <v>0</v>
      </c>
      <c r="N2037">
        <v>1650</v>
      </c>
    </row>
    <row r="2038" spans="1:14" x14ac:dyDescent="0.25">
      <c r="A2038">
        <v>1463.206676</v>
      </c>
      <c r="B2038" s="1">
        <f>DATE(2014,5,3) + TIME(4,57,36)</f>
        <v>41762.206666666665</v>
      </c>
      <c r="C2038">
        <v>80</v>
      </c>
      <c r="D2038">
        <v>79.621284485000004</v>
      </c>
      <c r="E2038">
        <v>40</v>
      </c>
      <c r="F2038">
        <v>39.903251648000001</v>
      </c>
      <c r="G2038">
        <v>1337.7042236</v>
      </c>
      <c r="H2038">
        <v>1335.5407714999999</v>
      </c>
      <c r="I2038">
        <v>1327.3404541</v>
      </c>
      <c r="J2038">
        <v>1325.8677978999999</v>
      </c>
      <c r="K2038">
        <v>1650</v>
      </c>
      <c r="L2038">
        <v>0</v>
      </c>
      <c r="M2038">
        <v>0</v>
      </c>
      <c r="N2038">
        <v>1650</v>
      </c>
    </row>
    <row r="2039" spans="1:14" x14ac:dyDescent="0.25">
      <c r="A2039">
        <v>1463.314147</v>
      </c>
      <c r="B2039" s="1">
        <f>DATE(2014,5,3) + TIME(7,32,22)</f>
        <v>41762.314143518517</v>
      </c>
      <c r="C2039">
        <v>80</v>
      </c>
      <c r="D2039">
        <v>79.684295653999996</v>
      </c>
      <c r="E2039">
        <v>40</v>
      </c>
      <c r="F2039">
        <v>39.899944304999998</v>
      </c>
      <c r="G2039">
        <v>1337.7344971</v>
      </c>
      <c r="H2039">
        <v>1335.5620117000001</v>
      </c>
      <c r="I2039">
        <v>1327.340332</v>
      </c>
      <c r="J2039">
        <v>1325.8674315999999</v>
      </c>
      <c r="K2039">
        <v>1650</v>
      </c>
      <c r="L2039">
        <v>0</v>
      </c>
      <c r="M2039">
        <v>0</v>
      </c>
      <c r="N2039">
        <v>1650</v>
      </c>
    </row>
    <row r="2040" spans="1:14" x14ac:dyDescent="0.25">
      <c r="A2040">
        <v>1463.422816</v>
      </c>
      <c r="B2040" s="1">
        <f>DATE(2014,5,3) + TIME(10,8,51)</f>
        <v>41762.422812500001</v>
      </c>
      <c r="C2040">
        <v>80</v>
      </c>
      <c r="D2040">
        <v>79.736602782999995</v>
      </c>
      <c r="E2040">
        <v>40</v>
      </c>
      <c r="F2040">
        <v>39.896633147999999</v>
      </c>
      <c r="G2040">
        <v>1337.7604980000001</v>
      </c>
      <c r="H2040">
        <v>1335.5805664</v>
      </c>
      <c r="I2040">
        <v>1327.3400879000001</v>
      </c>
      <c r="J2040">
        <v>1325.8669434000001</v>
      </c>
      <c r="K2040">
        <v>1650</v>
      </c>
      <c r="L2040">
        <v>0</v>
      </c>
      <c r="M2040">
        <v>0</v>
      </c>
      <c r="N2040">
        <v>1650</v>
      </c>
    </row>
    <row r="2041" spans="1:14" x14ac:dyDescent="0.25">
      <c r="A2041">
        <v>1463.5330630000001</v>
      </c>
      <c r="B2041" s="1">
        <f>DATE(2014,5,3) + TIME(12,47,36)</f>
        <v>41762.533055555556</v>
      </c>
      <c r="C2041">
        <v>80</v>
      </c>
      <c r="D2041">
        <v>79.780014038000004</v>
      </c>
      <c r="E2041">
        <v>40</v>
      </c>
      <c r="F2041">
        <v>39.893306731999999</v>
      </c>
      <c r="G2041">
        <v>1337.7840576000001</v>
      </c>
      <c r="H2041">
        <v>1335.5974120999999</v>
      </c>
      <c r="I2041">
        <v>1327.3399658000001</v>
      </c>
      <c r="J2041">
        <v>1325.8665771000001</v>
      </c>
      <c r="K2041">
        <v>1650</v>
      </c>
      <c r="L2041">
        <v>0</v>
      </c>
      <c r="M2041">
        <v>0</v>
      </c>
      <c r="N2041">
        <v>1650</v>
      </c>
    </row>
    <row r="2042" spans="1:14" x14ac:dyDescent="0.25">
      <c r="A2042">
        <v>1463.6452320000001</v>
      </c>
      <c r="B2042" s="1">
        <f>DATE(2014,5,3) + TIME(15,29,8)</f>
        <v>41762.645231481481</v>
      </c>
      <c r="C2042">
        <v>80</v>
      </c>
      <c r="D2042">
        <v>79.816017150999997</v>
      </c>
      <c r="E2042">
        <v>40</v>
      </c>
      <c r="F2042">
        <v>39.889949799</v>
      </c>
      <c r="G2042">
        <v>1337.8054199000001</v>
      </c>
      <c r="H2042">
        <v>1335.6129149999999</v>
      </c>
      <c r="I2042">
        <v>1327.3397216999999</v>
      </c>
      <c r="J2042">
        <v>1325.8660889</v>
      </c>
      <c r="K2042">
        <v>1650</v>
      </c>
      <c r="L2042">
        <v>0</v>
      </c>
      <c r="M2042">
        <v>0</v>
      </c>
      <c r="N2042">
        <v>1650</v>
      </c>
    </row>
    <row r="2043" spans="1:14" x14ac:dyDescent="0.25">
      <c r="A2043">
        <v>1463.7596820000001</v>
      </c>
      <c r="B2043" s="1">
        <f>DATE(2014,5,3) + TIME(18,13,56)</f>
        <v>41762.759675925925</v>
      </c>
      <c r="C2043">
        <v>80</v>
      </c>
      <c r="D2043">
        <v>79.845825195000003</v>
      </c>
      <c r="E2043">
        <v>40</v>
      </c>
      <c r="F2043">
        <v>39.886558532999999</v>
      </c>
      <c r="G2043">
        <v>1337.824707</v>
      </c>
      <c r="H2043">
        <v>1335.6270752</v>
      </c>
      <c r="I2043">
        <v>1327.3395995999999</v>
      </c>
      <c r="J2043">
        <v>1325.8657227000001</v>
      </c>
      <c r="K2043">
        <v>1650</v>
      </c>
      <c r="L2043">
        <v>0</v>
      </c>
      <c r="M2043">
        <v>0</v>
      </c>
      <c r="N2043">
        <v>1650</v>
      </c>
    </row>
    <row r="2044" spans="1:14" x14ac:dyDescent="0.25">
      <c r="A2044">
        <v>1463.8768689999999</v>
      </c>
      <c r="B2044" s="1">
        <f>DATE(2014,5,3) + TIME(21,2,41)</f>
        <v>41762.876863425925</v>
      </c>
      <c r="C2044">
        <v>80</v>
      </c>
      <c r="D2044">
        <v>79.87046814</v>
      </c>
      <c r="E2044">
        <v>40</v>
      </c>
      <c r="F2044">
        <v>39.883117675999998</v>
      </c>
      <c r="G2044">
        <v>1337.8400879000001</v>
      </c>
      <c r="H2044">
        <v>1335.6385498</v>
      </c>
      <c r="I2044">
        <v>1327.3393555</v>
      </c>
      <c r="J2044">
        <v>1325.8653564000001</v>
      </c>
      <c r="K2044">
        <v>1650</v>
      </c>
      <c r="L2044">
        <v>0</v>
      </c>
      <c r="M2044">
        <v>0</v>
      </c>
      <c r="N2044">
        <v>1650</v>
      </c>
    </row>
    <row r="2045" spans="1:14" x14ac:dyDescent="0.25">
      <c r="A2045">
        <v>1463.9974299999999</v>
      </c>
      <c r="B2045" s="1">
        <f>DATE(2014,5,3) + TIME(23,56,17)</f>
        <v>41762.997418981482</v>
      </c>
      <c r="C2045">
        <v>80</v>
      </c>
      <c r="D2045">
        <v>79.890815735000004</v>
      </c>
      <c r="E2045">
        <v>40</v>
      </c>
      <c r="F2045">
        <v>39.879608154000003</v>
      </c>
      <c r="G2045">
        <v>1337.8525391000001</v>
      </c>
      <c r="H2045">
        <v>1335.6480713000001</v>
      </c>
      <c r="I2045">
        <v>1327.3392334</v>
      </c>
      <c r="J2045">
        <v>1325.8649902</v>
      </c>
      <c r="K2045">
        <v>1650</v>
      </c>
      <c r="L2045">
        <v>0</v>
      </c>
      <c r="M2045">
        <v>0</v>
      </c>
      <c r="N2045">
        <v>1650</v>
      </c>
    </row>
    <row r="2046" spans="1:14" x14ac:dyDescent="0.25">
      <c r="A2046">
        <v>1464.1219100000001</v>
      </c>
      <c r="B2046" s="1">
        <f>DATE(2014,5,4) + TIME(2,55,33)</f>
        <v>41763.12190972222</v>
      </c>
      <c r="C2046">
        <v>80</v>
      </c>
      <c r="D2046">
        <v>79.907577515</v>
      </c>
      <c r="E2046">
        <v>40</v>
      </c>
      <c r="F2046">
        <v>39.876026154000002</v>
      </c>
      <c r="G2046">
        <v>1337.8637695</v>
      </c>
      <c r="H2046">
        <v>1335.6569824000001</v>
      </c>
      <c r="I2046">
        <v>1327.3389893000001</v>
      </c>
      <c r="J2046">
        <v>1325.864624</v>
      </c>
      <c r="K2046">
        <v>1650</v>
      </c>
      <c r="L2046">
        <v>0</v>
      </c>
      <c r="M2046">
        <v>0</v>
      </c>
      <c r="N2046">
        <v>1650</v>
      </c>
    </row>
    <row r="2047" spans="1:14" x14ac:dyDescent="0.25">
      <c r="A2047">
        <v>1464.2509150000001</v>
      </c>
      <c r="B2047" s="1">
        <f>DATE(2014,5,4) + TIME(6,1,19)</f>
        <v>41763.250914351855</v>
      </c>
      <c r="C2047">
        <v>80</v>
      </c>
      <c r="D2047">
        <v>79.921333313000005</v>
      </c>
      <c r="E2047">
        <v>40</v>
      </c>
      <c r="F2047">
        <v>39.872344970999997</v>
      </c>
      <c r="G2047">
        <v>1337.8736572</v>
      </c>
      <c r="H2047">
        <v>1335.6649170000001</v>
      </c>
      <c r="I2047">
        <v>1327.3388672000001</v>
      </c>
      <c r="J2047">
        <v>1325.8642577999999</v>
      </c>
      <c r="K2047">
        <v>1650</v>
      </c>
      <c r="L2047">
        <v>0</v>
      </c>
      <c r="M2047">
        <v>0</v>
      </c>
      <c r="N2047">
        <v>1650</v>
      </c>
    </row>
    <row r="2048" spans="1:14" x14ac:dyDescent="0.25">
      <c r="A2048">
        <v>1464.3850110000001</v>
      </c>
      <c r="B2048" s="1">
        <f>DATE(2014,5,4) + TIME(9,14,24)</f>
        <v>41763.385000000002</v>
      </c>
      <c r="C2048">
        <v>80</v>
      </c>
      <c r="D2048">
        <v>79.932579040999997</v>
      </c>
      <c r="E2048">
        <v>40</v>
      </c>
      <c r="F2048">
        <v>39.868560791</v>
      </c>
      <c r="G2048">
        <v>1337.8823242000001</v>
      </c>
      <c r="H2048">
        <v>1335.6722411999999</v>
      </c>
      <c r="I2048">
        <v>1327.3386230000001</v>
      </c>
      <c r="J2048">
        <v>1325.8637695</v>
      </c>
      <c r="K2048">
        <v>1650</v>
      </c>
      <c r="L2048">
        <v>0</v>
      </c>
      <c r="M2048">
        <v>0</v>
      </c>
      <c r="N2048">
        <v>1650</v>
      </c>
    </row>
    <row r="2049" spans="1:14" x14ac:dyDescent="0.25">
      <c r="A2049">
        <v>1464.5218050000001</v>
      </c>
      <c r="B2049" s="1">
        <f>DATE(2014,5,4) + TIME(12,31,23)</f>
        <v>41763.521793981483</v>
      </c>
      <c r="C2049">
        <v>80</v>
      </c>
      <c r="D2049">
        <v>79.941558838000006</v>
      </c>
      <c r="E2049">
        <v>40</v>
      </c>
      <c r="F2049">
        <v>39.864730835000003</v>
      </c>
      <c r="G2049">
        <v>1337.8900146000001</v>
      </c>
      <c r="H2049">
        <v>1335.6789550999999</v>
      </c>
      <c r="I2049">
        <v>1327.3383789</v>
      </c>
      <c r="J2049">
        <v>1325.8634033000001</v>
      </c>
      <c r="K2049">
        <v>1650</v>
      </c>
      <c r="L2049">
        <v>0</v>
      </c>
      <c r="M2049">
        <v>0</v>
      </c>
      <c r="N2049">
        <v>1650</v>
      </c>
    </row>
    <row r="2050" spans="1:14" x14ac:dyDescent="0.25">
      <c r="A2050">
        <v>1464.6610989999999</v>
      </c>
      <c r="B2050" s="1">
        <f>DATE(2014,5,4) + TIME(15,51,58)</f>
        <v>41763.661087962966</v>
      </c>
      <c r="C2050">
        <v>80</v>
      </c>
      <c r="D2050">
        <v>79.948707580999994</v>
      </c>
      <c r="E2050">
        <v>40</v>
      </c>
      <c r="F2050">
        <v>39.860862732000001</v>
      </c>
      <c r="G2050">
        <v>1337.8966064000001</v>
      </c>
      <c r="H2050">
        <v>1335.6849365</v>
      </c>
      <c r="I2050">
        <v>1327.3381348</v>
      </c>
      <c r="J2050">
        <v>1325.8630370999999</v>
      </c>
      <c r="K2050">
        <v>1650</v>
      </c>
      <c r="L2050">
        <v>0</v>
      </c>
      <c r="M2050">
        <v>0</v>
      </c>
      <c r="N2050">
        <v>1650</v>
      </c>
    </row>
    <row r="2051" spans="1:14" x14ac:dyDescent="0.25">
      <c r="A2051">
        <v>1464.803216</v>
      </c>
      <c r="B2051" s="1">
        <f>DATE(2014,5,4) + TIME(19,16,37)</f>
        <v>41763.803206018521</v>
      </c>
      <c r="C2051">
        <v>80</v>
      </c>
      <c r="D2051">
        <v>79.954376221000004</v>
      </c>
      <c r="E2051">
        <v>40</v>
      </c>
      <c r="F2051">
        <v>39.856948852999999</v>
      </c>
      <c r="G2051">
        <v>1337.9020995999999</v>
      </c>
      <c r="H2051">
        <v>1335.6903076000001</v>
      </c>
      <c r="I2051">
        <v>1327.3380127</v>
      </c>
      <c r="J2051">
        <v>1325.8625488</v>
      </c>
      <c r="K2051">
        <v>1650</v>
      </c>
      <c r="L2051">
        <v>0</v>
      </c>
      <c r="M2051">
        <v>0</v>
      </c>
      <c r="N2051">
        <v>1650</v>
      </c>
    </row>
    <row r="2052" spans="1:14" x14ac:dyDescent="0.25">
      <c r="A2052">
        <v>1464.9484829999999</v>
      </c>
      <c r="B2052" s="1">
        <f>DATE(2014,5,4) + TIME(22,45,48)</f>
        <v>41763.948472222219</v>
      </c>
      <c r="C2052">
        <v>80</v>
      </c>
      <c r="D2052">
        <v>79.958877563000001</v>
      </c>
      <c r="E2052">
        <v>40</v>
      </c>
      <c r="F2052">
        <v>39.852981567</v>
      </c>
      <c r="G2052">
        <v>1337.9067382999999</v>
      </c>
      <c r="H2052">
        <v>1335.6950684000001</v>
      </c>
      <c r="I2052">
        <v>1327.3377685999999</v>
      </c>
      <c r="J2052">
        <v>1325.8621826000001</v>
      </c>
      <c r="K2052">
        <v>1650</v>
      </c>
      <c r="L2052">
        <v>0</v>
      </c>
      <c r="M2052">
        <v>0</v>
      </c>
      <c r="N2052">
        <v>1650</v>
      </c>
    </row>
    <row r="2053" spans="1:14" x14ac:dyDescent="0.25">
      <c r="A2053">
        <v>1465.097254</v>
      </c>
      <c r="B2053" s="1">
        <f>DATE(2014,5,5) + TIME(2,20,2)</f>
        <v>41764.097245370373</v>
      </c>
      <c r="C2053">
        <v>80</v>
      </c>
      <c r="D2053">
        <v>79.962432860999996</v>
      </c>
      <c r="E2053">
        <v>40</v>
      </c>
      <c r="F2053">
        <v>39.848949431999998</v>
      </c>
      <c r="G2053">
        <v>1337.9095459</v>
      </c>
      <c r="H2053">
        <v>1335.6988524999999</v>
      </c>
      <c r="I2053">
        <v>1327.3375243999999</v>
      </c>
      <c r="J2053">
        <v>1325.8616943</v>
      </c>
      <c r="K2053">
        <v>1650</v>
      </c>
      <c r="L2053">
        <v>0</v>
      </c>
      <c r="M2053">
        <v>0</v>
      </c>
      <c r="N2053">
        <v>1650</v>
      </c>
    </row>
    <row r="2054" spans="1:14" x14ac:dyDescent="0.25">
      <c r="A2054">
        <v>1465.2499680000001</v>
      </c>
      <c r="B2054" s="1">
        <f>DATE(2014,5,5) + TIME(5,59,57)</f>
        <v>41764.249965277777</v>
      </c>
      <c r="C2054">
        <v>80</v>
      </c>
      <c r="D2054">
        <v>79.965240479000002</v>
      </c>
      <c r="E2054">
        <v>40</v>
      </c>
      <c r="F2054">
        <v>39.844848632999998</v>
      </c>
      <c r="G2054">
        <v>1337.9100341999999</v>
      </c>
      <c r="H2054">
        <v>1335.7009277</v>
      </c>
      <c r="I2054">
        <v>1327.3372803</v>
      </c>
      <c r="J2054">
        <v>1325.8613281</v>
      </c>
      <c r="K2054">
        <v>1650</v>
      </c>
      <c r="L2054">
        <v>0</v>
      </c>
      <c r="M2054">
        <v>0</v>
      </c>
      <c r="N2054">
        <v>1650</v>
      </c>
    </row>
    <row r="2055" spans="1:14" x14ac:dyDescent="0.25">
      <c r="A2055">
        <v>1465.4071650000001</v>
      </c>
      <c r="B2055" s="1">
        <f>DATE(2014,5,5) + TIME(9,46,19)</f>
        <v>41764.407164351855</v>
      </c>
      <c r="C2055">
        <v>80</v>
      </c>
      <c r="D2055">
        <v>79.967460631999998</v>
      </c>
      <c r="E2055">
        <v>40</v>
      </c>
      <c r="F2055">
        <v>39.840660094999997</v>
      </c>
      <c r="G2055">
        <v>1337.9099120999999</v>
      </c>
      <c r="H2055">
        <v>1335.7027588000001</v>
      </c>
      <c r="I2055">
        <v>1327.3370361</v>
      </c>
      <c r="J2055">
        <v>1325.8609618999999</v>
      </c>
      <c r="K2055">
        <v>1650</v>
      </c>
      <c r="L2055">
        <v>0</v>
      </c>
      <c r="M2055">
        <v>0</v>
      </c>
      <c r="N2055">
        <v>1650</v>
      </c>
    </row>
    <row r="2056" spans="1:14" x14ac:dyDescent="0.25">
      <c r="A2056">
        <v>1465.569309</v>
      </c>
      <c r="B2056" s="1">
        <f>DATE(2014,5,5) + TIME(13,39,48)</f>
        <v>41764.569305555553</v>
      </c>
      <c r="C2056">
        <v>80</v>
      </c>
      <c r="D2056">
        <v>79.969200134000005</v>
      </c>
      <c r="E2056">
        <v>40</v>
      </c>
      <c r="F2056">
        <v>39.836376190000003</v>
      </c>
      <c r="G2056">
        <v>1337.9093018000001</v>
      </c>
      <c r="H2056">
        <v>1335.7043457</v>
      </c>
      <c r="I2056">
        <v>1327.3367920000001</v>
      </c>
      <c r="J2056">
        <v>1325.8604736</v>
      </c>
      <c r="K2056">
        <v>1650</v>
      </c>
      <c r="L2056">
        <v>0</v>
      </c>
      <c r="M2056">
        <v>0</v>
      </c>
      <c r="N2056">
        <v>1650</v>
      </c>
    </row>
    <row r="2057" spans="1:14" x14ac:dyDescent="0.25">
      <c r="A2057">
        <v>1465.7370020000001</v>
      </c>
      <c r="B2057" s="1">
        <f>DATE(2014,5,5) + TIME(17,41,16)</f>
        <v>41764.736990740741</v>
      </c>
      <c r="C2057">
        <v>80</v>
      </c>
      <c r="D2057">
        <v>79.970558166999993</v>
      </c>
      <c r="E2057">
        <v>40</v>
      </c>
      <c r="F2057">
        <v>39.831989288000003</v>
      </c>
      <c r="G2057">
        <v>1337.9082031</v>
      </c>
      <c r="H2057">
        <v>1335.7056885</v>
      </c>
      <c r="I2057">
        <v>1327.3365478999999</v>
      </c>
      <c r="J2057">
        <v>1325.8599853999999</v>
      </c>
      <c r="K2057">
        <v>1650</v>
      </c>
      <c r="L2057">
        <v>0</v>
      </c>
      <c r="M2057">
        <v>0</v>
      </c>
      <c r="N2057">
        <v>1650</v>
      </c>
    </row>
    <row r="2058" spans="1:14" x14ac:dyDescent="0.25">
      <c r="A2058">
        <v>1465.9114340000001</v>
      </c>
      <c r="B2058" s="1">
        <f>DATE(2014,5,5) + TIME(21,52,27)</f>
        <v>41764.911423611113</v>
      </c>
      <c r="C2058">
        <v>80</v>
      </c>
      <c r="D2058">
        <v>79.971633910999998</v>
      </c>
      <c r="E2058">
        <v>40</v>
      </c>
      <c r="F2058">
        <v>39.827468871999997</v>
      </c>
      <c r="G2058">
        <v>1337.9067382999999</v>
      </c>
      <c r="H2058">
        <v>1335.7066649999999</v>
      </c>
      <c r="I2058">
        <v>1327.3363036999999</v>
      </c>
      <c r="J2058">
        <v>1325.8596190999999</v>
      </c>
      <c r="K2058">
        <v>1650</v>
      </c>
      <c r="L2058">
        <v>0</v>
      </c>
      <c r="M2058">
        <v>0</v>
      </c>
      <c r="N2058">
        <v>1650</v>
      </c>
    </row>
    <row r="2059" spans="1:14" x14ac:dyDescent="0.25">
      <c r="A2059">
        <v>1466.0926939999999</v>
      </c>
      <c r="B2059" s="1">
        <f>DATE(2014,5,6) + TIME(2,13,28)</f>
        <v>41765.092685185184</v>
      </c>
      <c r="C2059">
        <v>80</v>
      </c>
      <c r="D2059">
        <v>79.972465514999996</v>
      </c>
      <c r="E2059">
        <v>40</v>
      </c>
      <c r="F2059">
        <v>39.822811127000001</v>
      </c>
      <c r="G2059">
        <v>1337.9047852000001</v>
      </c>
      <c r="H2059">
        <v>1335.7075195</v>
      </c>
      <c r="I2059">
        <v>1327.3359375</v>
      </c>
      <c r="J2059">
        <v>1325.8591309000001</v>
      </c>
      <c r="K2059">
        <v>1650</v>
      </c>
      <c r="L2059">
        <v>0</v>
      </c>
      <c r="M2059">
        <v>0</v>
      </c>
      <c r="N2059">
        <v>1650</v>
      </c>
    </row>
    <row r="2060" spans="1:14" x14ac:dyDescent="0.25">
      <c r="A2060">
        <v>1466.279331</v>
      </c>
      <c r="B2060" s="1">
        <f>DATE(2014,5,6) + TIME(6,42,14)</f>
        <v>41765.279328703706</v>
      </c>
      <c r="C2060">
        <v>80</v>
      </c>
      <c r="D2060">
        <v>79.973106384000005</v>
      </c>
      <c r="E2060">
        <v>40</v>
      </c>
      <c r="F2060">
        <v>39.818058014000002</v>
      </c>
      <c r="G2060">
        <v>1337.9024658000001</v>
      </c>
      <c r="H2060">
        <v>1335.7082519999999</v>
      </c>
      <c r="I2060">
        <v>1327.3356934000001</v>
      </c>
      <c r="J2060">
        <v>1325.8585204999999</v>
      </c>
      <c r="K2060">
        <v>1650</v>
      </c>
      <c r="L2060">
        <v>0</v>
      </c>
      <c r="M2060">
        <v>0</v>
      </c>
      <c r="N2060">
        <v>1650</v>
      </c>
    </row>
    <row r="2061" spans="1:14" x14ac:dyDescent="0.25">
      <c r="A2061">
        <v>1466.4719950000001</v>
      </c>
      <c r="B2061" s="1">
        <f>DATE(2014,5,6) + TIME(11,19,40)</f>
        <v>41765.471990740742</v>
      </c>
      <c r="C2061">
        <v>80</v>
      </c>
      <c r="D2061">
        <v>79.973594665999997</v>
      </c>
      <c r="E2061">
        <v>40</v>
      </c>
      <c r="F2061">
        <v>39.813194275000001</v>
      </c>
      <c r="G2061">
        <v>1337.8996582</v>
      </c>
      <c r="H2061">
        <v>1335.7087402</v>
      </c>
      <c r="I2061">
        <v>1327.3354492000001</v>
      </c>
      <c r="J2061">
        <v>1325.8580322</v>
      </c>
      <c r="K2061">
        <v>1650</v>
      </c>
      <c r="L2061">
        <v>0</v>
      </c>
      <c r="M2061">
        <v>0</v>
      </c>
      <c r="N2061">
        <v>1650</v>
      </c>
    </row>
    <row r="2062" spans="1:14" x14ac:dyDescent="0.25">
      <c r="A2062">
        <v>1466.6713139999999</v>
      </c>
      <c r="B2062" s="1">
        <f>DATE(2014,5,6) + TIME(16,6,41)</f>
        <v>41765.671307870369</v>
      </c>
      <c r="C2062">
        <v>80</v>
      </c>
      <c r="D2062">
        <v>79.973968506000006</v>
      </c>
      <c r="E2062">
        <v>40</v>
      </c>
      <c r="F2062">
        <v>39.808204650999997</v>
      </c>
      <c r="G2062">
        <v>1337.8967285000001</v>
      </c>
      <c r="H2062">
        <v>1335.7089844</v>
      </c>
      <c r="I2062">
        <v>1327.3350829999999</v>
      </c>
      <c r="J2062">
        <v>1325.8575439000001</v>
      </c>
      <c r="K2062">
        <v>1650</v>
      </c>
      <c r="L2062">
        <v>0</v>
      </c>
      <c r="M2062">
        <v>0</v>
      </c>
      <c r="N2062">
        <v>1650</v>
      </c>
    </row>
    <row r="2063" spans="1:14" x14ac:dyDescent="0.25">
      <c r="A2063">
        <v>1466.8780819999999</v>
      </c>
      <c r="B2063" s="1">
        <f>DATE(2014,5,6) + TIME(21,4,26)</f>
        <v>41765.878078703703</v>
      </c>
      <c r="C2063">
        <v>80</v>
      </c>
      <c r="D2063">
        <v>79.974250792999996</v>
      </c>
      <c r="E2063">
        <v>40</v>
      </c>
      <c r="F2063">
        <v>39.803073883000003</v>
      </c>
      <c r="G2063">
        <v>1337.8933105000001</v>
      </c>
      <c r="H2063">
        <v>1335.7092285000001</v>
      </c>
      <c r="I2063">
        <v>1327.3347168</v>
      </c>
      <c r="J2063">
        <v>1325.8569336</v>
      </c>
      <c r="K2063">
        <v>1650</v>
      </c>
      <c r="L2063">
        <v>0</v>
      </c>
      <c r="M2063">
        <v>0</v>
      </c>
      <c r="N2063">
        <v>1650</v>
      </c>
    </row>
    <row r="2064" spans="1:14" x14ac:dyDescent="0.25">
      <c r="A2064">
        <v>1467.0918730000001</v>
      </c>
      <c r="B2064" s="1">
        <f>DATE(2014,5,7) + TIME(2,12,17)</f>
        <v>41766.091863425929</v>
      </c>
      <c r="C2064">
        <v>80</v>
      </c>
      <c r="D2064">
        <v>79.974464416999993</v>
      </c>
      <c r="E2064">
        <v>40</v>
      </c>
      <c r="F2064">
        <v>39.79781723</v>
      </c>
      <c r="G2064">
        <v>1337.8896483999999</v>
      </c>
      <c r="H2064">
        <v>1335.7092285000001</v>
      </c>
      <c r="I2064">
        <v>1327.3343506000001</v>
      </c>
      <c r="J2064">
        <v>1325.8563231999999</v>
      </c>
      <c r="K2064">
        <v>1650</v>
      </c>
      <c r="L2064">
        <v>0</v>
      </c>
      <c r="M2064">
        <v>0</v>
      </c>
      <c r="N2064">
        <v>1650</v>
      </c>
    </row>
    <row r="2065" spans="1:14" x14ac:dyDescent="0.25">
      <c r="A2065">
        <v>1467.30969</v>
      </c>
      <c r="B2065" s="1">
        <f>DATE(2014,5,7) + TIME(7,25,57)</f>
        <v>41766.309687499997</v>
      </c>
      <c r="C2065">
        <v>80</v>
      </c>
      <c r="D2065">
        <v>79.974624633999994</v>
      </c>
      <c r="E2065">
        <v>40</v>
      </c>
      <c r="F2065">
        <v>39.792495727999999</v>
      </c>
      <c r="G2065">
        <v>1337.8857422000001</v>
      </c>
      <c r="H2065">
        <v>1335.7091064000001</v>
      </c>
      <c r="I2065">
        <v>1327.3339844</v>
      </c>
      <c r="J2065">
        <v>1325.8557129000001</v>
      </c>
      <c r="K2065">
        <v>1650</v>
      </c>
      <c r="L2065">
        <v>0</v>
      </c>
      <c r="M2065">
        <v>0</v>
      </c>
      <c r="N2065">
        <v>1650</v>
      </c>
    </row>
    <row r="2066" spans="1:14" x14ac:dyDescent="0.25">
      <c r="A2066">
        <v>1467.5323900000001</v>
      </c>
      <c r="B2066" s="1">
        <f>DATE(2014,5,7) + TIME(12,46,38)</f>
        <v>41766.532384259262</v>
      </c>
      <c r="C2066">
        <v>80</v>
      </c>
      <c r="D2066">
        <v>79.974739075000002</v>
      </c>
      <c r="E2066">
        <v>40</v>
      </c>
      <c r="F2066">
        <v>39.787094115999999</v>
      </c>
      <c r="G2066">
        <v>1337.8817139</v>
      </c>
      <c r="H2066">
        <v>1335.7089844</v>
      </c>
      <c r="I2066">
        <v>1327.3336182</v>
      </c>
      <c r="J2066">
        <v>1325.8551024999999</v>
      </c>
      <c r="K2066">
        <v>1650</v>
      </c>
      <c r="L2066">
        <v>0</v>
      </c>
      <c r="M2066">
        <v>0</v>
      </c>
      <c r="N2066">
        <v>1650</v>
      </c>
    </row>
    <row r="2067" spans="1:14" x14ac:dyDescent="0.25">
      <c r="A2067">
        <v>1467.761242</v>
      </c>
      <c r="B2067" s="1">
        <f>DATE(2014,5,7) + TIME(18,16,11)</f>
        <v>41766.761238425926</v>
      </c>
      <c r="C2067">
        <v>80</v>
      </c>
      <c r="D2067">
        <v>79.974822997999993</v>
      </c>
      <c r="E2067">
        <v>40</v>
      </c>
      <c r="F2067">
        <v>39.781589508000003</v>
      </c>
      <c r="G2067">
        <v>1337.8774414</v>
      </c>
      <c r="H2067">
        <v>1335.7087402</v>
      </c>
      <c r="I2067">
        <v>1327.3332519999999</v>
      </c>
      <c r="J2067">
        <v>1325.8544922000001</v>
      </c>
      <c r="K2067">
        <v>1650</v>
      </c>
      <c r="L2067">
        <v>0</v>
      </c>
      <c r="M2067">
        <v>0</v>
      </c>
      <c r="N2067">
        <v>1650</v>
      </c>
    </row>
    <row r="2068" spans="1:14" x14ac:dyDescent="0.25">
      <c r="A2068">
        <v>1467.9981009999999</v>
      </c>
      <c r="B2068" s="1">
        <f>DATE(2014,5,7) + TIME(23,57,15)</f>
        <v>41766.998090277775</v>
      </c>
      <c r="C2068">
        <v>80</v>
      </c>
      <c r="D2068">
        <v>79.974876404</v>
      </c>
      <c r="E2068">
        <v>40</v>
      </c>
      <c r="F2068">
        <v>39.775947571000003</v>
      </c>
      <c r="G2068">
        <v>1337.8729248</v>
      </c>
      <c r="H2068">
        <v>1335.708374</v>
      </c>
      <c r="I2068">
        <v>1327.3328856999999</v>
      </c>
      <c r="J2068">
        <v>1325.8537598</v>
      </c>
      <c r="K2068">
        <v>1650</v>
      </c>
      <c r="L2068">
        <v>0</v>
      </c>
      <c r="M2068">
        <v>0</v>
      </c>
      <c r="N2068">
        <v>1650</v>
      </c>
    </row>
    <row r="2069" spans="1:14" x14ac:dyDescent="0.25">
      <c r="A2069">
        <v>1468.243395</v>
      </c>
      <c r="B2069" s="1">
        <f>DATE(2014,5,8) + TIME(5,50,29)</f>
        <v>41767.243391203701</v>
      </c>
      <c r="C2069">
        <v>80</v>
      </c>
      <c r="D2069">
        <v>79.974914550999998</v>
      </c>
      <c r="E2069">
        <v>40</v>
      </c>
      <c r="F2069">
        <v>39.77015686</v>
      </c>
      <c r="G2069">
        <v>1337.8682861</v>
      </c>
      <c r="H2069">
        <v>1335.7080077999999</v>
      </c>
      <c r="I2069">
        <v>1327.3325195</v>
      </c>
      <c r="J2069">
        <v>1325.8531493999999</v>
      </c>
      <c r="K2069">
        <v>1650</v>
      </c>
      <c r="L2069">
        <v>0</v>
      </c>
      <c r="M2069">
        <v>0</v>
      </c>
      <c r="N2069">
        <v>1650</v>
      </c>
    </row>
    <row r="2070" spans="1:14" x14ac:dyDescent="0.25">
      <c r="A2070">
        <v>1468.497963</v>
      </c>
      <c r="B2070" s="1">
        <f>DATE(2014,5,8) + TIME(11,57,3)</f>
        <v>41767.49795138889</v>
      </c>
      <c r="C2070">
        <v>80</v>
      </c>
      <c r="D2070">
        <v>79.974929810000006</v>
      </c>
      <c r="E2070">
        <v>40</v>
      </c>
      <c r="F2070">
        <v>39.764205933</v>
      </c>
      <c r="G2070">
        <v>1337.8634033000001</v>
      </c>
      <c r="H2070">
        <v>1335.7075195</v>
      </c>
      <c r="I2070">
        <v>1327.3320312000001</v>
      </c>
      <c r="J2070">
        <v>1325.8524170000001</v>
      </c>
      <c r="K2070">
        <v>1650</v>
      </c>
      <c r="L2070">
        <v>0</v>
      </c>
      <c r="M2070">
        <v>0</v>
      </c>
      <c r="N2070">
        <v>1650</v>
      </c>
    </row>
    <row r="2071" spans="1:14" x14ac:dyDescent="0.25">
      <c r="A2071">
        <v>1468.7579109999999</v>
      </c>
      <c r="B2071" s="1">
        <f>DATE(2014,5,8) + TIME(18,11,23)</f>
        <v>41767.757905092592</v>
      </c>
      <c r="C2071">
        <v>80</v>
      </c>
      <c r="D2071">
        <v>79.974937439000001</v>
      </c>
      <c r="E2071">
        <v>40</v>
      </c>
      <c r="F2071">
        <v>39.758171081999997</v>
      </c>
      <c r="G2071">
        <v>1337.8583983999999</v>
      </c>
      <c r="H2071">
        <v>1335.7070312000001</v>
      </c>
      <c r="I2071">
        <v>1327.331543</v>
      </c>
      <c r="J2071">
        <v>1325.8515625</v>
      </c>
      <c r="K2071">
        <v>1650</v>
      </c>
      <c r="L2071">
        <v>0</v>
      </c>
      <c r="M2071">
        <v>0</v>
      </c>
      <c r="N2071">
        <v>1650</v>
      </c>
    </row>
    <row r="2072" spans="1:14" x14ac:dyDescent="0.25">
      <c r="A2072">
        <v>1469.0200030000001</v>
      </c>
      <c r="B2072" s="1">
        <f>DATE(2014,5,9) + TIME(0,28,48)</f>
        <v>41768.019999999997</v>
      </c>
      <c r="C2072">
        <v>80</v>
      </c>
      <c r="D2072">
        <v>79.974929810000006</v>
      </c>
      <c r="E2072">
        <v>40</v>
      </c>
      <c r="F2072">
        <v>39.752120972</v>
      </c>
      <c r="G2072">
        <v>1337.8532714999999</v>
      </c>
      <c r="H2072">
        <v>1335.7064209</v>
      </c>
      <c r="I2072">
        <v>1327.3311768000001</v>
      </c>
      <c r="J2072">
        <v>1325.8508300999999</v>
      </c>
      <c r="K2072">
        <v>1650</v>
      </c>
      <c r="L2072">
        <v>0</v>
      </c>
      <c r="M2072">
        <v>0</v>
      </c>
      <c r="N2072">
        <v>1650</v>
      </c>
    </row>
    <row r="2073" spans="1:14" x14ac:dyDescent="0.25">
      <c r="A2073">
        <v>1469.284928</v>
      </c>
      <c r="B2073" s="1">
        <f>DATE(2014,5,9) + TIME(6,50,17)</f>
        <v>41768.284918981481</v>
      </c>
      <c r="C2073">
        <v>80</v>
      </c>
      <c r="D2073">
        <v>79.974914550999998</v>
      </c>
      <c r="E2073">
        <v>40</v>
      </c>
      <c r="F2073">
        <v>39.746044159</v>
      </c>
      <c r="G2073">
        <v>1337.8482666</v>
      </c>
      <c r="H2073">
        <v>1335.7058105000001</v>
      </c>
      <c r="I2073">
        <v>1327.3306885</v>
      </c>
      <c r="J2073">
        <v>1325.8499756000001</v>
      </c>
      <c r="K2073">
        <v>1650</v>
      </c>
      <c r="L2073">
        <v>0</v>
      </c>
      <c r="M2073">
        <v>0</v>
      </c>
      <c r="N2073">
        <v>1650</v>
      </c>
    </row>
    <row r="2074" spans="1:14" x14ac:dyDescent="0.25">
      <c r="A2074">
        <v>1469.553406</v>
      </c>
      <c r="B2074" s="1">
        <f>DATE(2014,5,9) + TIME(13,16,54)</f>
        <v>41768.553402777776</v>
      </c>
      <c r="C2074">
        <v>80</v>
      </c>
      <c r="D2074">
        <v>79.974891662999994</v>
      </c>
      <c r="E2074">
        <v>40</v>
      </c>
      <c r="F2074">
        <v>39.739925384999999</v>
      </c>
      <c r="G2074">
        <v>1337.8430175999999</v>
      </c>
      <c r="H2074">
        <v>1335.7052002</v>
      </c>
      <c r="I2074">
        <v>1327.3302002</v>
      </c>
      <c r="J2074">
        <v>1325.8491211</v>
      </c>
      <c r="K2074">
        <v>1650</v>
      </c>
      <c r="L2074">
        <v>0</v>
      </c>
      <c r="M2074">
        <v>0</v>
      </c>
      <c r="N2074">
        <v>1650</v>
      </c>
    </row>
    <row r="2075" spans="1:14" x14ac:dyDescent="0.25">
      <c r="A2075">
        <v>1469.826172</v>
      </c>
      <c r="B2075" s="1">
        <f>DATE(2014,5,9) + TIME(19,49,41)</f>
        <v>41768.826168981483</v>
      </c>
      <c r="C2075">
        <v>80</v>
      </c>
      <c r="D2075">
        <v>79.974868774000001</v>
      </c>
      <c r="E2075">
        <v>40</v>
      </c>
      <c r="F2075">
        <v>39.733760834000002</v>
      </c>
      <c r="G2075">
        <v>1337.8378906</v>
      </c>
      <c r="H2075">
        <v>1335.7045897999999</v>
      </c>
      <c r="I2075">
        <v>1327.3295897999999</v>
      </c>
      <c r="J2075">
        <v>1325.8482666</v>
      </c>
      <c r="K2075">
        <v>1650</v>
      </c>
      <c r="L2075">
        <v>0</v>
      </c>
      <c r="M2075">
        <v>0</v>
      </c>
      <c r="N2075">
        <v>1650</v>
      </c>
    </row>
    <row r="2076" spans="1:14" x14ac:dyDescent="0.25">
      <c r="A2076">
        <v>1470.1039940000001</v>
      </c>
      <c r="B2076" s="1">
        <f>DATE(2014,5,10) + TIME(2,29,45)</f>
        <v>41769.103993055556</v>
      </c>
      <c r="C2076">
        <v>80</v>
      </c>
      <c r="D2076">
        <v>79.974838257000002</v>
      </c>
      <c r="E2076">
        <v>40</v>
      </c>
      <c r="F2076">
        <v>39.727535248000002</v>
      </c>
      <c r="G2076">
        <v>1337.8327637</v>
      </c>
      <c r="H2076">
        <v>1335.7039795000001</v>
      </c>
      <c r="I2076">
        <v>1327.3291016000001</v>
      </c>
      <c r="J2076">
        <v>1325.8474120999999</v>
      </c>
      <c r="K2076">
        <v>1650</v>
      </c>
      <c r="L2076">
        <v>0</v>
      </c>
      <c r="M2076">
        <v>0</v>
      </c>
      <c r="N2076">
        <v>1650</v>
      </c>
    </row>
    <row r="2077" spans="1:14" x14ac:dyDescent="0.25">
      <c r="A2077">
        <v>1470.3876809999999</v>
      </c>
      <c r="B2077" s="1">
        <f>DATE(2014,5,10) + TIME(9,18,15)</f>
        <v>41769.387673611112</v>
      </c>
      <c r="C2077">
        <v>80</v>
      </c>
      <c r="D2077">
        <v>79.974800110000004</v>
      </c>
      <c r="E2077">
        <v>40</v>
      </c>
      <c r="F2077">
        <v>39.721233368</v>
      </c>
      <c r="G2077">
        <v>1337.8276367000001</v>
      </c>
      <c r="H2077">
        <v>1335.7033690999999</v>
      </c>
      <c r="I2077">
        <v>1327.3286132999999</v>
      </c>
      <c r="J2077">
        <v>1325.8465576000001</v>
      </c>
      <c r="K2077">
        <v>1650</v>
      </c>
      <c r="L2077">
        <v>0</v>
      </c>
      <c r="M2077">
        <v>0</v>
      </c>
      <c r="N2077">
        <v>1650</v>
      </c>
    </row>
    <row r="2078" spans="1:14" x14ac:dyDescent="0.25">
      <c r="A2078">
        <v>1470.678101</v>
      </c>
      <c r="B2078" s="1">
        <f>DATE(2014,5,10) + TIME(16,16,27)</f>
        <v>41769.678090277775</v>
      </c>
      <c r="C2078">
        <v>80</v>
      </c>
      <c r="D2078">
        <v>79.974761963000006</v>
      </c>
      <c r="E2078">
        <v>40</v>
      </c>
      <c r="F2078">
        <v>39.71484375</v>
      </c>
      <c r="G2078">
        <v>1337.8223877</v>
      </c>
      <c r="H2078">
        <v>1335.7026367000001</v>
      </c>
      <c r="I2078">
        <v>1327.3280029</v>
      </c>
      <c r="J2078">
        <v>1325.8455810999999</v>
      </c>
      <c r="K2078">
        <v>1650</v>
      </c>
      <c r="L2078">
        <v>0</v>
      </c>
      <c r="M2078">
        <v>0</v>
      </c>
      <c r="N2078">
        <v>1650</v>
      </c>
    </row>
    <row r="2079" spans="1:14" x14ac:dyDescent="0.25">
      <c r="A2079">
        <v>1470.9762000000001</v>
      </c>
      <c r="B2079" s="1">
        <f>DATE(2014,5,10) + TIME(23,25,43)</f>
        <v>41769.97619212963</v>
      </c>
      <c r="C2079">
        <v>80</v>
      </c>
      <c r="D2079">
        <v>79.974723815999994</v>
      </c>
      <c r="E2079">
        <v>40</v>
      </c>
      <c r="F2079">
        <v>39.70835495</v>
      </c>
      <c r="G2079">
        <v>1337.8172606999999</v>
      </c>
      <c r="H2079">
        <v>1335.7020264</v>
      </c>
      <c r="I2079">
        <v>1327.3275146000001</v>
      </c>
      <c r="J2079">
        <v>1325.8446045000001</v>
      </c>
      <c r="K2079">
        <v>1650</v>
      </c>
      <c r="L2079">
        <v>0</v>
      </c>
      <c r="M2079">
        <v>0</v>
      </c>
      <c r="N2079">
        <v>1650</v>
      </c>
    </row>
    <row r="2080" spans="1:14" x14ac:dyDescent="0.25">
      <c r="A2080">
        <v>1471.2817889999999</v>
      </c>
      <c r="B2080" s="1">
        <f>DATE(2014,5,11) + TIME(6,45,46)</f>
        <v>41770.281782407408</v>
      </c>
      <c r="C2080">
        <v>80</v>
      </c>
      <c r="D2080">
        <v>79.974678040000001</v>
      </c>
      <c r="E2080">
        <v>40</v>
      </c>
      <c r="F2080">
        <v>39.701763153000002</v>
      </c>
      <c r="G2080">
        <v>1337.8118896000001</v>
      </c>
      <c r="H2080">
        <v>1335.7014160000001</v>
      </c>
      <c r="I2080">
        <v>1327.3269043</v>
      </c>
      <c r="J2080">
        <v>1325.8436279</v>
      </c>
      <c r="K2080">
        <v>1650</v>
      </c>
      <c r="L2080">
        <v>0</v>
      </c>
      <c r="M2080">
        <v>0</v>
      </c>
      <c r="N2080">
        <v>1650</v>
      </c>
    </row>
    <row r="2081" spans="1:14" x14ac:dyDescent="0.25">
      <c r="A2081">
        <v>1471.593738</v>
      </c>
      <c r="B2081" s="1">
        <f>DATE(2014,5,11) + TIME(14,14,58)</f>
        <v>41770.593726851854</v>
      </c>
      <c r="C2081">
        <v>80</v>
      </c>
      <c r="D2081">
        <v>79.974632263000004</v>
      </c>
      <c r="E2081">
        <v>40</v>
      </c>
      <c r="F2081">
        <v>39.695098877</v>
      </c>
      <c r="G2081">
        <v>1337.8066406</v>
      </c>
      <c r="H2081">
        <v>1335.7008057</v>
      </c>
      <c r="I2081">
        <v>1327.3262939000001</v>
      </c>
      <c r="J2081">
        <v>1325.8425293</v>
      </c>
      <c r="K2081">
        <v>1650</v>
      </c>
      <c r="L2081">
        <v>0</v>
      </c>
      <c r="M2081">
        <v>0</v>
      </c>
      <c r="N2081">
        <v>1650</v>
      </c>
    </row>
    <row r="2082" spans="1:14" x14ac:dyDescent="0.25">
      <c r="A2082">
        <v>1471.913016</v>
      </c>
      <c r="B2082" s="1">
        <f>DATE(2014,5,11) + TIME(21,54,44)</f>
        <v>41770.91300925926</v>
      </c>
      <c r="C2082">
        <v>80</v>
      </c>
      <c r="D2082">
        <v>79.974586486999996</v>
      </c>
      <c r="E2082">
        <v>40</v>
      </c>
      <c r="F2082">
        <v>39.688346863</v>
      </c>
      <c r="G2082">
        <v>1337.8013916</v>
      </c>
      <c r="H2082">
        <v>1335.7001952999999</v>
      </c>
      <c r="I2082">
        <v>1327.3255615</v>
      </c>
      <c r="J2082">
        <v>1325.8414307</v>
      </c>
      <c r="K2082">
        <v>1650</v>
      </c>
      <c r="L2082">
        <v>0</v>
      </c>
      <c r="M2082">
        <v>0</v>
      </c>
      <c r="N2082">
        <v>1650</v>
      </c>
    </row>
    <row r="2083" spans="1:14" x14ac:dyDescent="0.25">
      <c r="A2083">
        <v>1472.240605</v>
      </c>
      <c r="B2083" s="1">
        <f>DATE(2014,5,12) + TIME(5,46,28)</f>
        <v>41771.240601851852</v>
      </c>
      <c r="C2083">
        <v>80</v>
      </c>
      <c r="D2083">
        <v>79.974540709999999</v>
      </c>
      <c r="E2083">
        <v>40</v>
      </c>
      <c r="F2083">
        <v>39.681488037000001</v>
      </c>
      <c r="G2083">
        <v>1337.7960204999999</v>
      </c>
      <c r="H2083">
        <v>1335.6995850000001</v>
      </c>
      <c r="I2083">
        <v>1327.3249512</v>
      </c>
      <c r="J2083">
        <v>1325.840332</v>
      </c>
      <c r="K2083">
        <v>1650</v>
      </c>
      <c r="L2083">
        <v>0</v>
      </c>
      <c r="M2083">
        <v>0</v>
      </c>
      <c r="N2083">
        <v>1650</v>
      </c>
    </row>
    <row r="2084" spans="1:14" x14ac:dyDescent="0.25">
      <c r="A2084">
        <v>1472.577565</v>
      </c>
      <c r="B2084" s="1">
        <f>DATE(2014,5,12) + TIME(13,51,41)</f>
        <v>41771.577557870369</v>
      </c>
      <c r="C2084">
        <v>80</v>
      </c>
      <c r="D2084">
        <v>79.974487304999997</v>
      </c>
      <c r="E2084">
        <v>40</v>
      </c>
      <c r="F2084">
        <v>39.674514770999998</v>
      </c>
      <c r="G2084">
        <v>1337.7907714999999</v>
      </c>
      <c r="H2084">
        <v>1335.6989745999999</v>
      </c>
      <c r="I2084">
        <v>1327.3242187999999</v>
      </c>
      <c r="J2084">
        <v>1325.8392334</v>
      </c>
      <c r="K2084">
        <v>1650</v>
      </c>
      <c r="L2084">
        <v>0</v>
      </c>
      <c r="M2084">
        <v>0</v>
      </c>
      <c r="N2084">
        <v>1650</v>
      </c>
    </row>
    <row r="2085" spans="1:14" x14ac:dyDescent="0.25">
      <c r="A2085">
        <v>1472.9250979999999</v>
      </c>
      <c r="B2085" s="1">
        <f>DATE(2014,5,12) + TIME(22,12,8)</f>
        <v>41771.925092592595</v>
      </c>
      <c r="C2085">
        <v>80</v>
      </c>
      <c r="D2085">
        <v>79.974433899000005</v>
      </c>
      <c r="E2085">
        <v>40</v>
      </c>
      <c r="F2085">
        <v>39.667400360000002</v>
      </c>
      <c r="G2085">
        <v>1337.7854004000001</v>
      </c>
      <c r="H2085">
        <v>1335.6983643000001</v>
      </c>
      <c r="I2085">
        <v>1327.3234863</v>
      </c>
      <c r="J2085">
        <v>1325.8380127</v>
      </c>
      <c r="K2085">
        <v>1650</v>
      </c>
      <c r="L2085">
        <v>0</v>
      </c>
      <c r="M2085">
        <v>0</v>
      </c>
      <c r="N2085">
        <v>1650</v>
      </c>
    </row>
    <row r="2086" spans="1:14" x14ac:dyDescent="0.25">
      <c r="A2086">
        <v>1473.28469</v>
      </c>
      <c r="B2086" s="1">
        <f>DATE(2014,5,13) + TIME(6,49,57)</f>
        <v>41772.284687500003</v>
      </c>
      <c r="C2086">
        <v>80</v>
      </c>
      <c r="D2086">
        <v>79.974380492999998</v>
      </c>
      <c r="E2086">
        <v>40</v>
      </c>
      <c r="F2086">
        <v>39.660133362000003</v>
      </c>
      <c r="G2086">
        <v>1337.7800293</v>
      </c>
      <c r="H2086">
        <v>1335.697876</v>
      </c>
      <c r="I2086">
        <v>1327.3227539</v>
      </c>
      <c r="J2086">
        <v>1325.8366699000001</v>
      </c>
      <c r="K2086">
        <v>1650</v>
      </c>
      <c r="L2086">
        <v>0</v>
      </c>
      <c r="M2086">
        <v>0</v>
      </c>
      <c r="N2086">
        <v>1650</v>
      </c>
    </row>
    <row r="2087" spans="1:14" x14ac:dyDescent="0.25">
      <c r="A2087">
        <v>1473.660126</v>
      </c>
      <c r="B2087" s="1">
        <f>DATE(2014,5,13) + TIME(15,50,34)</f>
        <v>41772.660115740742</v>
      </c>
      <c r="C2087">
        <v>80</v>
      </c>
      <c r="D2087">
        <v>79.974327087000006</v>
      </c>
      <c r="E2087">
        <v>40</v>
      </c>
      <c r="F2087">
        <v>39.652656555</v>
      </c>
      <c r="G2087">
        <v>1337.7745361</v>
      </c>
      <c r="H2087">
        <v>1335.6972656</v>
      </c>
      <c r="I2087">
        <v>1327.3220214999999</v>
      </c>
      <c r="J2087">
        <v>1325.8353271000001</v>
      </c>
      <c r="K2087">
        <v>1650</v>
      </c>
      <c r="L2087">
        <v>0</v>
      </c>
      <c r="M2087">
        <v>0</v>
      </c>
      <c r="N2087">
        <v>1650</v>
      </c>
    </row>
    <row r="2088" spans="1:14" x14ac:dyDescent="0.25">
      <c r="A2088">
        <v>1474.0537119999999</v>
      </c>
      <c r="B2088" s="1">
        <f>DATE(2014,5,14) + TIME(1,17,20)</f>
        <v>41773.053703703707</v>
      </c>
      <c r="C2088">
        <v>80</v>
      </c>
      <c r="D2088">
        <v>79.974273682000003</v>
      </c>
      <c r="E2088">
        <v>40</v>
      </c>
      <c r="F2088">
        <v>39.644931792999998</v>
      </c>
      <c r="G2088">
        <v>1337.769043</v>
      </c>
      <c r="H2088">
        <v>1335.6966553</v>
      </c>
      <c r="I2088">
        <v>1327.3211670000001</v>
      </c>
      <c r="J2088">
        <v>1325.8338623</v>
      </c>
      <c r="K2088">
        <v>1650</v>
      </c>
      <c r="L2088">
        <v>0</v>
      </c>
      <c r="M2088">
        <v>0</v>
      </c>
      <c r="N2088">
        <v>1650</v>
      </c>
    </row>
    <row r="2089" spans="1:14" x14ac:dyDescent="0.25">
      <c r="A2089">
        <v>1474.459707</v>
      </c>
      <c r="B2089" s="1">
        <f>DATE(2014,5,14) + TIME(11,1,58)</f>
        <v>41773.459699074076</v>
      </c>
      <c r="C2089">
        <v>80</v>
      </c>
      <c r="D2089">
        <v>79.974212645999998</v>
      </c>
      <c r="E2089">
        <v>40</v>
      </c>
      <c r="F2089">
        <v>39.637054442999997</v>
      </c>
      <c r="G2089">
        <v>1337.7634277</v>
      </c>
      <c r="H2089">
        <v>1335.6961670000001</v>
      </c>
      <c r="I2089">
        <v>1327.3201904</v>
      </c>
      <c r="J2089">
        <v>1325.8323975000001</v>
      </c>
      <c r="K2089">
        <v>1650</v>
      </c>
      <c r="L2089">
        <v>0</v>
      </c>
      <c r="M2089">
        <v>0</v>
      </c>
      <c r="N2089">
        <v>1650</v>
      </c>
    </row>
    <row r="2090" spans="1:14" x14ac:dyDescent="0.25">
      <c r="A2090">
        <v>1474.882484</v>
      </c>
      <c r="B2090" s="1">
        <f>DATE(2014,5,14) + TIME(21,10,46)</f>
        <v>41773.882476851853</v>
      </c>
      <c r="C2090">
        <v>80</v>
      </c>
      <c r="D2090">
        <v>79.974159240999995</v>
      </c>
      <c r="E2090">
        <v>40</v>
      </c>
      <c r="F2090">
        <v>39.628963470000002</v>
      </c>
      <c r="G2090">
        <v>1337.7578125</v>
      </c>
      <c r="H2090">
        <v>1335.6956786999999</v>
      </c>
      <c r="I2090">
        <v>1327.3193358999999</v>
      </c>
      <c r="J2090">
        <v>1325.8308105000001</v>
      </c>
      <c r="K2090">
        <v>1650</v>
      </c>
      <c r="L2090">
        <v>0</v>
      </c>
      <c r="M2090">
        <v>0</v>
      </c>
      <c r="N2090">
        <v>1650</v>
      </c>
    </row>
    <row r="2091" spans="1:14" x14ac:dyDescent="0.25">
      <c r="A2091">
        <v>1475.306916</v>
      </c>
      <c r="B2091" s="1">
        <f>DATE(2014,5,15) + TIME(7,21,57)</f>
        <v>41774.306909722225</v>
      </c>
      <c r="C2091">
        <v>80</v>
      </c>
      <c r="D2091">
        <v>79.974098205999994</v>
      </c>
      <c r="E2091">
        <v>40</v>
      </c>
      <c r="F2091">
        <v>39.620876312</v>
      </c>
      <c r="G2091">
        <v>1337.7520752</v>
      </c>
      <c r="H2091">
        <v>1335.6950684000001</v>
      </c>
      <c r="I2091">
        <v>1327.3183594</v>
      </c>
      <c r="J2091">
        <v>1325.8291016000001</v>
      </c>
      <c r="K2091">
        <v>1650</v>
      </c>
      <c r="L2091">
        <v>0</v>
      </c>
      <c r="M2091">
        <v>0</v>
      </c>
      <c r="N2091">
        <v>1650</v>
      </c>
    </row>
    <row r="2092" spans="1:14" x14ac:dyDescent="0.25">
      <c r="A2092">
        <v>1475.7343499999999</v>
      </c>
      <c r="B2092" s="1">
        <f>DATE(2014,5,15) + TIME(17,37,27)</f>
        <v>41774.734340277777</v>
      </c>
      <c r="C2092">
        <v>80</v>
      </c>
      <c r="D2092">
        <v>79.974037170000003</v>
      </c>
      <c r="E2092">
        <v>40</v>
      </c>
      <c r="F2092">
        <v>39.612796783</v>
      </c>
      <c r="G2092">
        <v>1337.746582</v>
      </c>
      <c r="H2092">
        <v>1335.6947021000001</v>
      </c>
      <c r="I2092">
        <v>1327.3172606999999</v>
      </c>
      <c r="J2092">
        <v>1325.8273925999999</v>
      </c>
      <c r="K2092">
        <v>1650</v>
      </c>
      <c r="L2092">
        <v>0</v>
      </c>
      <c r="M2092">
        <v>0</v>
      </c>
      <c r="N2092">
        <v>1650</v>
      </c>
    </row>
    <row r="2093" spans="1:14" x14ac:dyDescent="0.25">
      <c r="A2093">
        <v>1476.1662490000001</v>
      </c>
      <c r="B2093" s="1">
        <f>DATE(2014,5,16) + TIME(3,59,23)</f>
        <v>41775.166238425925</v>
      </c>
      <c r="C2093">
        <v>80</v>
      </c>
      <c r="D2093">
        <v>79.973983765</v>
      </c>
      <c r="E2093">
        <v>40</v>
      </c>
      <c r="F2093">
        <v>39.604717254999997</v>
      </c>
      <c r="G2093">
        <v>1337.7410889</v>
      </c>
      <c r="H2093">
        <v>1335.6942139</v>
      </c>
      <c r="I2093">
        <v>1327.3162841999999</v>
      </c>
      <c r="J2093">
        <v>1325.8256836</v>
      </c>
      <c r="K2093">
        <v>1650</v>
      </c>
      <c r="L2093">
        <v>0</v>
      </c>
      <c r="M2093">
        <v>0</v>
      </c>
      <c r="N2093">
        <v>1650</v>
      </c>
    </row>
    <row r="2094" spans="1:14" x14ac:dyDescent="0.25">
      <c r="A2094">
        <v>1476.604071</v>
      </c>
      <c r="B2094" s="1">
        <f>DATE(2014,5,16) + TIME(14,29,51)</f>
        <v>41775.604062500002</v>
      </c>
      <c r="C2094">
        <v>80</v>
      </c>
      <c r="D2094">
        <v>79.973922728999995</v>
      </c>
      <c r="E2094">
        <v>40</v>
      </c>
      <c r="F2094">
        <v>39.596618651999997</v>
      </c>
      <c r="G2094">
        <v>1337.7357178</v>
      </c>
      <c r="H2094">
        <v>1335.6938477000001</v>
      </c>
      <c r="I2094">
        <v>1327.3151855000001</v>
      </c>
      <c r="J2094">
        <v>1325.8238524999999</v>
      </c>
      <c r="K2094">
        <v>1650</v>
      </c>
      <c r="L2094">
        <v>0</v>
      </c>
      <c r="M2094">
        <v>0</v>
      </c>
      <c r="N2094">
        <v>1650</v>
      </c>
    </row>
    <row r="2095" spans="1:14" x14ac:dyDescent="0.25">
      <c r="A2095">
        <v>1477.049303</v>
      </c>
      <c r="B2095" s="1">
        <f>DATE(2014,5,17) + TIME(1,10,59)</f>
        <v>41776.049293981479</v>
      </c>
      <c r="C2095">
        <v>80</v>
      </c>
      <c r="D2095">
        <v>79.973861693999993</v>
      </c>
      <c r="E2095">
        <v>40</v>
      </c>
      <c r="F2095">
        <v>39.588489531999997</v>
      </c>
      <c r="G2095">
        <v>1337.7304687999999</v>
      </c>
      <c r="H2095">
        <v>1335.6934814000001</v>
      </c>
      <c r="I2095">
        <v>1327.3140868999999</v>
      </c>
      <c r="J2095">
        <v>1325.8218993999999</v>
      </c>
      <c r="K2095">
        <v>1650</v>
      </c>
      <c r="L2095">
        <v>0</v>
      </c>
      <c r="M2095">
        <v>0</v>
      </c>
      <c r="N2095">
        <v>1650</v>
      </c>
    </row>
    <row r="2096" spans="1:14" x14ac:dyDescent="0.25">
      <c r="A2096">
        <v>1477.5035049999999</v>
      </c>
      <c r="B2096" s="1">
        <f>DATE(2014,5,17) + TIME(12,5,2)</f>
        <v>41776.503495370373</v>
      </c>
      <c r="C2096">
        <v>80</v>
      </c>
      <c r="D2096">
        <v>79.973808289000004</v>
      </c>
      <c r="E2096">
        <v>40</v>
      </c>
      <c r="F2096">
        <v>39.580318450999997</v>
      </c>
      <c r="G2096">
        <v>1337.7253418</v>
      </c>
      <c r="H2096">
        <v>1335.6931152</v>
      </c>
      <c r="I2096">
        <v>1327.3129882999999</v>
      </c>
      <c r="J2096">
        <v>1325.8200684000001</v>
      </c>
      <c r="K2096">
        <v>1650</v>
      </c>
      <c r="L2096">
        <v>0</v>
      </c>
      <c r="M2096">
        <v>0</v>
      </c>
      <c r="N2096">
        <v>1650</v>
      </c>
    </row>
    <row r="2097" spans="1:14" x14ac:dyDescent="0.25">
      <c r="A2097">
        <v>1477.9683480000001</v>
      </c>
      <c r="B2097" s="1">
        <f>DATE(2014,5,17) + TIME(23,14,25)</f>
        <v>41776.968344907407</v>
      </c>
      <c r="C2097">
        <v>80</v>
      </c>
      <c r="D2097">
        <v>79.973747252999999</v>
      </c>
      <c r="E2097">
        <v>40</v>
      </c>
      <c r="F2097">
        <v>39.572082520000002</v>
      </c>
      <c r="G2097">
        <v>1337.7202147999999</v>
      </c>
      <c r="H2097">
        <v>1335.692749</v>
      </c>
      <c r="I2097">
        <v>1327.3117675999999</v>
      </c>
      <c r="J2097">
        <v>1325.8179932</v>
      </c>
      <c r="K2097">
        <v>1650</v>
      </c>
      <c r="L2097">
        <v>0</v>
      </c>
      <c r="M2097">
        <v>0</v>
      </c>
      <c r="N2097">
        <v>1650</v>
      </c>
    </row>
    <row r="2098" spans="1:14" x14ac:dyDescent="0.25">
      <c r="A2098">
        <v>1478.4472969999999</v>
      </c>
      <c r="B2098" s="1">
        <f>DATE(2014,5,18) + TIME(10,44,6)</f>
        <v>41777.447291666664</v>
      </c>
      <c r="C2098">
        <v>80</v>
      </c>
      <c r="D2098">
        <v>79.973693847999996</v>
      </c>
      <c r="E2098">
        <v>40</v>
      </c>
      <c r="F2098">
        <v>39.563747405999997</v>
      </c>
      <c r="G2098">
        <v>1337.7149658000001</v>
      </c>
      <c r="H2098">
        <v>1335.6925048999999</v>
      </c>
      <c r="I2098">
        <v>1327.3105469</v>
      </c>
      <c r="J2098">
        <v>1325.815918</v>
      </c>
      <c r="K2098">
        <v>1650</v>
      </c>
      <c r="L2098">
        <v>0</v>
      </c>
      <c r="M2098">
        <v>0</v>
      </c>
      <c r="N2098">
        <v>1650</v>
      </c>
    </row>
    <row r="2099" spans="1:14" x14ac:dyDescent="0.25">
      <c r="A2099">
        <v>1478.9423429999999</v>
      </c>
      <c r="B2099" s="1">
        <f>DATE(2014,5,18) + TIME(22,36,58)</f>
        <v>41777.942337962966</v>
      </c>
      <c r="C2099">
        <v>80</v>
      </c>
      <c r="D2099">
        <v>79.973632812000005</v>
      </c>
      <c r="E2099">
        <v>40</v>
      </c>
      <c r="F2099">
        <v>39.555286406999997</v>
      </c>
      <c r="G2099">
        <v>1337.7098389</v>
      </c>
      <c r="H2099">
        <v>1335.6921387</v>
      </c>
      <c r="I2099">
        <v>1327.3093262</v>
      </c>
      <c r="J2099">
        <v>1325.8137207</v>
      </c>
      <c r="K2099">
        <v>1650</v>
      </c>
      <c r="L2099">
        <v>0</v>
      </c>
      <c r="M2099">
        <v>0</v>
      </c>
      <c r="N2099">
        <v>1650</v>
      </c>
    </row>
    <row r="2100" spans="1:14" x14ac:dyDescent="0.25">
      <c r="A2100">
        <v>1479.4507719999999</v>
      </c>
      <c r="B2100" s="1">
        <f>DATE(2014,5,19) + TIME(10,49,6)</f>
        <v>41778.45076388889</v>
      </c>
      <c r="C2100">
        <v>80</v>
      </c>
      <c r="D2100">
        <v>79.973579407000003</v>
      </c>
      <c r="E2100">
        <v>40</v>
      </c>
      <c r="F2100">
        <v>39.546741486000002</v>
      </c>
      <c r="G2100">
        <v>1337.7047118999999</v>
      </c>
      <c r="H2100">
        <v>1335.6918945</v>
      </c>
      <c r="I2100">
        <v>1327.3079834</v>
      </c>
      <c r="J2100">
        <v>1325.8114014</v>
      </c>
      <c r="K2100">
        <v>1650</v>
      </c>
      <c r="L2100">
        <v>0</v>
      </c>
      <c r="M2100">
        <v>0</v>
      </c>
      <c r="N2100">
        <v>1650</v>
      </c>
    </row>
    <row r="2101" spans="1:14" x14ac:dyDescent="0.25">
      <c r="A2101">
        <v>1479.9662089999999</v>
      </c>
      <c r="B2101" s="1">
        <f>DATE(2014,5,19) + TIME(23,11,20)</f>
        <v>41778.966203703705</v>
      </c>
      <c r="C2101">
        <v>80</v>
      </c>
      <c r="D2101">
        <v>79.973518372000001</v>
      </c>
      <c r="E2101">
        <v>40</v>
      </c>
      <c r="F2101">
        <v>39.538192748999997</v>
      </c>
      <c r="G2101">
        <v>1337.6995850000001</v>
      </c>
      <c r="H2101">
        <v>1335.6916504000001</v>
      </c>
      <c r="I2101">
        <v>1327.3066406</v>
      </c>
      <c r="J2101">
        <v>1325.809082</v>
      </c>
      <c r="K2101">
        <v>1650</v>
      </c>
      <c r="L2101">
        <v>0</v>
      </c>
      <c r="M2101">
        <v>0</v>
      </c>
      <c r="N2101">
        <v>1650</v>
      </c>
    </row>
    <row r="2102" spans="1:14" x14ac:dyDescent="0.25">
      <c r="A2102">
        <v>1480.4903830000001</v>
      </c>
      <c r="B2102" s="1">
        <f>DATE(2014,5,20) + TIME(11,46,9)</f>
        <v>41779.490381944444</v>
      </c>
      <c r="C2102">
        <v>80</v>
      </c>
      <c r="D2102">
        <v>79.973464965999995</v>
      </c>
      <c r="E2102">
        <v>40</v>
      </c>
      <c r="F2102">
        <v>39.529632567999997</v>
      </c>
      <c r="G2102">
        <v>1337.6945800999999</v>
      </c>
      <c r="H2102">
        <v>1335.6914062000001</v>
      </c>
      <c r="I2102">
        <v>1327.3051757999999</v>
      </c>
      <c r="J2102">
        <v>1325.8066406</v>
      </c>
      <c r="K2102">
        <v>1650</v>
      </c>
      <c r="L2102">
        <v>0</v>
      </c>
      <c r="M2102">
        <v>0</v>
      </c>
      <c r="N2102">
        <v>1650</v>
      </c>
    </row>
    <row r="2103" spans="1:14" x14ac:dyDescent="0.25">
      <c r="A2103">
        <v>1481.0250820000001</v>
      </c>
      <c r="B2103" s="1">
        <f>DATE(2014,5,21) + TIME(0,36,7)</f>
        <v>41780.025081018517</v>
      </c>
      <c r="C2103">
        <v>80</v>
      </c>
      <c r="D2103">
        <v>79.973403931000007</v>
      </c>
      <c r="E2103">
        <v>40</v>
      </c>
      <c r="F2103">
        <v>39.521060943999998</v>
      </c>
      <c r="G2103">
        <v>1337.6895752</v>
      </c>
      <c r="H2103">
        <v>1335.6912841999999</v>
      </c>
      <c r="I2103">
        <v>1327.3037108999999</v>
      </c>
      <c r="J2103">
        <v>1325.8040771000001</v>
      </c>
      <c r="K2103">
        <v>1650</v>
      </c>
      <c r="L2103">
        <v>0</v>
      </c>
      <c r="M2103">
        <v>0</v>
      </c>
      <c r="N2103">
        <v>1650</v>
      </c>
    </row>
    <row r="2104" spans="1:14" x14ac:dyDescent="0.25">
      <c r="A2104">
        <v>1481.5723519999999</v>
      </c>
      <c r="B2104" s="1">
        <f>DATE(2014,5,21) + TIME(13,44,11)</f>
        <v>41780.57234953704</v>
      </c>
      <c r="C2104">
        <v>80</v>
      </c>
      <c r="D2104">
        <v>79.973350525000001</v>
      </c>
      <c r="E2104">
        <v>40</v>
      </c>
      <c r="F2104">
        <v>39.512458801000001</v>
      </c>
      <c r="G2104">
        <v>1337.6845702999999</v>
      </c>
      <c r="H2104">
        <v>1335.6910399999999</v>
      </c>
      <c r="I2104">
        <v>1327.302124</v>
      </c>
      <c r="J2104">
        <v>1325.8013916</v>
      </c>
      <c r="K2104">
        <v>1650</v>
      </c>
      <c r="L2104">
        <v>0</v>
      </c>
      <c r="M2104">
        <v>0</v>
      </c>
      <c r="N2104">
        <v>1650</v>
      </c>
    </row>
    <row r="2105" spans="1:14" x14ac:dyDescent="0.25">
      <c r="A2105">
        <v>1482.134331</v>
      </c>
      <c r="B2105" s="1">
        <f>DATE(2014,5,22) + TIME(3,13,26)</f>
        <v>41781.134328703702</v>
      </c>
      <c r="C2105">
        <v>80</v>
      </c>
      <c r="D2105">
        <v>79.973289489999999</v>
      </c>
      <c r="E2105">
        <v>40</v>
      </c>
      <c r="F2105">
        <v>39.503814697000003</v>
      </c>
      <c r="G2105">
        <v>1337.6796875</v>
      </c>
      <c r="H2105">
        <v>1335.6907959</v>
      </c>
      <c r="I2105">
        <v>1327.3006591999999</v>
      </c>
      <c r="J2105">
        <v>1325.7985839999999</v>
      </c>
      <c r="K2105">
        <v>1650</v>
      </c>
      <c r="L2105">
        <v>0</v>
      </c>
      <c r="M2105">
        <v>0</v>
      </c>
      <c r="N2105">
        <v>1650</v>
      </c>
    </row>
    <row r="2106" spans="1:14" x14ac:dyDescent="0.25">
      <c r="A2106">
        <v>1482.7135370000001</v>
      </c>
      <c r="B2106" s="1">
        <f>DATE(2014,5,22) + TIME(17,7,29)</f>
        <v>41781.713530092595</v>
      </c>
      <c r="C2106">
        <v>80</v>
      </c>
      <c r="D2106">
        <v>79.973236084000007</v>
      </c>
      <c r="E2106">
        <v>40</v>
      </c>
      <c r="F2106">
        <v>39.495109558000003</v>
      </c>
      <c r="G2106">
        <v>1337.6746826000001</v>
      </c>
      <c r="H2106">
        <v>1335.6906738</v>
      </c>
      <c r="I2106">
        <v>1327.2989502</v>
      </c>
      <c r="J2106">
        <v>1325.7957764</v>
      </c>
      <c r="K2106">
        <v>1650</v>
      </c>
      <c r="L2106">
        <v>0</v>
      </c>
      <c r="M2106">
        <v>0</v>
      </c>
      <c r="N2106">
        <v>1650</v>
      </c>
    </row>
    <row r="2107" spans="1:14" x14ac:dyDescent="0.25">
      <c r="A2107">
        <v>1483.3125869999999</v>
      </c>
      <c r="B2107" s="1">
        <f>DATE(2014,5,23) + TIME(7,30,7)</f>
        <v>41782.312581018516</v>
      </c>
      <c r="C2107">
        <v>80</v>
      </c>
      <c r="D2107">
        <v>79.973182678000001</v>
      </c>
      <c r="E2107">
        <v>40</v>
      </c>
      <c r="F2107">
        <v>39.486328125</v>
      </c>
      <c r="G2107">
        <v>1337.6697998</v>
      </c>
      <c r="H2107">
        <v>1335.6904297000001</v>
      </c>
      <c r="I2107">
        <v>1327.2972411999999</v>
      </c>
      <c r="J2107">
        <v>1325.7927245999999</v>
      </c>
      <c r="K2107">
        <v>1650</v>
      </c>
      <c r="L2107">
        <v>0</v>
      </c>
      <c r="M2107">
        <v>0</v>
      </c>
      <c r="N2107">
        <v>1650</v>
      </c>
    </row>
    <row r="2108" spans="1:14" x14ac:dyDescent="0.25">
      <c r="A2108">
        <v>1483.9375359999999</v>
      </c>
      <c r="B2108" s="1">
        <f>DATE(2014,5,23) + TIME(22,30,3)</f>
        <v>41782.937534722223</v>
      </c>
      <c r="C2108">
        <v>80</v>
      </c>
      <c r="D2108">
        <v>79.973121642999999</v>
      </c>
      <c r="E2108">
        <v>40</v>
      </c>
      <c r="F2108">
        <v>39.477432251000003</v>
      </c>
      <c r="G2108">
        <v>1337.6649170000001</v>
      </c>
      <c r="H2108">
        <v>1335.6903076000001</v>
      </c>
      <c r="I2108">
        <v>1327.2954102000001</v>
      </c>
      <c r="J2108">
        <v>1325.7895507999999</v>
      </c>
      <c r="K2108">
        <v>1650</v>
      </c>
      <c r="L2108">
        <v>0</v>
      </c>
      <c r="M2108">
        <v>0</v>
      </c>
      <c r="N2108">
        <v>1650</v>
      </c>
    </row>
    <row r="2109" spans="1:14" x14ac:dyDescent="0.25">
      <c r="A2109">
        <v>1484.566679</v>
      </c>
      <c r="B2109" s="1">
        <f>DATE(2014,5,24) + TIME(13,36,1)</f>
        <v>41783.566678240742</v>
      </c>
      <c r="C2109">
        <v>80</v>
      </c>
      <c r="D2109">
        <v>79.973068237000007</v>
      </c>
      <c r="E2109">
        <v>40</v>
      </c>
      <c r="F2109">
        <v>39.468627929999997</v>
      </c>
      <c r="G2109">
        <v>1337.6599120999999</v>
      </c>
      <c r="H2109">
        <v>1335.6901855000001</v>
      </c>
      <c r="I2109">
        <v>1327.2935791</v>
      </c>
      <c r="J2109">
        <v>1325.7862548999999</v>
      </c>
      <c r="K2109">
        <v>1650</v>
      </c>
      <c r="L2109">
        <v>0</v>
      </c>
      <c r="M2109">
        <v>0</v>
      </c>
      <c r="N2109">
        <v>1650</v>
      </c>
    </row>
    <row r="2110" spans="1:14" x14ac:dyDescent="0.25">
      <c r="A2110">
        <v>1485.20263</v>
      </c>
      <c r="B2110" s="1">
        <f>DATE(2014,5,25) + TIME(4,51,47)</f>
        <v>41784.202627314815</v>
      </c>
      <c r="C2110">
        <v>80</v>
      </c>
      <c r="D2110">
        <v>79.973007202000005</v>
      </c>
      <c r="E2110">
        <v>40</v>
      </c>
      <c r="F2110">
        <v>39.459930419999999</v>
      </c>
      <c r="G2110">
        <v>1337.6549072</v>
      </c>
      <c r="H2110">
        <v>1335.6900635</v>
      </c>
      <c r="I2110">
        <v>1327.291626</v>
      </c>
      <c r="J2110">
        <v>1325.7828368999999</v>
      </c>
      <c r="K2110">
        <v>1650</v>
      </c>
      <c r="L2110">
        <v>0</v>
      </c>
      <c r="M2110">
        <v>0</v>
      </c>
      <c r="N2110">
        <v>1650</v>
      </c>
    </row>
    <row r="2111" spans="1:14" x14ac:dyDescent="0.25">
      <c r="A2111">
        <v>1485.8480790000001</v>
      </c>
      <c r="B2111" s="1">
        <f>DATE(2014,5,25) + TIME(20,21,14)</f>
        <v>41784.848078703704</v>
      </c>
      <c r="C2111">
        <v>80</v>
      </c>
      <c r="D2111">
        <v>79.972953795999999</v>
      </c>
      <c r="E2111">
        <v>40</v>
      </c>
      <c r="F2111">
        <v>39.451343536000003</v>
      </c>
      <c r="G2111">
        <v>1337.6501464999999</v>
      </c>
      <c r="H2111">
        <v>1335.6899414</v>
      </c>
      <c r="I2111">
        <v>1327.2895507999999</v>
      </c>
      <c r="J2111">
        <v>1325.7794189000001</v>
      </c>
      <c r="K2111">
        <v>1650</v>
      </c>
      <c r="L2111">
        <v>0</v>
      </c>
      <c r="M2111">
        <v>0</v>
      </c>
      <c r="N2111">
        <v>1650</v>
      </c>
    </row>
    <row r="2112" spans="1:14" x14ac:dyDescent="0.25">
      <c r="A2112">
        <v>1486.5059690000001</v>
      </c>
      <c r="B2112" s="1">
        <f>DATE(2014,5,26) + TIME(12,8,35)</f>
        <v>41785.505960648145</v>
      </c>
      <c r="C2112">
        <v>80</v>
      </c>
      <c r="D2112">
        <v>79.972900390999996</v>
      </c>
      <c r="E2112">
        <v>40</v>
      </c>
      <c r="F2112">
        <v>39.442863463999998</v>
      </c>
      <c r="G2112">
        <v>1337.6453856999999</v>
      </c>
      <c r="H2112">
        <v>1335.6898193</v>
      </c>
      <c r="I2112">
        <v>1327.2875977000001</v>
      </c>
      <c r="J2112">
        <v>1325.7757568</v>
      </c>
      <c r="K2112">
        <v>1650</v>
      </c>
      <c r="L2112">
        <v>0</v>
      </c>
      <c r="M2112">
        <v>0</v>
      </c>
      <c r="N2112">
        <v>1650</v>
      </c>
    </row>
    <row r="2113" spans="1:14" x14ac:dyDescent="0.25">
      <c r="A2113">
        <v>1487.179586</v>
      </c>
      <c r="B2113" s="1">
        <f>DATE(2014,5,27) + TIME(4,18,36)</f>
        <v>41786.179583333331</v>
      </c>
      <c r="C2113">
        <v>80</v>
      </c>
      <c r="D2113">
        <v>79.972846985000004</v>
      </c>
      <c r="E2113">
        <v>40</v>
      </c>
      <c r="F2113">
        <v>39.434482574</v>
      </c>
      <c r="G2113">
        <v>1337.6407471</v>
      </c>
      <c r="H2113">
        <v>1335.6896973</v>
      </c>
      <c r="I2113">
        <v>1327.2854004000001</v>
      </c>
      <c r="J2113">
        <v>1325.7720947</v>
      </c>
      <c r="K2113">
        <v>1650</v>
      </c>
      <c r="L2113">
        <v>0</v>
      </c>
      <c r="M2113">
        <v>0</v>
      </c>
      <c r="N2113">
        <v>1650</v>
      </c>
    </row>
    <row r="2114" spans="1:14" x14ac:dyDescent="0.25">
      <c r="A2114">
        <v>1487.877675</v>
      </c>
      <c r="B2114" s="1">
        <f>DATE(2014,5,27) + TIME(21,3,51)</f>
        <v>41786.87767361111</v>
      </c>
      <c r="C2114">
        <v>80</v>
      </c>
      <c r="D2114">
        <v>79.972785950000002</v>
      </c>
      <c r="E2114">
        <v>40</v>
      </c>
      <c r="F2114">
        <v>39.426151275999999</v>
      </c>
      <c r="G2114">
        <v>1337.6359863</v>
      </c>
      <c r="H2114">
        <v>1335.6895752</v>
      </c>
      <c r="I2114">
        <v>1327.2832031</v>
      </c>
      <c r="J2114">
        <v>1325.7681885</v>
      </c>
      <c r="K2114">
        <v>1650</v>
      </c>
      <c r="L2114">
        <v>0</v>
      </c>
      <c r="M2114">
        <v>0</v>
      </c>
      <c r="N2114">
        <v>1650</v>
      </c>
    </row>
    <row r="2115" spans="1:14" x14ac:dyDescent="0.25">
      <c r="A2115">
        <v>1488.609031</v>
      </c>
      <c r="B2115" s="1">
        <f>DATE(2014,5,28) + TIME(14,37,0)</f>
        <v>41787.609027777777</v>
      </c>
      <c r="C2115">
        <v>80</v>
      </c>
      <c r="D2115">
        <v>79.972732543999996</v>
      </c>
      <c r="E2115">
        <v>40</v>
      </c>
      <c r="F2115">
        <v>39.417831421000002</v>
      </c>
      <c r="G2115">
        <v>1337.6312256000001</v>
      </c>
      <c r="H2115">
        <v>1335.6894531</v>
      </c>
      <c r="I2115">
        <v>1327.2810059000001</v>
      </c>
      <c r="J2115">
        <v>1325.7640381000001</v>
      </c>
      <c r="K2115">
        <v>1650</v>
      </c>
      <c r="L2115">
        <v>0</v>
      </c>
      <c r="M2115">
        <v>0</v>
      </c>
      <c r="N2115">
        <v>1650</v>
      </c>
    </row>
    <row r="2116" spans="1:14" x14ac:dyDescent="0.25">
      <c r="A2116">
        <v>1489.3800189999999</v>
      </c>
      <c r="B2116" s="1">
        <f>DATE(2014,5,29) + TIME(9,7,13)</f>
        <v>41788.380011574074</v>
      </c>
      <c r="C2116">
        <v>80</v>
      </c>
      <c r="D2116">
        <v>79.972679138000004</v>
      </c>
      <c r="E2116">
        <v>40</v>
      </c>
      <c r="F2116">
        <v>39.409511565999999</v>
      </c>
      <c r="G2116">
        <v>1337.6264647999999</v>
      </c>
      <c r="H2116">
        <v>1335.6893310999999</v>
      </c>
      <c r="I2116">
        <v>1327.2785644999999</v>
      </c>
      <c r="J2116">
        <v>1325.7597656</v>
      </c>
      <c r="K2116">
        <v>1650</v>
      </c>
      <c r="L2116">
        <v>0</v>
      </c>
      <c r="M2116">
        <v>0</v>
      </c>
      <c r="N2116">
        <v>1650</v>
      </c>
    </row>
    <row r="2117" spans="1:14" x14ac:dyDescent="0.25">
      <c r="A2117">
        <v>1490.1630279999999</v>
      </c>
      <c r="B2117" s="1">
        <f>DATE(2014,5,30) + TIME(3,54,45)</f>
        <v>41789.16302083333</v>
      </c>
      <c r="C2117">
        <v>80</v>
      </c>
      <c r="D2117">
        <v>79.972625731999997</v>
      </c>
      <c r="E2117">
        <v>40</v>
      </c>
      <c r="F2117">
        <v>39.401405334000003</v>
      </c>
      <c r="G2117">
        <v>1337.6214600000001</v>
      </c>
      <c r="H2117">
        <v>1335.6892089999999</v>
      </c>
      <c r="I2117">
        <v>1327.276001</v>
      </c>
      <c r="J2117">
        <v>1325.755249</v>
      </c>
      <c r="K2117">
        <v>1650</v>
      </c>
      <c r="L2117">
        <v>0</v>
      </c>
      <c r="M2117">
        <v>0</v>
      </c>
      <c r="N2117">
        <v>1650</v>
      </c>
    </row>
    <row r="2118" spans="1:14" x14ac:dyDescent="0.25">
      <c r="A2118">
        <v>1490.9522039999999</v>
      </c>
      <c r="B2118" s="1">
        <f>DATE(2014,5,30) + TIME(22,51,10)</f>
        <v>41789.952199074076</v>
      </c>
      <c r="C2118">
        <v>80</v>
      </c>
      <c r="D2118">
        <v>79.972572326999995</v>
      </c>
      <c r="E2118">
        <v>40</v>
      </c>
      <c r="F2118">
        <v>39.393623351999999</v>
      </c>
      <c r="G2118">
        <v>1337.6165771000001</v>
      </c>
      <c r="H2118">
        <v>1335.6890868999999</v>
      </c>
      <c r="I2118">
        <v>1327.2733154</v>
      </c>
      <c r="J2118">
        <v>1325.7504882999999</v>
      </c>
      <c r="K2118">
        <v>1650</v>
      </c>
      <c r="L2118">
        <v>0</v>
      </c>
      <c r="M2118">
        <v>0</v>
      </c>
      <c r="N2118">
        <v>1650</v>
      </c>
    </row>
    <row r="2119" spans="1:14" x14ac:dyDescent="0.25">
      <c r="A2119">
        <v>1491.750884</v>
      </c>
      <c r="B2119" s="1">
        <f>DATE(2014,5,31) + TIME(18,1,16)</f>
        <v>41790.750879629632</v>
      </c>
      <c r="C2119">
        <v>80</v>
      </c>
      <c r="D2119">
        <v>79.972518921000002</v>
      </c>
      <c r="E2119">
        <v>40</v>
      </c>
      <c r="F2119">
        <v>39.386203766000001</v>
      </c>
      <c r="G2119">
        <v>1337.6118164</v>
      </c>
      <c r="H2119">
        <v>1335.6888428</v>
      </c>
      <c r="I2119">
        <v>1327.2706298999999</v>
      </c>
      <c r="J2119">
        <v>1325.7457274999999</v>
      </c>
      <c r="K2119">
        <v>1650</v>
      </c>
      <c r="L2119">
        <v>0</v>
      </c>
      <c r="M2119">
        <v>0</v>
      </c>
      <c r="N2119">
        <v>1650</v>
      </c>
    </row>
    <row r="2120" spans="1:14" x14ac:dyDescent="0.25">
      <c r="A2120">
        <v>1492</v>
      </c>
      <c r="B2120" s="1">
        <f>DATE(2014,6,1) + TIME(0,0,0)</f>
        <v>41791</v>
      </c>
      <c r="C2120">
        <v>80</v>
      </c>
      <c r="D2120">
        <v>79.972488403</v>
      </c>
      <c r="E2120">
        <v>40</v>
      </c>
      <c r="F2120">
        <v>39.383258820000002</v>
      </c>
      <c r="G2120">
        <v>1337.6071777</v>
      </c>
      <c r="H2120">
        <v>1335.6888428</v>
      </c>
      <c r="I2120">
        <v>1327.2683105000001</v>
      </c>
      <c r="J2120">
        <v>1325.7415771000001</v>
      </c>
      <c r="K2120">
        <v>1650</v>
      </c>
      <c r="L2120">
        <v>0</v>
      </c>
      <c r="M2120">
        <v>0</v>
      </c>
      <c r="N2120">
        <v>1650</v>
      </c>
    </row>
    <row r="2121" spans="1:14" x14ac:dyDescent="0.25">
      <c r="A2121">
        <v>1492.812195</v>
      </c>
      <c r="B2121" s="1">
        <f>DATE(2014,6,1) + TIME(19,29,33)</f>
        <v>41791.8121875</v>
      </c>
      <c r="C2121">
        <v>80</v>
      </c>
      <c r="D2121">
        <v>79.972442627000007</v>
      </c>
      <c r="E2121">
        <v>40</v>
      </c>
      <c r="F2121">
        <v>39.376708983999997</v>
      </c>
      <c r="G2121">
        <v>1337.6057129000001</v>
      </c>
      <c r="H2121">
        <v>1335.6887207</v>
      </c>
      <c r="I2121">
        <v>1327.2669678</v>
      </c>
      <c r="J2121">
        <v>1325.7388916</v>
      </c>
      <c r="K2121">
        <v>1650</v>
      </c>
      <c r="L2121">
        <v>0</v>
      </c>
      <c r="M2121">
        <v>0</v>
      </c>
      <c r="N2121">
        <v>1650</v>
      </c>
    </row>
    <row r="2122" spans="1:14" x14ac:dyDescent="0.25">
      <c r="A2122">
        <v>1493.6474490000001</v>
      </c>
      <c r="B2122" s="1">
        <f>DATE(2014,6,2) + TIME(15,32,19)</f>
        <v>41792.64744212963</v>
      </c>
      <c r="C2122">
        <v>80</v>
      </c>
      <c r="D2122">
        <v>79.972396850999999</v>
      </c>
      <c r="E2122">
        <v>40</v>
      </c>
      <c r="F2122">
        <v>39.37046814</v>
      </c>
      <c r="G2122">
        <v>1337.6010742000001</v>
      </c>
      <c r="H2122">
        <v>1335.6885986</v>
      </c>
      <c r="I2122">
        <v>1327.2641602000001</v>
      </c>
      <c r="J2122">
        <v>1325.7338867000001</v>
      </c>
      <c r="K2122">
        <v>1650</v>
      </c>
      <c r="L2122">
        <v>0</v>
      </c>
      <c r="M2122">
        <v>0</v>
      </c>
      <c r="N2122">
        <v>1650</v>
      </c>
    </row>
    <row r="2123" spans="1:14" x14ac:dyDescent="0.25">
      <c r="A2123">
        <v>1494.504261</v>
      </c>
      <c r="B2123" s="1">
        <f>DATE(2014,6,3) + TIME(12,6,8)</f>
        <v>41793.504259259258</v>
      </c>
      <c r="C2123">
        <v>80</v>
      </c>
      <c r="D2123">
        <v>79.972343445000007</v>
      </c>
      <c r="E2123">
        <v>40</v>
      </c>
      <c r="F2123">
        <v>39.364650726000001</v>
      </c>
      <c r="G2123">
        <v>1337.5964355000001</v>
      </c>
      <c r="H2123">
        <v>1335.6883545000001</v>
      </c>
      <c r="I2123">
        <v>1327.2613524999999</v>
      </c>
      <c r="J2123">
        <v>1325.7286377</v>
      </c>
      <c r="K2123">
        <v>1650</v>
      </c>
      <c r="L2123">
        <v>0</v>
      </c>
      <c r="M2123">
        <v>0</v>
      </c>
      <c r="N2123">
        <v>1650</v>
      </c>
    </row>
    <row r="2124" spans="1:14" x14ac:dyDescent="0.25">
      <c r="A2124">
        <v>1495.38679</v>
      </c>
      <c r="B2124" s="1">
        <f>DATE(2014,6,4) + TIME(9,16,58)</f>
        <v>41794.386782407404</v>
      </c>
      <c r="C2124">
        <v>80</v>
      </c>
      <c r="D2124">
        <v>79.972290039000001</v>
      </c>
      <c r="E2124">
        <v>40</v>
      </c>
      <c r="F2124">
        <v>39.359336853000002</v>
      </c>
      <c r="G2124">
        <v>1337.5917969</v>
      </c>
      <c r="H2124">
        <v>1335.6882324000001</v>
      </c>
      <c r="I2124">
        <v>1327.2583007999999</v>
      </c>
      <c r="J2124">
        <v>1325.7231445</v>
      </c>
      <c r="K2124">
        <v>1650</v>
      </c>
      <c r="L2124">
        <v>0</v>
      </c>
      <c r="M2124">
        <v>0</v>
      </c>
      <c r="N2124">
        <v>1650</v>
      </c>
    </row>
    <row r="2125" spans="1:14" x14ac:dyDescent="0.25">
      <c r="A2125">
        <v>1496.298477</v>
      </c>
      <c r="B2125" s="1">
        <f>DATE(2014,6,5) + TIME(7,9,48)</f>
        <v>41795.298472222225</v>
      </c>
      <c r="C2125">
        <v>80</v>
      </c>
      <c r="D2125">
        <v>79.972244262999993</v>
      </c>
      <c r="E2125">
        <v>40</v>
      </c>
      <c r="F2125">
        <v>39.354629516999999</v>
      </c>
      <c r="G2125">
        <v>1337.5872803</v>
      </c>
      <c r="H2125">
        <v>1335.6879882999999</v>
      </c>
      <c r="I2125">
        <v>1327.255249</v>
      </c>
      <c r="J2125">
        <v>1325.7175293</v>
      </c>
      <c r="K2125">
        <v>1650</v>
      </c>
      <c r="L2125">
        <v>0</v>
      </c>
      <c r="M2125">
        <v>0</v>
      </c>
      <c r="N2125">
        <v>1650</v>
      </c>
    </row>
    <row r="2126" spans="1:14" x14ac:dyDescent="0.25">
      <c r="A2126">
        <v>1497.2259059999999</v>
      </c>
      <c r="B2126" s="1">
        <f>DATE(2014,6,6) + TIME(5,25,18)</f>
        <v>41796.225902777776</v>
      </c>
      <c r="C2126">
        <v>80</v>
      </c>
      <c r="D2126">
        <v>79.972190857000001</v>
      </c>
      <c r="E2126">
        <v>40</v>
      </c>
      <c r="F2126">
        <v>39.350677490000002</v>
      </c>
      <c r="G2126">
        <v>1337.5826416</v>
      </c>
      <c r="H2126">
        <v>1335.6878661999999</v>
      </c>
      <c r="I2126">
        <v>1327.2520752</v>
      </c>
      <c r="J2126">
        <v>1325.7115478999999</v>
      </c>
      <c r="K2126">
        <v>1650</v>
      </c>
      <c r="L2126">
        <v>0</v>
      </c>
      <c r="M2126">
        <v>0</v>
      </c>
      <c r="N2126">
        <v>1650</v>
      </c>
    </row>
    <row r="2127" spans="1:14" x14ac:dyDescent="0.25">
      <c r="A2127">
        <v>1498.174346</v>
      </c>
      <c r="B2127" s="1">
        <f>DATE(2014,6,7) + TIME(4,11,3)</f>
        <v>41797.174340277779</v>
      </c>
      <c r="C2127">
        <v>80</v>
      </c>
      <c r="D2127">
        <v>79.972145080999994</v>
      </c>
      <c r="E2127">
        <v>40</v>
      </c>
      <c r="F2127">
        <v>39.347587584999999</v>
      </c>
      <c r="G2127">
        <v>1337.5780029</v>
      </c>
      <c r="H2127">
        <v>1335.6876221</v>
      </c>
      <c r="I2127">
        <v>1327.2487793</v>
      </c>
      <c r="J2127">
        <v>1325.7054443</v>
      </c>
      <c r="K2127">
        <v>1650</v>
      </c>
      <c r="L2127">
        <v>0</v>
      </c>
      <c r="M2127">
        <v>0</v>
      </c>
      <c r="N2127">
        <v>1650</v>
      </c>
    </row>
    <row r="2128" spans="1:14" x14ac:dyDescent="0.25">
      <c r="A2128">
        <v>1499.1602680000001</v>
      </c>
      <c r="B2128" s="1">
        <f>DATE(2014,6,8) + TIME(3,50,47)</f>
        <v>41798.160266203704</v>
      </c>
      <c r="C2128">
        <v>80</v>
      </c>
      <c r="D2128">
        <v>79.972099303999997</v>
      </c>
      <c r="E2128">
        <v>40</v>
      </c>
      <c r="F2128">
        <v>39.345470427999999</v>
      </c>
      <c r="G2128">
        <v>1337.5734863</v>
      </c>
      <c r="H2128">
        <v>1335.6873779</v>
      </c>
      <c r="I2128">
        <v>1327.2453613</v>
      </c>
      <c r="J2128">
        <v>1325.6992187999999</v>
      </c>
      <c r="K2128">
        <v>1650</v>
      </c>
      <c r="L2128">
        <v>0</v>
      </c>
      <c r="M2128">
        <v>0</v>
      </c>
      <c r="N2128">
        <v>1650</v>
      </c>
    </row>
    <row r="2129" spans="1:14" x14ac:dyDescent="0.25">
      <c r="A2129">
        <v>1500.178412</v>
      </c>
      <c r="B2129" s="1">
        <f>DATE(2014,6,9) + TIME(4,16,54)</f>
        <v>41799.178402777776</v>
      </c>
      <c r="C2129">
        <v>80</v>
      </c>
      <c r="D2129">
        <v>79.972045898000005</v>
      </c>
      <c r="E2129">
        <v>40</v>
      </c>
      <c r="F2129">
        <v>39.344493866000001</v>
      </c>
      <c r="G2129">
        <v>1337.5688477000001</v>
      </c>
      <c r="H2129">
        <v>1335.6872559000001</v>
      </c>
      <c r="I2129">
        <v>1327.2419434000001</v>
      </c>
      <c r="J2129">
        <v>1325.6926269999999</v>
      </c>
      <c r="K2129">
        <v>1650</v>
      </c>
      <c r="L2129">
        <v>0</v>
      </c>
      <c r="M2129">
        <v>0</v>
      </c>
      <c r="N2129">
        <v>1650</v>
      </c>
    </row>
    <row r="2130" spans="1:14" x14ac:dyDescent="0.25">
      <c r="A2130">
        <v>1501.2355520000001</v>
      </c>
      <c r="B2130" s="1">
        <f>DATE(2014,6,10) + TIME(5,39,11)</f>
        <v>41800.235543981478</v>
      </c>
      <c r="C2130">
        <v>80</v>
      </c>
      <c r="D2130">
        <v>79.972000121999997</v>
      </c>
      <c r="E2130">
        <v>40</v>
      </c>
      <c r="F2130">
        <v>39.344860077</v>
      </c>
      <c r="G2130">
        <v>1337.5642089999999</v>
      </c>
      <c r="H2130">
        <v>1335.6868896000001</v>
      </c>
      <c r="I2130">
        <v>1327.2382812000001</v>
      </c>
      <c r="J2130">
        <v>1325.6857910000001</v>
      </c>
      <c r="K2130">
        <v>1650</v>
      </c>
      <c r="L2130">
        <v>0</v>
      </c>
      <c r="M2130">
        <v>0</v>
      </c>
      <c r="N2130">
        <v>1650</v>
      </c>
    </row>
    <row r="2131" spans="1:14" x14ac:dyDescent="0.25">
      <c r="A2131">
        <v>1502.316789</v>
      </c>
      <c r="B2131" s="1">
        <f>DATE(2014,6,11) + TIME(7,36,10)</f>
        <v>41801.316782407404</v>
      </c>
      <c r="C2131">
        <v>80</v>
      </c>
      <c r="D2131">
        <v>79.971954346000004</v>
      </c>
      <c r="E2131">
        <v>40</v>
      </c>
      <c r="F2131">
        <v>39.346790314000003</v>
      </c>
      <c r="G2131">
        <v>1337.5595702999999</v>
      </c>
      <c r="H2131">
        <v>1335.6866454999999</v>
      </c>
      <c r="I2131">
        <v>1327.2346190999999</v>
      </c>
      <c r="J2131">
        <v>1325.6787108999999</v>
      </c>
      <c r="K2131">
        <v>1650</v>
      </c>
      <c r="L2131">
        <v>0</v>
      </c>
      <c r="M2131">
        <v>0</v>
      </c>
      <c r="N2131">
        <v>1650</v>
      </c>
    </row>
    <row r="2132" spans="1:14" x14ac:dyDescent="0.25">
      <c r="A2132">
        <v>1503.4119169999999</v>
      </c>
      <c r="B2132" s="1">
        <f>DATE(2014,6,12) + TIME(9,53,9)</f>
        <v>41802.411909722221</v>
      </c>
      <c r="C2132">
        <v>80</v>
      </c>
      <c r="D2132">
        <v>79.971908568999993</v>
      </c>
      <c r="E2132">
        <v>40</v>
      </c>
      <c r="F2132">
        <v>39.350490569999998</v>
      </c>
      <c r="G2132">
        <v>1337.5549315999999</v>
      </c>
      <c r="H2132">
        <v>1335.6864014</v>
      </c>
      <c r="I2132">
        <v>1327.2308350000001</v>
      </c>
      <c r="J2132">
        <v>1325.6713867000001</v>
      </c>
      <c r="K2132">
        <v>1650</v>
      </c>
      <c r="L2132">
        <v>0</v>
      </c>
      <c r="M2132">
        <v>0</v>
      </c>
      <c r="N2132">
        <v>1650</v>
      </c>
    </row>
    <row r="2133" spans="1:14" x14ac:dyDescent="0.25">
      <c r="A2133">
        <v>1504.5297909999999</v>
      </c>
      <c r="B2133" s="1">
        <f>DATE(2014,6,13) + TIME(12,42,53)</f>
        <v>41803.529780092591</v>
      </c>
      <c r="C2133">
        <v>80</v>
      </c>
      <c r="D2133">
        <v>79.971862793</v>
      </c>
      <c r="E2133">
        <v>40</v>
      </c>
      <c r="F2133">
        <v>39.356182097999998</v>
      </c>
      <c r="G2133">
        <v>1337.550293</v>
      </c>
      <c r="H2133">
        <v>1335.6860352000001</v>
      </c>
      <c r="I2133">
        <v>1327.2269286999999</v>
      </c>
      <c r="J2133">
        <v>1325.6639404</v>
      </c>
      <c r="K2133">
        <v>1650</v>
      </c>
      <c r="L2133">
        <v>0</v>
      </c>
      <c r="M2133">
        <v>0</v>
      </c>
      <c r="N2133">
        <v>1650</v>
      </c>
    </row>
    <row r="2134" spans="1:14" x14ac:dyDescent="0.25">
      <c r="A2134">
        <v>1505.6792820000001</v>
      </c>
      <c r="B2134" s="1">
        <f>DATE(2014,6,14) + TIME(16,18,10)</f>
        <v>41804.679282407407</v>
      </c>
      <c r="C2134">
        <v>80</v>
      </c>
      <c r="D2134">
        <v>79.971817017000006</v>
      </c>
      <c r="E2134">
        <v>40</v>
      </c>
      <c r="F2134">
        <v>39.364166259999998</v>
      </c>
      <c r="G2134">
        <v>1337.5457764</v>
      </c>
      <c r="H2134">
        <v>1335.6856689000001</v>
      </c>
      <c r="I2134">
        <v>1327.2230225000001</v>
      </c>
      <c r="J2134">
        <v>1325.65625</v>
      </c>
      <c r="K2134">
        <v>1650</v>
      </c>
      <c r="L2134">
        <v>0</v>
      </c>
      <c r="M2134">
        <v>0</v>
      </c>
      <c r="N2134">
        <v>1650</v>
      </c>
    </row>
    <row r="2135" spans="1:14" x14ac:dyDescent="0.25">
      <c r="A2135">
        <v>1506.8768600000001</v>
      </c>
      <c r="B2135" s="1">
        <f>DATE(2014,6,15) + TIME(21,2,40)</f>
        <v>41805.876851851855</v>
      </c>
      <c r="C2135">
        <v>80</v>
      </c>
      <c r="D2135">
        <v>79.971771239999995</v>
      </c>
      <c r="E2135">
        <v>40</v>
      </c>
      <c r="F2135">
        <v>39.374851227000001</v>
      </c>
      <c r="G2135">
        <v>1337.5411377</v>
      </c>
      <c r="H2135">
        <v>1335.6853027</v>
      </c>
      <c r="I2135">
        <v>1327.2191161999999</v>
      </c>
      <c r="J2135">
        <v>1325.6484375</v>
      </c>
      <c r="K2135">
        <v>1650</v>
      </c>
      <c r="L2135">
        <v>0</v>
      </c>
      <c r="M2135">
        <v>0</v>
      </c>
      <c r="N2135">
        <v>1650</v>
      </c>
    </row>
    <row r="2136" spans="1:14" x14ac:dyDescent="0.25">
      <c r="A2136">
        <v>1508.12943</v>
      </c>
      <c r="B2136" s="1">
        <f>DATE(2014,6,17) + TIME(3,6,22)</f>
        <v>41807.129421296297</v>
      </c>
      <c r="C2136">
        <v>80</v>
      </c>
      <c r="D2136">
        <v>79.971725464000002</v>
      </c>
      <c r="E2136">
        <v>40</v>
      </c>
      <c r="F2136">
        <v>39.388767242</v>
      </c>
      <c r="G2136">
        <v>1337.5366211</v>
      </c>
      <c r="H2136">
        <v>1335.6849365</v>
      </c>
      <c r="I2136">
        <v>1327.2149658000001</v>
      </c>
      <c r="J2136">
        <v>1325.6402588000001</v>
      </c>
      <c r="K2136">
        <v>1650</v>
      </c>
      <c r="L2136">
        <v>0</v>
      </c>
      <c r="M2136">
        <v>0</v>
      </c>
      <c r="N2136">
        <v>1650</v>
      </c>
    </row>
    <row r="2137" spans="1:14" x14ac:dyDescent="0.25">
      <c r="A2137">
        <v>1509.4105440000001</v>
      </c>
      <c r="B2137" s="1">
        <f>DATE(2014,6,18) + TIME(9,51,10)</f>
        <v>41808.410532407404</v>
      </c>
      <c r="C2137">
        <v>80</v>
      </c>
      <c r="D2137">
        <v>79.971687317000004</v>
      </c>
      <c r="E2137">
        <v>40</v>
      </c>
      <c r="F2137">
        <v>39.406337737999998</v>
      </c>
      <c r="G2137">
        <v>1337.5318603999999</v>
      </c>
      <c r="H2137">
        <v>1335.6845702999999</v>
      </c>
      <c r="I2137">
        <v>1327.2108154</v>
      </c>
      <c r="J2137">
        <v>1325.6318358999999</v>
      </c>
      <c r="K2137">
        <v>1650</v>
      </c>
      <c r="L2137">
        <v>0</v>
      </c>
      <c r="M2137">
        <v>0</v>
      </c>
      <c r="N2137">
        <v>1650</v>
      </c>
    </row>
    <row r="2138" spans="1:14" x14ac:dyDescent="0.25">
      <c r="A2138">
        <v>1510.7044189999999</v>
      </c>
      <c r="B2138" s="1">
        <f>DATE(2014,6,19) + TIME(16,54,21)</f>
        <v>41809.704409722224</v>
      </c>
      <c r="C2138">
        <v>80</v>
      </c>
      <c r="D2138">
        <v>79.971641540999997</v>
      </c>
      <c r="E2138">
        <v>40</v>
      </c>
      <c r="F2138">
        <v>39.427875518999997</v>
      </c>
      <c r="G2138">
        <v>1337.5272216999999</v>
      </c>
      <c r="H2138">
        <v>1335.684082</v>
      </c>
      <c r="I2138">
        <v>1327.2066649999999</v>
      </c>
      <c r="J2138">
        <v>1325.6231689000001</v>
      </c>
      <c r="K2138">
        <v>1650</v>
      </c>
      <c r="L2138">
        <v>0</v>
      </c>
      <c r="M2138">
        <v>0</v>
      </c>
      <c r="N2138">
        <v>1650</v>
      </c>
    </row>
    <row r="2139" spans="1:14" x14ac:dyDescent="0.25">
      <c r="A2139">
        <v>1512.0198680000001</v>
      </c>
      <c r="B2139" s="1">
        <f>DATE(2014,6,21) + TIME(0,28,36)</f>
        <v>41811.019861111112</v>
      </c>
      <c r="C2139">
        <v>80</v>
      </c>
      <c r="D2139">
        <v>79.971603393999999</v>
      </c>
      <c r="E2139">
        <v>40</v>
      </c>
      <c r="F2139">
        <v>39.453811645999998</v>
      </c>
      <c r="G2139">
        <v>1337.5225829999999</v>
      </c>
      <c r="H2139">
        <v>1335.6837158000001</v>
      </c>
      <c r="I2139">
        <v>1327.2023925999999</v>
      </c>
      <c r="J2139">
        <v>1325.6143798999999</v>
      </c>
      <c r="K2139">
        <v>1650</v>
      </c>
      <c r="L2139">
        <v>0</v>
      </c>
      <c r="M2139">
        <v>0</v>
      </c>
      <c r="N2139">
        <v>1650</v>
      </c>
    </row>
    <row r="2140" spans="1:14" x14ac:dyDescent="0.25">
      <c r="A2140">
        <v>1513.365675</v>
      </c>
      <c r="B2140" s="1">
        <f>DATE(2014,6,22) + TIME(8,46,34)</f>
        <v>41812.365671296298</v>
      </c>
      <c r="C2140">
        <v>80</v>
      </c>
      <c r="D2140">
        <v>79.971557617000002</v>
      </c>
      <c r="E2140">
        <v>40</v>
      </c>
      <c r="F2140">
        <v>39.484741210999999</v>
      </c>
      <c r="G2140">
        <v>1337.5180664</v>
      </c>
      <c r="H2140">
        <v>1335.6832274999999</v>
      </c>
      <c r="I2140">
        <v>1327.1982422000001</v>
      </c>
      <c r="J2140">
        <v>1325.6055908000001</v>
      </c>
      <c r="K2140">
        <v>1650</v>
      </c>
      <c r="L2140">
        <v>0</v>
      </c>
      <c r="M2140">
        <v>0</v>
      </c>
      <c r="N2140">
        <v>1650</v>
      </c>
    </row>
    <row r="2141" spans="1:14" x14ac:dyDescent="0.25">
      <c r="A2141">
        <v>1514.755406</v>
      </c>
      <c r="B2141" s="1">
        <f>DATE(2014,6,23) + TIME(18,7,47)</f>
        <v>41813.75540509259</v>
      </c>
      <c r="C2141">
        <v>80</v>
      </c>
      <c r="D2141">
        <v>79.971519470000004</v>
      </c>
      <c r="E2141">
        <v>40</v>
      </c>
      <c r="F2141">
        <v>39.521507262999997</v>
      </c>
      <c r="G2141">
        <v>1337.5136719</v>
      </c>
      <c r="H2141">
        <v>1335.6827393000001</v>
      </c>
      <c r="I2141">
        <v>1327.1939697</v>
      </c>
      <c r="J2141">
        <v>1325.5965576000001</v>
      </c>
      <c r="K2141">
        <v>1650</v>
      </c>
      <c r="L2141">
        <v>0</v>
      </c>
      <c r="M2141">
        <v>0</v>
      </c>
      <c r="N2141">
        <v>1650</v>
      </c>
    </row>
    <row r="2142" spans="1:14" x14ac:dyDescent="0.25">
      <c r="A2142">
        <v>1516.1736020000001</v>
      </c>
      <c r="B2142" s="1">
        <f>DATE(2014,6,25) + TIME(4,9,59)</f>
        <v>41815.17359953704</v>
      </c>
      <c r="C2142">
        <v>80</v>
      </c>
      <c r="D2142">
        <v>79.971481323000006</v>
      </c>
      <c r="E2142">
        <v>40</v>
      </c>
      <c r="F2142">
        <v>39.564838408999996</v>
      </c>
      <c r="G2142">
        <v>1337.5091553</v>
      </c>
      <c r="H2142">
        <v>1335.6821289</v>
      </c>
      <c r="I2142">
        <v>1327.1898193</v>
      </c>
      <c r="J2142">
        <v>1325.5874022999999</v>
      </c>
      <c r="K2142">
        <v>1650</v>
      </c>
      <c r="L2142">
        <v>0</v>
      </c>
      <c r="M2142">
        <v>0</v>
      </c>
      <c r="N2142">
        <v>1650</v>
      </c>
    </row>
    <row r="2143" spans="1:14" x14ac:dyDescent="0.25">
      <c r="A2143">
        <v>1517.634078</v>
      </c>
      <c r="B2143" s="1">
        <f>DATE(2014,6,26) + TIME(15,13,4)</f>
        <v>41816.634074074071</v>
      </c>
      <c r="C2143">
        <v>80</v>
      </c>
      <c r="D2143">
        <v>79.971450806000007</v>
      </c>
      <c r="E2143">
        <v>40</v>
      </c>
      <c r="F2143">
        <v>39.615695952999999</v>
      </c>
      <c r="G2143">
        <v>1337.5046387</v>
      </c>
      <c r="H2143">
        <v>1335.6816406</v>
      </c>
      <c r="I2143">
        <v>1327.1856689000001</v>
      </c>
      <c r="J2143">
        <v>1325.5782471</v>
      </c>
      <c r="K2143">
        <v>1650</v>
      </c>
      <c r="L2143">
        <v>0</v>
      </c>
      <c r="M2143">
        <v>0</v>
      </c>
      <c r="N2143">
        <v>1650</v>
      </c>
    </row>
    <row r="2144" spans="1:14" x14ac:dyDescent="0.25">
      <c r="A2144">
        <v>1519.153022</v>
      </c>
      <c r="B2144" s="1">
        <f>DATE(2014,6,28) + TIME(3,40,21)</f>
        <v>41818.153020833335</v>
      </c>
      <c r="C2144">
        <v>80</v>
      </c>
      <c r="D2144">
        <v>79.971412658999995</v>
      </c>
      <c r="E2144">
        <v>40</v>
      </c>
      <c r="F2144">
        <v>39.675498961999999</v>
      </c>
      <c r="G2144">
        <v>1337.5</v>
      </c>
      <c r="H2144">
        <v>1335.6809082</v>
      </c>
      <c r="I2144">
        <v>1327.1815185999999</v>
      </c>
      <c r="J2144">
        <v>1325.5688477000001</v>
      </c>
      <c r="K2144">
        <v>1650</v>
      </c>
      <c r="L2144">
        <v>0</v>
      </c>
      <c r="M2144">
        <v>0</v>
      </c>
      <c r="N2144">
        <v>1650</v>
      </c>
    </row>
    <row r="2145" spans="1:14" x14ac:dyDescent="0.25">
      <c r="A2145">
        <v>1520.7574999999999</v>
      </c>
      <c r="B2145" s="1">
        <f>DATE(2014,6,29) + TIME(18,10,47)</f>
        <v>41819.757488425923</v>
      </c>
      <c r="C2145">
        <v>80</v>
      </c>
      <c r="D2145">
        <v>79.971374511999997</v>
      </c>
      <c r="E2145">
        <v>40</v>
      </c>
      <c r="F2145">
        <v>39.746353149000001</v>
      </c>
      <c r="G2145">
        <v>1337.4949951000001</v>
      </c>
      <c r="H2145">
        <v>1335.6800536999999</v>
      </c>
      <c r="I2145">
        <v>1327.1774902</v>
      </c>
      <c r="J2145">
        <v>1325.5593262</v>
      </c>
      <c r="K2145">
        <v>1650</v>
      </c>
      <c r="L2145">
        <v>0</v>
      </c>
      <c r="M2145">
        <v>0</v>
      </c>
      <c r="N2145">
        <v>1650</v>
      </c>
    </row>
    <row r="2146" spans="1:14" x14ac:dyDescent="0.25">
      <c r="A2146">
        <v>1522</v>
      </c>
      <c r="B2146" s="1">
        <f>DATE(2014,7,1) + TIME(0,0,0)</f>
        <v>41821</v>
      </c>
      <c r="C2146">
        <v>80</v>
      </c>
      <c r="D2146">
        <v>79.971336364999999</v>
      </c>
      <c r="E2146">
        <v>40</v>
      </c>
      <c r="F2146">
        <v>39.819770812999998</v>
      </c>
      <c r="G2146">
        <v>1337.4898682</v>
      </c>
      <c r="H2146">
        <v>1335.6790771000001</v>
      </c>
      <c r="I2146">
        <v>1327.1738281</v>
      </c>
      <c r="J2146">
        <v>1325.5500488</v>
      </c>
      <c r="K2146">
        <v>1650</v>
      </c>
      <c r="L2146">
        <v>0</v>
      </c>
      <c r="M2146">
        <v>0</v>
      </c>
      <c r="N2146">
        <v>1650</v>
      </c>
    </row>
    <row r="2147" spans="1:14" x14ac:dyDescent="0.25">
      <c r="A2147">
        <v>1522.834413</v>
      </c>
      <c r="B2147" s="1">
        <f>DATE(2014,7,1) + TIME(20,1,33)</f>
        <v>41821.834409722222</v>
      </c>
      <c r="C2147">
        <v>80</v>
      </c>
      <c r="D2147">
        <v>79.971305846999996</v>
      </c>
      <c r="E2147">
        <v>40</v>
      </c>
      <c r="F2147">
        <v>39.881656647</v>
      </c>
      <c r="G2147">
        <v>1337.4860839999999</v>
      </c>
      <c r="H2147">
        <v>1335.6783447</v>
      </c>
      <c r="I2147">
        <v>1327.1710204999999</v>
      </c>
      <c r="J2147">
        <v>1325.5427245999999</v>
      </c>
      <c r="K2147">
        <v>1650</v>
      </c>
      <c r="L2147">
        <v>0</v>
      </c>
      <c r="M2147">
        <v>0</v>
      </c>
      <c r="N2147">
        <v>1650</v>
      </c>
    </row>
    <row r="2148" spans="1:14" x14ac:dyDescent="0.25">
      <c r="A2148">
        <v>1524.4497260000001</v>
      </c>
      <c r="B2148" s="1">
        <f>DATE(2014,7,3) + TIME(10,47,36)</f>
        <v>41823.44972222222</v>
      </c>
      <c r="C2148">
        <v>80</v>
      </c>
      <c r="D2148">
        <v>79.971290588000002</v>
      </c>
      <c r="E2148">
        <v>40</v>
      </c>
      <c r="F2148">
        <v>39.966114044000001</v>
      </c>
      <c r="G2148">
        <v>1337.4836425999999</v>
      </c>
      <c r="H2148">
        <v>1335.6778564000001</v>
      </c>
      <c r="I2148">
        <v>1327.1677245999999</v>
      </c>
      <c r="J2148">
        <v>1325.5363769999999</v>
      </c>
      <c r="K2148">
        <v>1650</v>
      </c>
      <c r="L2148">
        <v>0</v>
      </c>
      <c r="M2148">
        <v>0</v>
      </c>
      <c r="N2148">
        <v>1650</v>
      </c>
    </row>
    <row r="2149" spans="1:14" x14ac:dyDescent="0.25">
      <c r="A2149">
        <v>1526.0809389999999</v>
      </c>
      <c r="B2149" s="1">
        <f>DATE(2014,7,5) + TIME(1,56,33)</f>
        <v>41825.080937500003</v>
      </c>
      <c r="C2149">
        <v>80</v>
      </c>
      <c r="D2149">
        <v>79.971260071000003</v>
      </c>
      <c r="E2149">
        <v>40</v>
      </c>
      <c r="F2149">
        <v>40.071784973</v>
      </c>
      <c r="G2149">
        <v>1337.4790039</v>
      </c>
      <c r="H2149">
        <v>1335.6770019999999</v>
      </c>
      <c r="I2149">
        <v>1327.1646728999999</v>
      </c>
      <c r="J2149">
        <v>1325.527832</v>
      </c>
      <c r="K2149">
        <v>1650</v>
      </c>
      <c r="L2149">
        <v>0</v>
      </c>
      <c r="M2149">
        <v>0</v>
      </c>
      <c r="N2149">
        <v>1650</v>
      </c>
    </row>
    <row r="2150" spans="1:14" x14ac:dyDescent="0.25">
      <c r="A2150">
        <v>1527.726287</v>
      </c>
      <c r="B2150" s="1">
        <f>DATE(2014,7,6) + TIME(17,25,51)</f>
        <v>41826.726284722223</v>
      </c>
      <c r="C2150">
        <v>80</v>
      </c>
      <c r="D2150">
        <v>79.971229553000001</v>
      </c>
      <c r="E2150">
        <v>40</v>
      </c>
      <c r="F2150">
        <v>40.195434570000003</v>
      </c>
      <c r="G2150">
        <v>1337.4743652</v>
      </c>
      <c r="H2150">
        <v>1335.6760254000001</v>
      </c>
      <c r="I2150">
        <v>1327.1616211</v>
      </c>
      <c r="J2150">
        <v>1325.5191649999999</v>
      </c>
      <c r="K2150">
        <v>1650</v>
      </c>
      <c r="L2150">
        <v>0</v>
      </c>
      <c r="M2150">
        <v>0</v>
      </c>
      <c r="N2150">
        <v>1650</v>
      </c>
    </row>
    <row r="2151" spans="1:14" x14ac:dyDescent="0.25">
      <c r="A2151">
        <v>1528.5643480000001</v>
      </c>
      <c r="B2151" s="1">
        <f>DATE(2014,7,7) + TIME(13,32,39)</f>
        <v>41827.564340277779</v>
      </c>
      <c r="C2151">
        <v>80</v>
      </c>
      <c r="D2151">
        <v>79.971199036000002</v>
      </c>
      <c r="E2151">
        <v>40</v>
      </c>
      <c r="F2151">
        <v>40.295997620000001</v>
      </c>
      <c r="G2151">
        <v>1337.4698486</v>
      </c>
      <c r="H2151">
        <v>1335.6751709</v>
      </c>
      <c r="I2151">
        <v>1327.1599120999999</v>
      </c>
      <c r="J2151">
        <v>1325.5115966999999</v>
      </c>
      <c r="K2151">
        <v>1650</v>
      </c>
      <c r="L2151">
        <v>0</v>
      </c>
      <c r="M2151">
        <v>0</v>
      </c>
      <c r="N2151">
        <v>1650</v>
      </c>
    </row>
    <row r="2152" spans="1:14" x14ac:dyDescent="0.25">
      <c r="A2152">
        <v>1530.2028849999999</v>
      </c>
      <c r="B2152" s="1">
        <f>DATE(2014,7,9) + TIME(4,52,9)</f>
        <v>41829.202881944446</v>
      </c>
      <c r="C2152">
        <v>80</v>
      </c>
      <c r="D2152">
        <v>79.971183776999993</v>
      </c>
      <c r="E2152">
        <v>40</v>
      </c>
      <c r="F2152">
        <v>40.428009033000002</v>
      </c>
      <c r="G2152">
        <v>1337.4676514</v>
      </c>
      <c r="H2152">
        <v>1335.6746826000001</v>
      </c>
      <c r="I2152">
        <v>1327.1568603999999</v>
      </c>
      <c r="J2152">
        <v>1325.5058594</v>
      </c>
      <c r="K2152">
        <v>1650</v>
      </c>
      <c r="L2152">
        <v>0</v>
      </c>
      <c r="M2152">
        <v>0</v>
      </c>
      <c r="N2152">
        <v>1650</v>
      </c>
    </row>
    <row r="2153" spans="1:14" x14ac:dyDescent="0.25">
      <c r="A2153">
        <v>1531.846139</v>
      </c>
      <c r="B2153" s="1">
        <f>DATE(2014,7,10) + TIME(20,18,26)</f>
        <v>41830.846134259256</v>
      </c>
      <c r="C2153">
        <v>80</v>
      </c>
      <c r="D2153">
        <v>79.971160889000004</v>
      </c>
      <c r="E2153">
        <v>40</v>
      </c>
      <c r="F2153">
        <v>40.587219238000003</v>
      </c>
      <c r="G2153">
        <v>1337.4633789</v>
      </c>
      <c r="H2153">
        <v>1335.6738281</v>
      </c>
      <c r="I2153">
        <v>1327.1547852000001</v>
      </c>
      <c r="J2153">
        <v>1325.4984131000001</v>
      </c>
      <c r="K2153">
        <v>1650</v>
      </c>
      <c r="L2153">
        <v>0</v>
      </c>
      <c r="M2153">
        <v>0</v>
      </c>
      <c r="N2153">
        <v>1650</v>
      </c>
    </row>
    <row r="2154" spans="1:14" x14ac:dyDescent="0.25">
      <c r="A2154">
        <v>1533.493594</v>
      </c>
      <c r="B2154" s="1">
        <f>DATE(2014,7,12) + TIME(11,50,46)</f>
        <v>41832.493587962963</v>
      </c>
      <c r="C2154">
        <v>80</v>
      </c>
      <c r="D2154">
        <v>79.971137999999996</v>
      </c>
      <c r="E2154">
        <v>40</v>
      </c>
      <c r="F2154">
        <v>40.769126892000003</v>
      </c>
      <c r="G2154">
        <v>1337.4592285000001</v>
      </c>
      <c r="H2154">
        <v>1335.6729736</v>
      </c>
      <c r="I2154">
        <v>1327.152832</v>
      </c>
      <c r="J2154">
        <v>1325.4912108999999</v>
      </c>
      <c r="K2154">
        <v>1650</v>
      </c>
      <c r="L2154">
        <v>0</v>
      </c>
      <c r="M2154">
        <v>0</v>
      </c>
      <c r="N2154">
        <v>1650</v>
      </c>
    </row>
    <row r="2155" spans="1:14" x14ac:dyDescent="0.25">
      <c r="A2155">
        <v>1535.161319</v>
      </c>
      <c r="B2155" s="1">
        <f>DATE(2014,7,14) + TIME(3,52,17)</f>
        <v>41834.161307870374</v>
      </c>
      <c r="C2155">
        <v>80</v>
      </c>
      <c r="D2155">
        <v>79.971115112000007</v>
      </c>
      <c r="E2155">
        <v>40</v>
      </c>
      <c r="F2155">
        <v>40.973579407000003</v>
      </c>
      <c r="G2155">
        <v>1337.4552002</v>
      </c>
      <c r="H2155">
        <v>1335.6721190999999</v>
      </c>
      <c r="I2155">
        <v>1327.1512451000001</v>
      </c>
      <c r="J2155">
        <v>1325.4844971</v>
      </c>
      <c r="K2155">
        <v>1650</v>
      </c>
      <c r="L2155">
        <v>0</v>
      </c>
      <c r="M2155">
        <v>0</v>
      </c>
      <c r="N2155">
        <v>1650</v>
      </c>
    </row>
    <row r="2156" spans="1:14" x14ac:dyDescent="0.25">
      <c r="A2156">
        <v>1536.0032470000001</v>
      </c>
      <c r="B2156" s="1">
        <f>DATE(2014,7,15) + TIME(0,4,40)</f>
        <v>41835.003240740742</v>
      </c>
      <c r="C2156">
        <v>80</v>
      </c>
      <c r="D2156">
        <v>79.971092224000003</v>
      </c>
      <c r="E2156">
        <v>40</v>
      </c>
      <c r="F2156">
        <v>41.136798859000002</v>
      </c>
      <c r="G2156">
        <v>1337.4512939000001</v>
      </c>
      <c r="H2156">
        <v>1335.6711425999999</v>
      </c>
      <c r="I2156">
        <v>1327.1514893000001</v>
      </c>
      <c r="J2156">
        <v>1325.4790039</v>
      </c>
      <c r="K2156">
        <v>1650</v>
      </c>
      <c r="L2156">
        <v>0</v>
      </c>
      <c r="M2156">
        <v>0</v>
      </c>
      <c r="N2156">
        <v>1650</v>
      </c>
    </row>
    <row r="2157" spans="1:14" x14ac:dyDescent="0.25">
      <c r="A2157">
        <v>1537.5958929999999</v>
      </c>
      <c r="B2157" s="1">
        <f>DATE(2014,7,16) + TIME(14,18,5)</f>
        <v>41836.595891203702</v>
      </c>
      <c r="C2157">
        <v>80</v>
      </c>
      <c r="D2157">
        <v>79.971084594999994</v>
      </c>
      <c r="E2157">
        <v>40</v>
      </c>
      <c r="F2157">
        <v>41.343585967999999</v>
      </c>
      <c r="G2157">
        <v>1337.4493408000001</v>
      </c>
      <c r="H2157">
        <v>1335.6707764</v>
      </c>
      <c r="I2157">
        <v>1327.1490478999999</v>
      </c>
      <c r="J2157">
        <v>1325.4750977000001</v>
      </c>
      <c r="K2157">
        <v>1650</v>
      </c>
      <c r="L2157">
        <v>0</v>
      </c>
      <c r="M2157">
        <v>0</v>
      </c>
      <c r="N2157">
        <v>1650</v>
      </c>
    </row>
    <row r="2158" spans="1:14" x14ac:dyDescent="0.25">
      <c r="A2158">
        <v>1539.239086</v>
      </c>
      <c r="B2158" s="1">
        <f>DATE(2014,7,18) + TIME(5,44,17)</f>
        <v>41838.239085648151</v>
      </c>
      <c r="C2158">
        <v>80</v>
      </c>
      <c r="D2158">
        <v>79.971069335999999</v>
      </c>
      <c r="E2158">
        <v>40</v>
      </c>
      <c r="F2158">
        <v>41.589191436999997</v>
      </c>
      <c r="G2158">
        <v>1337.4456786999999</v>
      </c>
      <c r="H2158">
        <v>1335.6699219</v>
      </c>
      <c r="I2158">
        <v>1327.1485596</v>
      </c>
      <c r="J2158">
        <v>1325.4702147999999</v>
      </c>
      <c r="K2158">
        <v>1650</v>
      </c>
      <c r="L2158">
        <v>0</v>
      </c>
      <c r="M2158">
        <v>0</v>
      </c>
      <c r="N2158">
        <v>1650</v>
      </c>
    </row>
    <row r="2159" spans="1:14" x14ac:dyDescent="0.25">
      <c r="A2159">
        <v>1540.8977500000001</v>
      </c>
      <c r="B2159" s="1">
        <f>DATE(2014,7,19) + TIME(21,32,45)</f>
        <v>41839.897743055553</v>
      </c>
      <c r="C2159">
        <v>80</v>
      </c>
      <c r="D2159">
        <v>79.971054077000005</v>
      </c>
      <c r="E2159">
        <v>40</v>
      </c>
      <c r="F2159">
        <v>41.868736267000003</v>
      </c>
      <c r="G2159">
        <v>1337.4420166</v>
      </c>
      <c r="H2159">
        <v>1335.6690673999999</v>
      </c>
      <c r="I2159">
        <v>1327.1485596</v>
      </c>
      <c r="J2159">
        <v>1325.4658202999999</v>
      </c>
      <c r="K2159">
        <v>1650</v>
      </c>
      <c r="L2159">
        <v>0</v>
      </c>
      <c r="M2159">
        <v>0</v>
      </c>
      <c r="N2159">
        <v>1650</v>
      </c>
    </row>
    <row r="2160" spans="1:14" x14ac:dyDescent="0.25">
      <c r="A2160">
        <v>1541.742416</v>
      </c>
      <c r="B2160" s="1">
        <f>DATE(2014,7,20) + TIME(17,49,4)</f>
        <v>41840.742407407408</v>
      </c>
      <c r="C2160">
        <v>80</v>
      </c>
      <c r="D2160">
        <v>79.971031189000001</v>
      </c>
      <c r="E2160">
        <v>40</v>
      </c>
      <c r="F2160">
        <v>42.093383789000001</v>
      </c>
      <c r="G2160">
        <v>1337.4383545000001</v>
      </c>
      <c r="H2160">
        <v>1335.6680908000001</v>
      </c>
      <c r="I2160">
        <v>1327.1506348</v>
      </c>
      <c r="J2160">
        <v>1325.4627685999999</v>
      </c>
      <c r="K2160">
        <v>1650</v>
      </c>
      <c r="L2160">
        <v>0</v>
      </c>
      <c r="M2160">
        <v>0</v>
      </c>
      <c r="N2160">
        <v>1650</v>
      </c>
    </row>
    <row r="2161" spans="1:14" x14ac:dyDescent="0.25">
      <c r="A2161">
        <v>1543.33357</v>
      </c>
      <c r="B2161" s="1">
        <f>DATE(2014,7,22) + TIME(8,0,20)</f>
        <v>41842.333564814813</v>
      </c>
      <c r="C2161">
        <v>80</v>
      </c>
      <c r="D2161">
        <v>79.971023560000006</v>
      </c>
      <c r="E2161">
        <v>40</v>
      </c>
      <c r="F2161">
        <v>42.374015808000003</v>
      </c>
      <c r="G2161">
        <v>1337.4365233999999</v>
      </c>
      <c r="H2161">
        <v>1335.6677245999999</v>
      </c>
      <c r="I2161">
        <v>1327.1488036999999</v>
      </c>
      <c r="J2161">
        <v>1325.4606934000001</v>
      </c>
      <c r="K2161">
        <v>1650</v>
      </c>
      <c r="L2161">
        <v>0</v>
      </c>
      <c r="M2161">
        <v>0</v>
      </c>
      <c r="N2161">
        <v>1650</v>
      </c>
    </row>
    <row r="2162" spans="1:14" x14ac:dyDescent="0.25">
      <c r="A2162">
        <v>1544.9824599999999</v>
      </c>
      <c r="B2162" s="1">
        <f>DATE(2014,7,23) + TIME(23,34,44)</f>
        <v>41843.982453703706</v>
      </c>
      <c r="C2162">
        <v>80</v>
      </c>
      <c r="D2162">
        <v>79.971015929999993</v>
      </c>
      <c r="E2162">
        <v>40</v>
      </c>
      <c r="F2162">
        <v>42.705734253000003</v>
      </c>
      <c r="G2162">
        <v>1337.4332274999999</v>
      </c>
      <c r="H2162">
        <v>1335.6668701000001</v>
      </c>
      <c r="I2162">
        <v>1327.1497803</v>
      </c>
      <c r="J2162">
        <v>1325.4581298999999</v>
      </c>
      <c r="K2162">
        <v>1650</v>
      </c>
      <c r="L2162">
        <v>0</v>
      </c>
      <c r="M2162">
        <v>0</v>
      </c>
      <c r="N2162">
        <v>1650</v>
      </c>
    </row>
    <row r="2163" spans="1:14" x14ac:dyDescent="0.25">
      <c r="A2163">
        <v>1546.642979</v>
      </c>
      <c r="B2163" s="1">
        <f>DATE(2014,7,25) + TIME(15,25,53)</f>
        <v>41845.642974537041</v>
      </c>
      <c r="C2163">
        <v>80</v>
      </c>
      <c r="D2163">
        <v>79.971000670999999</v>
      </c>
      <c r="E2163">
        <v>40</v>
      </c>
      <c r="F2163">
        <v>43.081092834000003</v>
      </c>
      <c r="G2163">
        <v>1337.4298096</v>
      </c>
      <c r="H2163">
        <v>1335.6658935999999</v>
      </c>
      <c r="I2163">
        <v>1327.1511230000001</v>
      </c>
      <c r="J2163">
        <v>1325.4564209</v>
      </c>
      <c r="K2163">
        <v>1650</v>
      </c>
      <c r="L2163">
        <v>0</v>
      </c>
      <c r="M2163">
        <v>0</v>
      </c>
      <c r="N2163">
        <v>1650</v>
      </c>
    </row>
    <row r="2164" spans="1:14" x14ac:dyDescent="0.25">
      <c r="A2164">
        <v>1548.3300400000001</v>
      </c>
      <c r="B2164" s="1">
        <f>DATE(2014,7,27) + TIME(7,55,15)</f>
        <v>41847.330034722225</v>
      </c>
      <c r="C2164">
        <v>80</v>
      </c>
      <c r="D2164">
        <v>79.970993042000003</v>
      </c>
      <c r="E2164">
        <v>40</v>
      </c>
      <c r="F2164">
        <v>43.493469238000003</v>
      </c>
      <c r="G2164">
        <v>1337.4263916</v>
      </c>
      <c r="H2164">
        <v>1335.6650391000001</v>
      </c>
      <c r="I2164">
        <v>1327.1529541</v>
      </c>
      <c r="J2164">
        <v>1325.4555664</v>
      </c>
      <c r="K2164">
        <v>1650</v>
      </c>
      <c r="L2164">
        <v>0</v>
      </c>
      <c r="M2164">
        <v>0</v>
      </c>
      <c r="N2164">
        <v>1650</v>
      </c>
    </row>
    <row r="2165" spans="1:14" x14ac:dyDescent="0.25">
      <c r="A2165">
        <v>1549.1795420000001</v>
      </c>
      <c r="B2165" s="1">
        <f>DATE(2014,7,28) + TIME(4,18,32)</f>
        <v>41848.179537037038</v>
      </c>
      <c r="C2165">
        <v>80</v>
      </c>
      <c r="D2165">
        <v>79.970970154</v>
      </c>
      <c r="E2165">
        <v>40</v>
      </c>
      <c r="F2165">
        <v>43.817150116000001</v>
      </c>
      <c r="G2165">
        <v>1337.4230957</v>
      </c>
      <c r="H2165">
        <v>1335.6641846</v>
      </c>
      <c r="I2165">
        <v>1327.1573486</v>
      </c>
      <c r="J2165">
        <v>1325.4560547000001</v>
      </c>
      <c r="K2165">
        <v>1650</v>
      </c>
      <c r="L2165">
        <v>0</v>
      </c>
      <c r="M2165">
        <v>0</v>
      </c>
      <c r="N2165">
        <v>1650</v>
      </c>
    </row>
    <row r="2166" spans="1:14" x14ac:dyDescent="0.25">
      <c r="A2166">
        <v>1550.7216470000001</v>
      </c>
      <c r="B2166" s="1">
        <f>DATE(2014,7,29) + TIME(17,19,10)</f>
        <v>41849.721643518518</v>
      </c>
      <c r="C2166">
        <v>80</v>
      </c>
      <c r="D2166">
        <v>79.970970154</v>
      </c>
      <c r="E2166">
        <v>40</v>
      </c>
      <c r="F2166">
        <v>44.203041077000002</v>
      </c>
      <c r="G2166">
        <v>1337.4213867000001</v>
      </c>
      <c r="H2166">
        <v>1335.6636963000001</v>
      </c>
      <c r="I2166">
        <v>1327.15625</v>
      </c>
      <c r="J2166">
        <v>1325.456543</v>
      </c>
      <c r="K2166">
        <v>1650</v>
      </c>
      <c r="L2166">
        <v>0</v>
      </c>
      <c r="M2166">
        <v>0</v>
      </c>
      <c r="N2166">
        <v>1650</v>
      </c>
    </row>
    <row r="2167" spans="1:14" x14ac:dyDescent="0.25">
      <c r="A2167">
        <v>1552.376303</v>
      </c>
      <c r="B2167" s="1">
        <f>DATE(2014,7,31) + TIME(9,1,52)</f>
        <v>41851.376296296294</v>
      </c>
      <c r="C2167">
        <v>80</v>
      </c>
      <c r="D2167">
        <v>79.970962524000001</v>
      </c>
      <c r="E2167">
        <v>40</v>
      </c>
      <c r="F2167">
        <v>44.655803679999998</v>
      </c>
      <c r="G2167">
        <v>1337.418457</v>
      </c>
      <c r="H2167">
        <v>1335.6628418</v>
      </c>
      <c r="I2167">
        <v>1327.1586914</v>
      </c>
      <c r="J2167">
        <v>1325.4575195</v>
      </c>
      <c r="K2167">
        <v>1650</v>
      </c>
      <c r="L2167">
        <v>0</v>
      </c>
      <c r="M2167">
        <v>0</v>
      </c>
      <c r="N2167">
        <v>1650</v>
      </c>
    </row>
    <row r="2168" spans="1:14" x14ac:dyDescent="0.25">
      <c r="A2168">
        <v>1553</v>
      </c>
      <c r="B2168" s="1">
        <f>DATE(2014,8,1) + TIME(0,0,0)</f>
        <v>41852</v>
      </c>
      <c r="C2168">
        <v>80</v>
      </c>
      <c r="D2168">
        <v>79.970947265999996</v>
      </c>
      <c r="E2168">
        <v>40</v>
      </c>
      <c r="F2168">
        <v>44.957687378000003</v>
      </c>
      <c r="G2168">
        <v>1337.4154053</v>
      </c>
      <c r="H2168">
        <v>1335.6619873</v>
      </c>
      <c r="I2168">
        <v>1327.1649170000001</v>
      </c>
      <c r="J2168">
        <v>1325.4597168</v>
      </c>
      <c r="K2168">
        <v>1650</v>
      </c>
      <c r="L2168">
        <v>0</v>
      </c>
      <c r="M2168">
        <v>0</v>
      </c>
      <c r="N2168">
        <v>1650</v>
      </c>
    </row>
    <row r="2169" spans="1:14" x14ac:dyDescent="0.25">
      <c r="A2169">
        <v>1554.6889920000001</v>
      </c>
      <c r="B2169" s="1">
        <f>DATE(2014,8,2) + TIME(16,32,8)</f>
        <v>41853.688981481479</v>
      </c>
      <c r="C2169">
        <v>80</v>
      </c>
      <c r="D2169">
        <v>79.970947265999996</v>
      </c>
      <c r="E2169">
        <v>40</v>
      </c>
      <c r="F2169">
        <v>45.392532349</v>
      </c>
      <c r="G2169">
        <v>1337.4141846</v>
      </c>
      <c r="H2169">
        <v>1335.6617432</v>
      </c>
      <c r="I2169">
        <v>1327.1628418</v>
      </c>
      <c r="J2169">
        <v>1325.4613036999999</v>
      </c>
      <c r="K2169">
        <v>1650</v>
      </c>
      <c r="L2169">
        <v>0</v>
      </c>
      <c r="M2169">
        <v>0</v>
      </c>
      <c r="N2169">
        <v>1650</v>
      </c>
    </row>
    <row r="2170" spans="1:14" x14ac:dyDescent="0.25">
      <c r="A2170">
        <v>1556.440746</v>
      </c>
      <c r="B2170" s="1">
        <f>DATE(2014,8,4) + TIME(10,34,40)</f>
        <v>41855.440740740742</v>
      </c>
      <c r="C2170">
        <v>80</v>
      </c>
      <c r="D2170">
        <v>79.970947265999996</v>
      </c>
      <c r="E2170">
        <v>40</v>
      </c>
      <c r="F2170">
        <v>45.911632537999999</v>
      </c>
      <c r="G2170">
        <v>1337.4111327999999</v>
      </c>
      <c r="H2170">
        <v>1335.6607666</v>
      </c>
      <c r="I2170">
        <v>1327.1665039</v>
      </c>
      <c r="J2170">
        <v>1325.4636230000001</v>
      </c>
      <c r="K2170">
        <v>1650</v>
      </c>
      <c r="L2170">
        <v>0</v>
      </c>
      <c r="M2170">
        <v>0</v>
      </c>
      <c r="N2170">
        <v>1650</v>
      </c>
    </row>
    <row r="2171" spans="1:14" x14ac:dyDescent="0.25">
      <c r="A2171">
        <v>1558.1941999999999</v>
      </c>
      <c r="B2171" s="1">
        <f>DATE(2014,8,6) + TIME(4,39,38)</f>
        <v>41857.194189814814</v>
      </c>
      <c r="C2171">
        <v>80</v>
      </c>
      <c r="D2171">
        <v>79.970939635999997</v>
      </c>
      <c r="E2171">
        <v>40</v>
      </c>
      <c r="F2171">
        <v>46.483108520999998</v>
      </c>
      <c r="G2171">
        <v>1337.4079589999999</v>
      </c>
      <c r="H2171">
        <v>1335.6599120999999</v>
      </c>
      <c r="I2171">
        <v>1327.1706543</v>
      </c>
      <c r="J2171">
        <v>1325.4672852000001</v>
      </c>
      <c r="K2171">
        <v>1650</v>
      </c>
      <c r="L2171">
        <v>0</v>
      </c>
      <c r="M2171">
        <v>0</v>
      </c>
      <c r="N2171">
        <v>1650</v>
      </c>
    </row>
    <row r="2172" spans="1:14" x14ac:dyDescent="0.25">
      <c r="A2172">
        <v>1559.9801150000001</v>
      </c>
      <c r="B2172" s="1">
        <f>DATE(2014,8,7) + TIME(23,31,21)</f>
        <v>41858.980104166665</v>
      </c>
      <c r="C2172">
        <v>80</v>
      </c>
      <c r="D2172">
        <v>79.970932007000002</v>
      </c>
      <c r="E2172">
        <v>40</v>
      </c>
      <c r="F2172">
        <v>47.089740753000001</v>
      </c>
      <c r="G2172">
        <v>1337.4049072</v>
      </c>
      <c r="H2172">
        <v>1335.6589355000001</v>
      </c>
      <c r="I2172">
        <v>1327.1750488</v>
      </c>
      <c r="J2172">
        <v>1325.4720459</v>
      </c>
      <c r="K2172">
        <v>1650</v>
      </c>
      <c r="L2172">
        <v>0</v>
      </c>
      <c r="M2172">
        <v>0</v>
      </c>
      <c r="N2172">
        <v>1650</v>
      </c>
    </row>
    <row r="2173" spans="1:14" x14ac:dyDescent="0.25">
      <c r="A2173">
        <v>1561.838855</v>
      </c>
      <c r="B2173" s="1">
        <f>DATE(2014,8,9) + TIME(20,7,57)</f>
        <v>41860.838854166665</v>
      </c>
      <c r="C2173">
        <v>80</v>
      </c>
      <c r="D2173">
        <v>79.970932007000002</v>
      </c>
      <c r="E2173">
        <v>40</v>
      </c>
      <c r="F2173">
        <v>47.729240417</v>
      </c>
      <c r="G2173">
        <v>1337.4018555</v>
      </c>
      <c r="H2173">
        <v>1335.6580810999999</v>
      </c>
      <c r="I2173">
        <v>1327.1795654</v>
      </c>
      <c r="J2173">
        <v>1325.4775391000001</v>
      </c>
      <c r="K2173">
        <v>1650</v>
      </c>
      <c r="L2173">
        <v>0</v>
      </c>
      <c r="M2173">
        <v>0</v>
      </c>
      <c r="N2173">
        <v>1650</v>
      </c>
    </row>
    <row r="2174" spans="1:14" x14ac:dyDescent="0.25">
      <c r="A2174">
        <v>1563.782788</v>
      </c>
      <c r="B2174" s="1">
        <f>DATE(2014,8,11) + TIME(18,47,12)</f>
        <v>41862.782777777778</v>
      </c>
      <c r="C2174">
        <v>80</v>
      </c>
      <c r="D2174">
        <v>79.970924377000003</v>
      </c>
      <c r="E2174">
        <v>40</v>
      </c>
      <c r="F2174">
        <v>48.401432036999999</v>
      </c>
      <c r="G2174">
        <v>1337.3986815999999</v>
      </c>
      <c r="H2174">
        <v>1335.6571045000001</v>
      </c>
      <c r="I2174">
        <v>1327.1846923999999</v>
      </c>
      <c r="J2174">
        <v>1325.4837646000001</v>
      </c>
      <c r="K2174">
        <v>1650</v>
      </c>
      <c r="L2174">
        <v>0</v>
      </c>
      <c r="M2174">
        <v>0</v>
      </c>
      <c r="N2174">
        <v>1650</v>
      </c>
    </row>
    <row r="2175" spans="1:14" x14ac:dyDescent="0.25">
      <c r="A2175">
        <v>1565.801207</v>
      </c>
      <c r="B2175" s="1">
        <f>DATE(2014,8,13) + TIME(19,13,44)</f>
        <v>41864.801203703704</v>
      </c>
      <c r="C2175">
        <v>80</v>
      </c>
      <c r="D2175">
        <v>79.970924377000003</v>
      </c>
      <c r="E2175">
        <v>40</v>
      </c>
      <c r="F2175">
        <v>49.101249695</v>
      </c>
      <c r="G2175">
        <v>1337.3955077999999</v>
      </c>
      <c r="H2175">
        <v>1335.6561279</v>
      </c>
      <c r="I2175">
        <v>1327.1903076000001</v>
      </c>
      <c r="J2175">
        <v>1325.4909668</v>
      </c>
      <c r="K2175">
        <v>1650</v>
      </c>
      <c r="L2175">
        <v>0</v>
      </c>
      <c r="M2175">
        <v>0</v>
      </c>
      <c r="N2175">
        <v>1650</v>
      </c>
    </row>
    <row r="2176" spans="1:14" x14ac:dyDescent="0.25">
      <c r="A2176">
        <v>1567.923368</v>
      </c>
      <c r="B2176" s="1">
        <f>DATE(2014,8,15) + TIME(22,9,38)</f>
        <v>41866.923356481479</v>
      </c>
      <c r="C2176">
        <v>80</v>
      </c>
      <c r="D2176">
        <v>79.970924377000003</v>
      </c>
      <c r="E2176">
        <v>40</v>
      </c>
      <c r="F2176">
        <v>49.822860718000001</v>
      </c>
      <c r="G2176">
        <v>1337.3923339999999</v>
      </c>
      <c r="H2176">
        <v>1335.6551514</v>
      </c>
      <c r="I2176">
        <v>1327.1962891000001</v>
      </c>
      <c r="J2176">
        <v>1325.4987793</v>
      </c>
      <c r="K2176">
        <v>1650</v>
      </c>
      <c r="L2176">
        <v>0</v>
      </c>
      <c r="M2176">
        <v>0</v>
      </c>
      <c r="N2176">
        <v>1650</v>
      </c>
    </row>
    <row r="2177" spans="1:14" x14ac:dyDescent="0.25">
      <c r="A2177">
        <v>1570.139508</v>
      </c>
      <c r="B2177" s="1">
        <f>DATE(2014,8,18) + TIME(3,20,53)</f>
        <v>41869.139502314814</v>
      </c>
      <c r="C2177">
        <v>80</v>
      </c>
      <c r="D2177">
        <v>79.970916747999993</v>
      </c>
      <c r="E2177">
        <v>40</v>
      </c>
      <c r="F2177">
        <v>50.562637328999998</v>
      </c>
      <c r="G2177">
        <v>1337.3890381000001</v>
      </c>
      <c r="H2177">
        <v>1335.6541748</v>
      </c>
      <c r="I2177">
        <v>1327.2028809000001</v>
      </c>
      <c r="J2177">
        <v>1325.5075684000001</v>
      </c>
      <c r="K2177">
        <v>1650</v>
      </c>
      <c r="L2177">
        <v>0</v>
      </c>
      <c r="M2177">
        <v>0</v>
      </c>
      <c r="N2177">
        <v>1650</v>
      </c>
    </row>
    <row r="2178" spans="1:14" x14ac:dyDescent="0.25">
      <c r="A2178">
        <v>1572.4128479999999</v>
      </c>
      <c r="B2178" s="1">
        <f>DATE(2014,8,20) + TIME(9,54,30)</f>
        <v>41871.412847222222</v>
      </c>
      <c r="C2178">
        <v>80</v>
      </c>
      <c r="D2178">
        <v>79.970916747999993</v>
      </c>
      <c r="E2178">
        <v>40</v>
      </c>
      <c r="F2178">
        <v>51.310329437</v>
      </c>
      <c r="G2178">
        <v>1337.3857422000001</v>
      </c>
      <c r="H2178">
        <v>1335.6531981999999</v>
      </c>
      <c r="I2178">
        <v>1327.2102050999999</v>
      </c>
      <c r="J2178">
        <v>1325.5169678</v>
      </c>
      <c r="K2178">
        <v>1650</v>
      </c>
      <c r="L2178">
        <v>0</v>
      </c>
      <c r="M2178">
        <v>0</v>
      </c>
      <c r="N2178">
        <v>1650</v>
      </c>
    </row>
    <row r="2179" spans="1:14" x14ac:dyDescent="0.25">
      <c r="A2179">
        <v>1574.806638</v>
      </c>
      <c r="B2179" s="1">
        <f>DATE(2014,8,22) + TIME(19,21,33)</f>
        <v>41873.806631944448</v>
      </c>
      <c r="C2179">
        <v>80</v>
      </c>
      <c r="D2179">
        <v>79.970916747999993</v>
      </c>
      <c r="E2179">
        <v>40</v>
      </c>
      <c r="F2179">
        <v>52.058544159</v>
      </c>
      <c r="G2179">
        <v>1337.3823242000001</v>
      </c>
      <c r="H2179">
        <v>1335.6520995999999</v>
      </c>
      <c r="I2179">
        <v>1327.2177733999999</v>
      </c>
      <c r="J2179">
        <v>1325.5272216999999</v>
      </c>
      <c r="K2179">
        <v>1650</v>
      </c>
      <c r="L2179">
        <v>0</v>
      </c>
      <c r="M2179">
        <v>0</v>
      </c>
      <c r="N2179">
        <v>1650</v>
      </c>
    </row>
    <row r="2180" spans="1:14" x14ac:dyDescent="0.25">
      <c r="A2180">
        <v>1577.3039120000001</v>
      </c>
      <c r="B2180" s="1">
        <f>DATE(2014,8,25) + TIME(7,17,38)</f>
        <v>41876.303912037038</v>
      </c>
      <c r="C2180">
        <v>80</v>
      </c>
      <c r="D2180">
        <v>79.970924377000003</v>
      </c>
      <c r="E2180">
        <v>40</v>
      </c>
      <c r="F2180">
        <v>52.803016663000001</v>
      </c>
      <c r="G2180">
        <v>1337.3790283000001</v>
      </c>
      <c r="H2180">
        <v>1335.6511230000001</v>
      </c>
      <c r="I2180">
        <v>1327.2260742000001</v>
      </c>
      <c r="J2180">
        <v>1325.5380858999999</v>
      </c>
      <c r="K2180">
        <v>1650</v>
      </c>
      <c r="L2180">
        <v>0</v>
      </c>
      <c r="M2180">
        <v>0</v>
      </c>
      <c r="N2180">
        <v>1650</v>
      </c>
    </row>
    <row r="2181" spans="1:14" x14ac:dyDescent="0.25">
      <c r="A2181">
        <v>1579.851584</v>
      </c>
      <c r="B2181" s="1">
        <f>DATE(2014,8,27) + TIME(20,26,16)</f>
        <v>41878.851574074077</v>
      </c>
      <c r="C2181">
        <v>80</v>
      </c>
      <c r="D2181">
        <v>79.970924377000003</v>
      </c>
      <c r="E2181">
        <v>40</v>
      </c>
      <c r="F2181">
        <v>53.534286498999997</v>
      </c>
      <c r="G2181">
        <v>1337.3756103999999</v>
      </c>
      <c r="H2181">
        <v>1335.6500243999999</v>
      </c>
      <c r="I2181">
        <v>1327.2351074000001</v>
      </c>
      <c r="J2181">
        <v>1325.5495605000001</v>
      </c>
      <c r="K2181">
        <v>1650</v>
      </c>
      <c r="L2181">
        <v>0</v>
      </c>
      <c r="M2181">
        <v>0</v>
      </c>
      <c r="N2181">
        <v>1650</v>
      </c>
    </row>
    <row r="2182" spans="1:14" x14ac:dyDescent="0.25">
      <c r="A2182">
        <v>1582.4717350000001</v>
      </c>
      <c r="B2182" s="1">
        <f>DATE(2014,8,30) + TIME(11,19,17)</f>
        <v>41881.471724537034</v>
      </c>
      <c r="C2182">
        <v>80</v>
      </c>
      <c r="D2182">
        <v>79.970924377000003</v>
      </c>
      <c r="E2182">
        <v>40</v>
      </c>
      <c r="F2182">
        <v>54.244640349999997</v>
      </c>
      <c r="G2182">
        <v>1337.3721923999999</v>
      </c>
      <c r="H2182">
        <v>1335.6490478999999</v>
      </c>
      <c r="I2182">
        <v>1327.2445068</v>
      </c>
      <c r="J2182">
        <v>1325.5618896000001</v>
      </c>
      <c r="K2182">
        <v>1650</v>
      </c>
      <c r="L2182">
        <v>0</v>
      </c>
      <c r="M2182">
        <v>0</v>
      </c>
      <c r="N2182">
        <v>1650</v>
      </c>
    </row>
    <row r="2183" spans="1:14" x14ac:dyDescent="0.25">
      <c r="A2183">
        <v>1584</v>
      </c>
      <c r="B2183" s="1">
        <f>DATE(2014,9,1) + TIME(0,0,0)</f>
        <v>41883</v>
      </c>
      <c r="C2183">
        <v>80</v>
      </c>
      <c r="D2183">
        <v>79.970916747999993</v>
      </c>
      <c r="E2183">
        <v>40</v>
      </c>
      <c r="F2183">
        <v>54.828159331999998</v>
      </c>
      <c r="G2183">
        <v>1337.3688964999999</v>
      </c>
      <c r="H2183">
        <v>1335.6479492000001</v>
      </c>
      <c r="I2183">
        <v>1327.2559814000001</v>
      </c>
      <c r="J2183">
        <v>1325.574707</v>
      </c>
      <c r="K2183">
        <v>1650</v>
      </c>
      <c r="L2183">
        <v>0</v>
      </c>
      <c r="M2183">
        <v>0</v>
      </c>
      <c r="N2183">
        <v>1650</v>
      </c>
    </row>
    <row r="2184" spans="1:14" x14ac:dyDescent="0.25">
      <c r="A2184">
        <v>1586.724508</v>
      </c>
      <c r="B2184" s="1">
        <f>DATE(2014,9,3) + TIME(17,23,17)</f>
        <v>41885.724502314813</v>
      </c>
      <c r="C2184">
        <v>80</v>
      </c>
      <c r="D2184">
        <v>79.970932007000002</v>
      </c>
      <c r="E2184">
        <v>40</v>
      </c>
      <c r="F2184">
        <v>55.365806579999997</v>
      </c>
      <c r="G2184">
        <v>1337.3669434000001</v>
      </c>
      <c r="H2184">
        <v>1335.6474608999999</v>
      </c>
      <c r="I2184">
        <v>1327.2612305</v>
      </c>
      <c r="J2184">
        <v>1325.5854492000001</v>
      </c>
      <c r="K2184">
        <v>1650</v>
      </c>
      <c r="L2184">
        <v>0</v>
      </c>
      <c r="M2184">
        <v>0</v>
      </c>
      <c r="N2184">
        <v>1650</v>
      </c>
    </row>
    <row r="2185" spans="1:14" x14ac:dyDescent="0.25">
      <c r="A2185">
        <v>1589.62444</v>
      </c>
      <c r="B2185" s="1">
        <f>DATE(2014,9,6) + TIME(14,59,11)</f>
        <v>41888.624432870369</v>
      </c>
      <c r="C2185">
        <v>80</v>
      </c>
      <c r="D2185">
        <v>79.970947265999996</v>
      </c>
      <c r="E2185">
        <v>40</v>
      </c>
      <c r="F2185">
        <v>55.995262146000002</v>
      </c>
      <c r="G2185">
        <v>1337.3636475000001</v>
      </c>
      <c r="H2185">
        <v>1335.6463623</v>
      </c>
      <c r="I2185">
        <v>1327.2709961</v>
      </c>
      <c r="J2185">
        <v>1325.5963135</v>
      </c>
      <c r="K2185">
        <v>1650</v>
      </c>
      <c r="L2185">
        <v>0</v>
      </c>
      <c r="M2185">
        <v>0</v>
      </c>
      <c r="N2185">
        <v>1650</v>
      </c>
    </row>
    <row r="2186" spans="1:14" x14ac:dyDescent="0.25">
      <c r="A2186">
        <v>1592.5893619999999</v>
      </c>
      <c r="B2186" s="1">
        <f>DATE(2014,9,9) + TIME(14,8,40)</f>
        <v>41891.58935185185</v>
      </c>
      <c r="C2186">
        <v>80</v>
      </c>
      <c r="D2186">
        <v>79.970954895000006</v>
      </c>
      <c r="E2186">
        <v>40</v>
      </c>
      <c r="F2186">
        <v>56.641155243</v>
      </c>
      <c r="G2186">
        <v>1337.3602295000001</v>
      </c>
      <c r="H2186">
        <v>1335.6453856999999</v>
      </c>
      <c r="I2186">
        <v>1327.2818603999999</v>
      </c>
      <c r="J2186">
        <v>1325.6097411999999</v>
      </c>
      <c r="K2186">
        <v>1650</v>
      </c>
      <c r="L2186">
        <v>0</v>
      </c>
      <c r="M2186">
        <v>0</v>
      </c>
      <c r="N2186">
        <v>1650</v>
      </c>
    </row>
    <row r="2187" spans="1:14" x14ac:dyDescent="0.25">
      <c r="A2187">
        <v>1595.6620290000001</v>
      </c>
      <c r="B2187" s="1">
        <f>DATE(2014,9,12) + TIME(15,53,19)</f>
        <v>41894.66202546296</v>
      </c>
      <c r="C2187">
        <v>80</v>
      </c>
      <c r="D2187">
        <v>79.970962524000001</v>
      </c>
      <c r="E2187">
        <v>40</v>
      </c>
      <c r="F2187">
        <v>57.273670197000001</v>
      </c>
      <c r="G2187">
        <v>1337.3569336</v>
      </c>
      <c r="H2187">
        <v>1335.6444091999999</v>
      </c>
      <c r="I2187">
        <v>1327.2933350000001</v>
      </c>
      <c r="J2187">
        <v>1325.6239014</v>
      </c>
      <c r="K2187">
        <v>1650</v>
      </c>
      <c r="L2187">
        <v>0</v>
      </c>
      <c r="M2187">
        <v>0</v>
      </c>
      <c r="N2187">
        <v>1650</v>
      </c>
    </row>
    <row r="2188" spans="1:14" x14ac:dyDescent="0.25">
      <c r="A2188">
        <v>1598.892912</v>
      </c>
      <c r="B2188" s="1">
        <f>DATE(2014,9,15) + TIME(21,25,47)</f>
        <v>41897.892905092594</v>
      </c>
      <c r="C2188">
        <v>80</v>
      </c>
      <c r="D2188">
        <v>79.970970154</v>
      </c>
      <c r="E2188">
        <v>40</v>
      </c>
      <c r="F2188">
        <v>57.890785217000001</v>
      </c>
      <c r="G2188">
        <v>1337.3535156</v>
      </c>
      <c r="H2188">
        <v>1335.6433105000001</v>
      </c>
      <c r="I2188">
        <v>1327.3049315999999</v>
      </c>
      <c r="J2188">
        <v>1325.6384277</v>
      </c>
      <c r="K2188">
        <v>1650</v>
      </c>
      <c r="L2188">
        <v>0</v>
      </c>
      <c r="M2188">
        <v>0</v>
      </c>
      <c r="N2188">
        <v>1650</v>
      </c>
    </row>
    <row r="2189" spans="1:14" x14ac:dyDescent="0.25">
      <c r="A2189">
        <v>1602.1871619999999</v>
      </c>
      <c r="B2189" s="1">
        <f>DATE(2014,9,19) + TIME(4,29,30)</f>
        <v>41901.187152777777</v>
      </c>
      <c r="C2189">
        <v>80</v>
      </c>
      <c r="D2189">
        <v>79.970985412999994</v>
      </c>
      <c r="E2189">
        <v>40</v>
      </c>
      <c r="F2189">
        <v>58.493377686000002</v>
      </c>
      <c r="G2189">
        <v>1337.3502197</v>
      </c>
      <c r="H2189">
        <v>1335.6423339999999</v>
      </c>
      <c r="I2189">
        <v>1327.3170166</v>
      </c>
      <c r="J2189">
        <v>1325.6531981999999</v>
      </c>
      <c r="K2189">
        <v>1650</v>
      </c>
      <c r="L2189">
        <v>0</v>
      </c>
      <c r="M2189">
        <v>0</v>
      </c>
      <c r="N2189">
        <v>1650</v>
      </c>
    </row>
    <row r="2190" spans="1:14" x14ac:dyDescent="0.25">
      <c r="A2190">
        <v>1605.5636959999999</v>
      </c>
      <c r="B2190" s="1">
        <f>DATE(2014,9,22) + TIME(13,31,43)</f>
        <v>41904.563692129632</v>
      </c>
      <c r="C2190">
        <v>80</v>
      </c>
      <c r="D2190">
        <v>79.971000670999999</v>
      </c>
      <c r="E2190">
        <v>40</v>
      </c>
      <c r="F2190">
        <v>59.072505950999997</v>
      </c>
      <c r="G2190">
        <v>1337.3469238</v>
      </c>
      <c r="H2190">
        <v>1335.6413574000001</v>
      </c>
      <c r="I2190">
        <v>1327.3291016000001</v>
      </c>
      <c r="J2190">
        <v>1325.6680908000001</v>
      </c>
      <c r="K2190">
        <v>1650</v>
      </c>
      <c r="L2190">
        <v>0</v>
      </c>
      <c r="M2190">
        <v>0</v>
      </c>
      <c r="N2190">
        <v>1650</v>
      </c>
    </row>
    <row r="2191" spans="1:14" x14ac:dyDescent="0.25">
      <c r="A2191">
        <v>1609.0531470000001</v>
      </c>
      <c r="B2191" s="1">
        <f>DATE(2014,9,26) + TIME(1,16,31)</f>
        <v>41908.053136574075</v>
      </c>
      <c r="C2191">
        <v>80</v>
      </c>
      <c r="D2191">
        <v>79.971015929999993</v>
      </c>
      <c r="E2191">
        <v>40</v>
      </c>
      <c r="F2191">
        <v>59.628677367999998</v>
      </c>
      <c r="G2191">
        <v>1337.3436279</v>
      </c>
      <c r="H2191">
        <v>1335.6405029</v>
      </c>
      <c r="I2191">
        <v>1327.3413086</v>
      </c>
      <c r="J2191">
        <v>1325.6828613</v>
      </c>
      <c r="K2191">
        <v>1650</v>
      </c>
      <c r="L2191">
        <v>0</v>
      </c>
      <c r="M2191">
        <v>0</v>
      </c>
      <c r="N2191">
        <v>1650</v>
      </c>
    </row>
    <row r="2192" spans="1:14" x14ac:dyDescent="0.25">
      <c r="A2192">
        <v>1612.5572999999999</v>
      </c>
      <c r="B2192" s="1">
        <f>DATE(2014,9,29) + TIME(13,22,30)</f>
        <v>41911.557291666664</v>
      </c>
      <c r="C2192">
        <v>80</v>
      </c>
      <c r="D2192">
        <v>79.971031189000001</v>
      </c>
      <c r="E2192">
        <v>40</v>
      </c>
      <c r="F2192">
        <v>60.159008026000002</v>
      </c>
      <c r="G2192">
        <v>1337.3404541</v>
      </c>
      <c r="H2192">
        <v>1335.6395264</v>
      </c>
      <c r="I2192">
        <v>1327.3535156</v>
      </c>
      <c r="J2192">
        <v>1325.6975098</v>
      </c>
      <c r="K2192">
        <v>1650</v>
      </c>
      <c r="L2192">
        <v>0</v>
      </c>
      <c r="M2192">
        <v>0</v>
      </c>
      <c r="N2192">
        <v>1650</v>
      </c>
    </row>
    <row r="2193" spans="1:14" x14ac:dyDescent="0.25">
      <c r="A2193">
        <v>1614</v>
      </c>
      <c r="B2193" s="1">
        <f>DATE(2014,10,1) + TIME(0,0,0)</f>
        <v>41913</v>
      </c>
      <c r="C2193">
        <v>80</v>
      </c>
      <c r="D2193">
        <v>79.971023560000006</v>
      </c>
      <c r="E2193">
        <v>40</v>
      </c>
      <c r="F2193">
        <v>60.551189422999997</v>
      </c>
      <c r="G2193">
        <v>1337.3374022999999</v>
      </c>
      <c r="H2193">
        <v>1335.6386719</v>
      </c>
      <c r="I2193">
        <v>1327.3670654</v>
      </c>
      <c r="J2193">
        <v>1325.7120361</v>
      </c>
      <c r="K2193">
        <v>1650</v>
      </c>
      <c r="L2193">
        <v>0</v>
      </c>
      <c r="M2193">
        <v>0</v>
      </c>
      <c r="N2193">
        <v>1650</v>
      </c>
    </row>
    <row r="2194" spans="1:14" x14ac:dyDescent="0.25">
      <c r="A2194">
        <v>1617.5486149999999</v>
      </c>
      <c r="B2194" s="1">
        <f>DATE(2014,10,4) + TIME(13,10,0)</f>
        <v>41916.548611111109</v>
      </c>
      <c r="C2194">
        <v>80</v>
      </c>
      <c r="D2194">
        <v>79.971054077000005</v>
      </c>
      <c r="E2194">
        <v>40</v>
      </c>
      <c r="F2194">
        <v>60.885620117000002</v>
      </c>
      <c r="G2194">
        <v>1337.3361815999999</v>
      </c>
      <c r="H2194">
        <v>1335.6383057</v>
      </c>
      <c r="I2194">
        <v>1327.3723144999999</v>
      </c>
      <c r="J2194">
        <v>1325.7224120999999</v>
      </c>
      <c r="K2194">
        <v>1650</v>
      </c>
      <c r="L2194">
        <v>0</v>
      </c>
      <c r="M2194">
        <v>0</v>
      </c>
      <c r="N2194">
        <v>1650</v>
      </c>
    </row>
    <row r="2195" spans="1:14" x14ac:dyDescent="0.25">
      <c r="A2195">
        <v>1621.2476369999999</v>
      </c>
      <c r="B2195" s="1">
        <f>DATE(2014,10,8) + TIME(5,56,35)</f>
        <v>41920.247627314813</v>
      </c>
      <c r="C2195">
        <v>80</v>
      </c>
      <c r="D2195">
        <v>79.971076964999995</v>
      </c>
      <c r="E2195">
        <v>40</v>
      </c>
      <c r="F2195">
        <v>61.317306518999999</v>
      </c>
      <c r="G2195">
        <v>1337.3331298999999</v>
      </c>
      <c r="H2195">
        <v>1335.6374512</v>
      </c>
      <c r="I2195">
        <v>1327.3823242000001</v>
      </c>
      <c r="J2195">
        <v>1325.7320557</v>
      </c>
      <c r="K2195">
        <v>1650</v>
      </c>
      <c r="L2195">
        <v>0</v>
      </c>
      <c r="M2195">
        <v>0</v>
      </c>
      <c r="N2195">
        <v>1650</v>
      </c>
    </row>
    <row r="2196" spans="1:14" x14ac:dyDescent="0.25">
      <c r="A2196">
        <v>1625.0766599999999</v>
      </c>
      <c r="B2196" s="1">
        <f>DATE(2014,10,12) + TIME(1,50,23)</f>
        <v>41924.076655092591</v>
      </c>
      <c r="C2196">
        <v>80</v>
      </c>
      <c r="D2196">
        <v>79.971092224000003</v>
      </c>
      <c r="E2196">
        <v>40</v>
      </c>
      <c r="F2196">
        <v>61.750442505000002</v>
      </c>
      <c r="G2196">
        <v>1337.3302002</v>
      </c>
      <c r="H2196">
        <v>1335.6365966999999</v>
      </c>
      <c r="I2196">
        <v>1327.3937988</v>
      </c>
      <c r="J2196">
        <v>1325.7448730000001</v>
      </c>
      <c r="K2196">
        <v>1650</v>
      </c>
      <c r="L2196">
        <v>0</v>
      </c>
      <c r="M2196">
        <v>0</v>
      </c>
      <c r="N2196">
        <v>1650</v>
      </c>
    </row>
    <row r="2197" spans="1:14" x14ac:dyDescent="0.25">
      <c r="A2197">
        <v>1629.0579090000001</v>
      </c>
      <c r="B2197" s="1">
        <f>DATE(2014,10,16) + TIME(1,23,23)</f>
        <v>41928.057905092595</v>
      </c>
      <c r="C2197">
        <v>80</v>
      </c>
      <c r="D2197">
        <v>79.971115112000007</v>
      </c>
      <c r="E2197">
        <v>40</v>
      </c>
      <c r="F2197">
        <v>62.176292418999999</v>
      </c>
      <c r="G2197">
        <v>1337.3271483999999</v>
      </c>
      <c r="H2197">
        <v>1335.6358643000001</v>
      </c>
      <c r="I2197">
        <v>1327.4053954999999</v>
      </c>
      <c r="J2197">
        <v>1325.7580565999999</v>
      </c>
      <c r="K2197">
        <v>1650</v>
      </c>
      <c r="L2197">
        <v>0</v>
      </c>
      <c r="M2197">
        <v>0</v>
      </c>
      <c r="N2197">
        <v>1650</v>
      </c>
    </row>
    <row r="2198" spans="1:14" x14ac:dyDescent="0.25">
      <c r="A2198">
        <v>1633.223669</v>
      </c>
      <c r="B2198" s="1">
        <f>DATE(2014,10,20) + TIME(5,22,5)</f>
        <v>41932.223668981482</v>
      </c>
      <c r="C2198">
        <v>80</v>
      </c>
      <c r="D2198">
        <v>79.971145629999995</v>
      </c>
      <c r="E2198">
        <v>40</v>
      </c>
      <c r="F2198">
        <v>62.585830688000001</v>
      </c>
      <c r="G2198">
        <v>1337.3242187999999</v>
      </c>
      <c r="H2198">
        <v>1335.6350098</v>
      </c>
      <c r="I2198">
        <v>1327.4172363</v>
      </c>
      <c r="J2198">
        <v>1325.7713623</v>
      </c>
      <c r="K2198">
        <v>1650</v>
      </c>
      <c r="L2198">
        <v>0</v>
      </c>
      <c r="M2198">
        <v>0</v>
      </c>
      <c r="N2198">
        <v>1650</v>
      </c>
    </row>
    <row r="2199" spans="1:14" x14ac:dyDescent="0.25">
      <c r="A2199">
        <v>1637.5116089999999</v>
      </c>
      <c r="B2199" s="1">
        <f>DATE(2014,10,24) + TIME(12,16,43)</f>
        <v>41936.511608796296</v>
      </c>
      <c r="C2199">
        <v>80</v>
      </c>
      <c r="D2199">
        <v>79.971168517999999</v>
      </c>
      <c r="E2199">
        <v>40</v>
      </c>
      <c r="F2199">
        <v>62.984817505000002</v>
      </c>
      <c r="G2199">
        <v>1337.3212891000001</v>
      </c>
      <c r="H2199">
        <v>1335.6341553</v>
      </c>
      <c r="I2199">
        <v>1327.4290771000001</v>
      </c>
      <c r="J2199">
        <v>1325.784668</v>
      </c>
      <c r="K2199">
        <v>1650</v>
      </c>
      <c r="L2199">
        <v>0</v>
      </c>
      <c r="M2199">
        <v>0</v>
      </c>
      <c r="N2199">
        <v>1650</v>
      </c>
    </row>
    <row r="2200" spans="1:14" x14ac:dyDescent="0.25">
      <c r="A2200">
        <v>1639.7324229999999</v>
      </c>
      <c r="B2200" s="1">
        <f>DATE(2014,10,26) + TIME(17,34,41)</f>
        <v>41938.732418981483</v>
      </c>
      <c r="C2200">
        <v>80</v>
      </c>
      <c r="D2200">
        <v>79.971168517999999</v>
      </c>
      <c r="E2200">
        <v>40</v>
      </c>
      <c r="F2200">
        <v>63.313999176000003</v>
      </c>
      <c r="G2200">
        <v>1337.3183594</v>
      </c>
      <c r="H2200">
        <v>1335.6334228999999</v>
      </c>
      <c r="I2200">
        <v>1327.4417725000001</v>
      </c>
      <c r="J2200">
        <v>1325.7980957</v>
      </c>
      <c r="K2200">
        <v>1650</v>
      </c>
      <c r="L2200">
        <v>0</v>
      </c>
      <c r="M2200">
        <v>0</v>
      </c>
      <c r="N2200">
        <v>1650</v>
      </c>
    </row>
    <row r="2201" spans="1:14" x14ac:dyDescent="0.25">
      <c r="A2201">
        <v>1641.9532369999999</v>
      </c>
      <c r="B2201" s="1">
        <f>DATE(2014,10,28) + TIME(22,52,39)</f>
        <v>41940.953229166669</v>
      </c>
      <c r="C2201">
        <v>80</v>
      </c>
      <c r="D2201">
        <v>79.971183776999993</v>
      </c>
      <c r="E2201">
        <v>40</v>
      </c>
      <c r="F2201">
        <v>63.535758971999996</v>
      </c>
      <c r="G2201">
        <v>1337.3168945</v>
      </c>
      <c r="H2201">
        <v>1335.6330565999999</v>
      </c>
      <c r="I2201">
        <v>1327.4493408000001</v>
      </c>
      <c r="J2201">
        <v>1325.8089600000001</v>
      </c>
      <c r="K2201">
        <v>1650</v>
      </c>
      <c r="L2201">
        <v>0</v>
      </c>
      <c r="M2201">
        <v>0</v>
      </c>
      <c r="N2201">
        <v>1650</v>
      </c>
    </row>
    <row r="2202" spans="1:14" x14ac:dyDescent="0.25">
      <c r="A2202">
        <v>1645</v>
      </c>
      <c r="B2202" s="1">
        <f>DATE(2014,11,1) + TIME(0,0,0)</f>
        <v>41944</v>
      </c>
      <c r="C2202">
        <v>80</v>
      </c>
      <c r="D2202">
        <v>79.971206664999997</v>
      </c>
      <c r="E2202">
        <v>40</v>
      </c>
      <c r="F2202">
        <v>63.738601684999999</v>
      </c>
      <c r="G2202">
        <v>1337.3155518000001</v>
      </c>
      <c r="H2202">
        <v>1335.6326904</v>
      </c>
      <c r="I2202">
        <v>1327.4553223</v>
      </c>
      <c r="J2202">
        <v>1325.8164062000001</v>
      </c>
      <c r="K2202">
        <v>1650</v>
      </c>
      <c r="L2202">
        <v>0</v>
      </c>
      <c r="M2202">
        <v>0</v>
      </c>
      <c r="N2202">
        <v>1650</v>
      </c>
    </row>
    <row r="2203" spans="1:14" x14ac:dyDescent="0.25">
      <c r="A2203">
        <v>1645.0000010000001</v>
      </c>
      <c r="B2203" s="1">
        <f>DATE(2014,11,1) + TIME(0,0,0)</f>
        <v>41944</v>
      </c>
      <c r="C2203">
        <v>80</v>
      </c>
      <c r="D2203">
        <v>79.971137999999996</v>
      </c>
      <c r="E2203">
        <v>40</v>
      </c>
      <c r="F2203">
        <v>63.738658905000001</v>
      </c>
      <c r="G2203">
        <v>1335.1566161999999</v>
      </c>
      <c r="H2203">
        <v>1334.7860106999999</v>
      </c>
      <c r="I2203">
        <v>1329.7025146000001</v>
      </c>
      <c r="J2203">
        <v>1328.1057129000001</v>
      </c>
      <c r="K2203">
        <v>0</v>
      </c>
      <c r="L2203">
        <v>1650</v>
      </c>
      <c r="M2203">
        <v>1650</v>
      </c>
      <c r="N2203">
        <v>0</v>
      </c>
    </row>
    <row r="2204" spans="1:14" x14ac:dyDescent="0.25">
      <c r="A2204">
        <v>1645.000004</v>
      </c>
      <c r="B2204" s="1">
        <f>DATE(2014,11,1) + TIME(0,0,0)</f>
        <v>41944</v>
      </c>
      <c r="C2204">
        <v>80</v>
      </c>
      <c r="D2204">
        <v>79.971046447999996</v>
      </c>
      <c r="E2204">
        <v>40</v>
      </c>
      <c r="F2204">
        <v>63.738693237</v>
      </c>
      <c r="G2204">
        <v>1334.5242920000001</v>
      </c>
      <c r="H2204">
        <v>1334.1546631000001</v>
      </c>
      <c r="I2204">
        <v>1330.5223389</v>
      </c>
      <c r="J2204">
        <v>1329.0041504000001</v>
      </c>
      <c r="K2204">
        <v>0</v>
      </c>
      <c r="L2204">
        <v>1650</v>
      </c>
      <c r="M2204">
        <v>1650</v>
      </c>
      <c r="N2204">
        <v>0</v>
      </c>
    </row>
    <row r="2205" spans="1:14" x14ac:dyDescent="0.25">
      <c r="A2205">
        <v>1645.0000130000001</v>
      </c>
      <c r="B2205" s="1">
        <f>DATE(2014,11,1) + TIME(0,0,1)</f>
        <v>41944.000011574077</v>
      </c>
      <c r="C2205">
        <v>80</v>
      </c>
      <c r="D2205">
        <v>79.970954895000006</v>
      </c>
      <c r="E2205">
        <v>40</v>
      </c>
      <c r="F2205">
        <v>63.738571167000003</v>
      </c>
      <c r="G2205">
        <v>1333.8651123</v>
      </c>
      <c r="H2205">
        <v>1333.4683838000001</v>
      </c>
      <c r="I2205">
        <v>1331.5166016000001</v>
      </c>
      <c r="J2205">
        <v>1329.9832764</v>
      </c>
      <c r="K2205">
        <v>0</v>
      </c>
      <c r="L2205">
        <v>1650</v>
      </c>
      <c r="M2205">
        <v>1650</v>
      </c>
      <c r="N2205">
        <v>0</v>
      </c>
    </row>
    <row r="2206" spans="1:14" x14ac:dyDescent="0.25">
      <c r="A2206">
        <v>1645.0000399999999</v>
      </c>
      <c r="B2206" s="1">
        <f>DATE(2014,11,1) + TIME(0,0,3)</f>
        <v>41944.000034722223</v>
      </c>
      <c r="C2206">
        <v>80</v>
      </c>
      <c r="D2206">
        <v>79.970863342000001</v>
      </c>
      <c r="E2206">
        <v>40</v>
      </c>
      <c r="F2206">
        <v>63.737918854</v>
      </c>
      <c r="G2206">
        <v>1333.2097168</v>
      </c>
      <c r="H2206">
        <v>1332.7764893000001</v>
      </c>
      <c r="I2206">
        <v>1332.5264893000001</v>
      </c>
      <c r="J2206">
        <v>1330.9594727000001</v>
      </c>
      <c r="K2206">
        <v>0</v>
      </c>
      <c r="L2206">
        <v>1650</v>
      </c>
      <c r="M2206">
        <v>1650</v>
      </c>
      <c r="N2206">
        <v>0</v>
      </c>
    </row>
    <row r="2207" spans="1:14" x14ac:dyDescent="0.25">
      <c r="A2207">
        <v>1645.000121</v>
      </c>
      <c r="B2207" s="1">
        <f>DATE(2014,11,1) + TIME(0,0,10)</f>
        <v>41944.000115740739</v>
      </c>
      <c r="C2207">
        <v>80</v>
      </c>
      <c r="D2207">
        <v>79.970756531000006</v>
      </c>
      <c r="E2207">
        <v>40</v>
      </c>
      <c r="F2207">
        <v>63.735649109000001</v>
      </c>
      <c r="G2207">
        <v>1332.5361327999999</v>
      </c>
      <c r="H2207">
        <v>1332.0621338000001</v>
      </c>
      <c r="I2207">
        <v>1333.5207519999999</v>
      </c>
      <c r="J2207">
        <v>1331.9207764</v>
      </c>
      <c r="K2207">
        <v>0</v>
      </c>
      <c r="L2207">
        <v>1650</v>
      </c>
      <c r="M2207">
        <v>1650</v>
      </c>
      <c r="N2207">
        <v>0</v>
      </c>
    </row>
    <row r="2208" spans="1:14" x14ac:dyDescent="0.25">
      <c r="A2208">
        <v>1645.000364</v>
      </c>
      <c r="B2208" s="1">
        <f>DATE(2014,11,1) + TIME(0,0,31)</f>
        <v>41944.000358796293</v>
      </c>
      <c r="C2208">
        <v>80</v>
      </c>
      <c r="D2208">
        <v>79.970642089999998</v>
      </c>
      <c r="E2208">
        <v>40</v>
      </c>
      <c r="F2208">
        <v>63.728393554999997</v>
      </c>
      <c r="G2208">
        <v>1331.8597411999999</v>
      </c>
      <c r="H2208">
        <v>1331.3426514</v>
      </c>
      <c r="I2208">
        <v>1334.4749756000001</v>
      </c>
      <c r="J2208">
        <v>1332.8326416</v>
      </c>
      <c r="K2208">
        <v>0</v>
      </c>
      <c r="L2208">
        <v>1650</v>
      </c>
      <c r="M2208">
        <v>1650</v>
      </c>
      <c r="N2208">
        <v>0</v>
      </c>
    </row>
    <row r="2209" spans="1:14" x14ac:dyDescent="0.25">
      <c r="A2209">
        <v>1645.0010930000001</v>
      </c>
      <c r="B2209" s="1">
        <f>DATE(2014,11,1) + TIME(0,1,34)</f>
        <v>41944.001087962963</v>
      </c>
      <c r="C2209">
        <v>80</v>
      </c>
      <c r="D2209">
        <v>79.970489502000007</v>
      </c>
      <c r="E2209">
        <v>40</v>
      </c>
      <c r="F2209">
        <v>63.705772400000001</v>
      </c>
      <c r="G2209">
        <v>1331.2855225000001</v>
      </c>
      <c r="H2209">
        <v>1330.7315673999999</v>
      </c>
      <c r="I2209">
        <v>1335.2728271000001</v>
      </c>
      <c r="J2209">
        <v>1333.5844727000001</v>
      </c>
      <c r="K2209">
        <v>0</v>
      </c>
      <c r="L2209">
        <v>1650</v>
      </c>
      <c r="M2209">
        <v>1650</v>
      </c>
      <c r="N2209">
        <v>0</v>
      </c>
    </row>
    <row r="2210" spans="1:14" x14ac:dyDescent="0.25">
      <c r="A2210">
        <v>1645.0032799999999</v>
      </c>
      <c r="B2210" s="1">
        <f>DATE(2014,11,1) + TIME(0,4,43)</f>
        <v>41944.003275462965</v>
      </c>
      <c r="C2210">
        <v>80</v>
      </c>
      <c r="D2210">
        <v>79.970237732000001</v>
      </c>
      <c r="E2210">
        <v>40</v>
      </c>
      <c r="F2210">
        <v>63.636741637999997</v>
      </c>
      <c r="G2210">
        <v>1330.9117432</v>
      </c>
      <c r="H2210">
        <v>1330.3386230000001</v>
      </c>
      <c r="I2210">
        <v>1335.7928466999999</v>
      </c>
      <c r="J2210">
        <v>1334.0749512</v>
      </c>
      <c r="K2210">
        <v>0</v>
      </c>
      <c r="L2210">
        <v>1650</v>
      </c>
      <c r="M2210">
        <v>1650</v>
      </c>
      <c r="N2210">
        <v>0</v>
      </c>
    </row>
    <row r="2211" spans="1:14" x14ac:dyDescent="0.25">
      <c r="A2211">
        <v>1645.0098410000001</v>
      </c>
      <c r="B2211" s="1">
        <f>DATE(2014,11,1) + TIME(0,14,10)</f>
        <v>41944.009837962964</v>
      </c>
      <c r="C2211">
        <v>80</v>
      </c>
      <c r="D2211">
        <v>79.969596863000007</v>
      </c>
      <c r="E2211">
        <v>40</v>
      </c>
      <c r="F2211">
        <v>63.430423736999998</v>
      </c>
      <c r="G2211">
        <v>1330.7353516000001</v>
      </c>
      <c r="H2211">
        <v>1330.1567382999999</v>
      </c>
      <c r="I2211">
        <v>1336.0294189000001</v>
      </c>
      <c r="J2211">
        <v>1334.2988281</v>
      </c>
      <c r="K2211">
        <v>0</v>
      </c>
      <c r="L2211">
        <v>1650</v>
      </c>
      <c r="M2211">
        <v>1650</v>
      </c>
      <c r="N2211">
        <v>0</v>
      </c>
    </row>
    <row r="2212" spans="1:14" x14ac:dyDescent="0.25">
      <c r="A2212">
        <v>1645.029524</v>
      </c>
      <c r="B2212" s="1">
        <f>DATE(2014,11,1) + TIME(0,42,30)</f>
        <v>41944.029513888891</v>
      </c>
      <c r="C2212">
        <v>80</v>
      </c>
      <c r="D2212">
        <v>79.967773437999995</v>
      </c>
      <c r="E2212">
        <v>40</v>
      </c>
      <c r="F2212">
        <v>62.830387115000001</v>
      </c>
      <c r="G2212">
        <v>1330.6853027</v>
      </c>
      <c r="H2212">
        <v>1330.1049805</v>
      </c>
      <c r="I2212">
        <v>1336.0842285000001</v>
      </c>
      <c r="J2212">
        <v>1334.347168</v>
      </c>
      <c r="K2212">
        <v>0</v>
      </c>
      <c r="L2212">
        <v>1650</v>
      </c>
      <c r="M2212">
        <v>1650</v>
      </c>
      <c r="N2212">
        <v>0</v>
      </c>
    </row>
    <row r="2213" spans="1:14" x14ac:dyDescent="0.25">
      <c r="A2213">
        <v>1645.0623270000001</v>
      </c>
      <c r="B2213" s="1">
        <f>DATE(2014,11,1) + TIME(1,29,45)</f>
        <v>41944.062326388892</v>
      </c>
      <c r="C2213">
        <v>80</v>
      </c>
      <c r="D2213">
        <v>79.964759826999995</v>
      </c>
      <c r="E2213">
        <v>40</v>
      </c>
      <c r="F2213">
        <v>61.883235931000002</v>
      </c>
      <c r="G2213">
        <v>1330.6759033000001</v>
      </c>
      <c r="H2213">
        <v>1330.09375</v>
      </c>
      <c r="I2213">
        <v>1336.0800781</v>
      </c>
      <c r="J2213">
        <v>1334.3388672000001</v>
      </c>
      <c r="K2213">
        <v>0</v>
      </c>
      <c r="L2213">
        <v>1650</v>
      </c>
      <c r="M2213">
        <v>1650</v>
      </c>
      <c r="N2213">
        <v>0</v>
      </c>
    </row>
    <row r="2214" spans="1:14" x14ac:dyDescent="0.25">
      <c r="A2214">
        <v>1645.0969600000001</v>
      </c>
      <c r="B2214" s="1">
        <f>DATE(2014,11,1) + TIME(2,19,37)</f>
        <v>41944.096956018519</v>
      </c>
      <c r="C2214">
        <v>80</v>
      </c>
      <c r="D2214">
        <v>79.961593628000003</v>
      </c>
      <c r="E2214">
        <v>40</v>
      </c>
      <c r="F2214">
        <v>60.939727783000002</v>
      </c>
      <c r="G2214">
        <v>1330.6705322</v>
      </c>
      <c r="H2214">
        <v>1330.0860596</v>
      </c>
      <c r="I2214">
        <v>1336.0645752</v>
      </c>
      <c r="J2214">
        <v>1334.322876</v>
      </c>
      <c r="K2214">
        <v>0</v>
      </c>
      <c r="L2214">
        <v>1650</v>
      </c>
      <c r="M2214">
        <v>1650</v>
      </c>
      <c r="N2214">
        <v>0</v>
      </c>
    </row>
    <row r="2215" spans="1:14" x14ac:dyDescent="0.25">
      <c r="A2215">
        <v>1645.1336679999999</v>
      </c>
      <c r="B2215" s="1">
        <f>DATE(2014,11,1) + TIME(3,12,28)</f>
        <v>41944.133657407408</v>
      </c>
      <c r="C2215">
        <v>80</v>
      </c>
      <c r="D2215">
        <v>79.958259583</v>
      </c>
      <c r="E2215">
        <v>40</v>
      </c>
      <c r="F2215">
        <v>59.998168945000003</v>
      </c>
      <c r="G2215">
        <v>1330.6656493999999</v>
      </c>
      <c r="H2215">
        <v>1330.0784911999999</v>
      </c>
      <c r="I2215">
        <v>1336.0490723</v>
      </c>
      <c r="J2215">
        <v>1334.3066406</v>
      </c>
      <c r="K2215">
        <v>0</v>
      </c>
      <c r="L2215">
        <v>1650</v>
      </c>
      <c r="M2215">
        <v>1650</v>
      </c>
      <c r="N2215">
        <v>0</v>
      </c>
    </row>
    <row r="2216" spans="1:14" x14ac:dyDescent="0.25">
      <c r="A2216">
        <v>1645.1726530000001</v>
      </c>
      <c r="B2216" s="1">
        <f>DATE(2014,11,1) + TIME(4,8,37)</f>
        <v>41944.172650462962</v>
      </c>
      <c r="C2216">
        <v>80</v>
      </c>
      <c r="D2216">
        <v>79.954727172999995</v>
      </c>
      <c r="E2216">
        <v>40</v>
      </c>
      <c r="F2216">
        <v>59.058044434000003</v>
      </c>
      <c r="G2216">
        <v>1330.6605225000001</v>
      </c>
      <c r="H2216">
        <v>1330.0708007999999</v>
      </c>
      <c r="I2216">
        <v>1336.0334473</v>
      </c>
      <c r="J2216">
        <v>1334.2904053</v>
      </c>
      <c r="K2216">
        <v>0</v>
      </c>
      <c r="L2216">
        <v>1650</v>
      </c>
      <c r="M2216">
        <v>1650</v>
      </c>
      <c r="N2216">
        <v>0</v>
      </c>
    </row>
    <row r="2217" spans="1:14" x14ac:dyDescent="0.25">
      <c r="A2217">
        <v>1645.214121</v>
      </c>
      <c r="B2217" s="1">
        <f>DATE(2014,11,1) + TIME(5,8,20)</f>
        <v>41944.214120370372</v>
      </c>
      <c r="C2217">
        <v>80</v>
      </c>
      <c r="D2217">
        <v>79.950981139999996</v>
      </c>
      <c r="E2217">
        <v>40</v>
      </c>
      <c r="F2217">
        <v>58.120826721</v>
      </c>
      <c r="G2217">
        <v>1330.6552733999999</v>
      </c>
      <c r="H2217">
        <v>1330.0628661999999</v>
      </c>
      <c r="I2217">
        <v>1336.0179443</v>
      </c>
      <c r="J2217">
        <v>1334.2742920000001</v>
      </c>
      <c r="K2217">
        <v>0</v>
      </c>
      <c r="L2217">
        <v>1650</v>
      </c>
      <c r="M2217">
        <v>1650</v>
      </c>
      <c r="N2217">
        <v>0</v>
      </c>
    </row>
    <row r="2218" spans="1:14" x14ac:dyDescent="0.25">
      <c r="A2218">
        <v>1645.258368</v>
      </c>
      <c r="B2218" s="1">
        <f>DATE(2014,11,1) + TIME(6,12,2)</f>
        <v>41944.258356481485</v>
      </c>
      <c r="C2218">
        <v>80</v>
      </c>
      <c r="D2218">
        <v>79.947013854999994</v>
      </c>
      <c r="E2218">
        <v>40</v>
      </c>
      <c r="F2218">
        <v>57.186100005999997</v>
      </c>
      <c r="G2218">
        <v>1330.6497803</v>
      </c>
      <c r="H2218">
        <v>1330.0545654</v>
      </c>
      <c r="I2218">
        <v>1336.0024414</v>
      </c>
      <c r="J2218">
        <v>1334.2581786999999</v>
      </c>
      <c r="K2218">
        <v>0</v>
      </c>
      <c r="L2218">
        <v>1650</v>
      </c>
      <c r="M2218">
        <v>1650</v>
      </c>
      <c r="N2218">
        <v>0</v>
      </c>
    </row>
    <row r="2219" spans="1:14" x14ac:dyDescent="0.25">
      <c r="A2219">
        <v>1645.305703</v>
      </c>
      <c r="B2219" s="1">
        <f>DATE(2014,11,1) + TIME(7,20,12)</f>
        <v>41944.305694444447</v>
      </c>
      <c r="C2219">
        <v>80</v>
      </c>
      <c r="D2219">
        <v>79.942787170000003</v>
      </c>
      <c r="E2219">
        <v>40</v>
      </c>
      <c r="F2219">
        <v>56.254096984999997</v>
      </c>
      <c r="G2219">
        <v>1330.644043</v>
      </c>
      <c r="H2219">
        <v>1330.0458983999999</v>
      </c>
      <c r="I2219">
        <v>1335.9869385</v>
      </c>
      <c r="J2219">
        <v>1334.2420654</v>
      </c>
      <c r="K2219">
        <v>0</v>
      </c>
      <c r="L2219">
        <v>1650</v>
      </c>
      <c r="M2219">
        <v>1650</v>
      </c>
      <c r="N2219">
        <v>0</v>
      </c>
    </row>
    <row r="2220" spans="1:14" x14ac:dyDescent="0.25">
      <c r="A2220">
        <v>1645.356493</v>
      </c>
      <c r="B2220" s="1">
        <f>DATE(2014,11,1) + TIME(8,33,20)</f>
        <v>41944.356481481482</v>
      </c>
      <c r="C2220">
        <v>80</v>
      </c>
      <c r="D2220">
        <v>79.938278198000006</v>
      </c>
      <c r="E2220">
        <v>40</v>
      </c>
      <c r="F2220">
        <v>55.325088501000003</v>
      </c>
      <c r="G2220">
        <v>1330.6380615</v>
      </c>
      <c r="H2220">
        <v>1330.0368652</v>
      </c>
      <c r="I2220">
        <v>1335.9715576000001</v>
      </c>
      <c r="J2220">
        <v>1334.2259521000001</v>
      </c>
      <c r="K2220">
        <v>0</v>
      </c>
      <c r="L2220">
        <v>1650</v>
      </c>
      <c r="M2220">
        <v>1650</v>
      </c>
      <c r="N2220">
        <v>0</v>
      </c>
    </row>
    <row r="2221" spans="1:14" x14ac:dyDescent="0.25">
      <c r="A2221">
        <v>1645.4111640000001</v>
      </c>
      <c r="B2221" s="1">
        <f>DATE(2014,11,1) + TIME(9,52,4)</f>
        <v>41944.411157407405</v>
      </c>
      <c r="C2221">
        <v>80</v>
      </c>
      <c r="D2221">
        <v>79.933464049999998</v>
      </c>
      <c r="E2221">
        <v>40</v>
      </c>
      <c r="F2221">
        <v>54.399394989000001</v>
      </c>
      <c r="G2221">
        <v>1330.6318358999999</v>
      </c>
      <c r="H2221">
        <v>1330.0274658000001</v>
      </c>
      <c r="I2221">
        <v>1335.9561768000001</v>
      </c>
      <c r="J2221">
        <v>1334.2099608999999</v>
      </c>
      <c r="K2221">
        <v>0</v>
      </c>
      <c r="L2221">
        <v>1650</v>
      </c>
      <c r="M2221">
        <v>1650</v>
      </c>
      <c r="N2221">
        <v>0</v>
      </c>
    </row>
    <row r="2222" spans="1:14" x14ac:dyDescent="0.25">
      <c r="A2222">
        <v>1645.470223</v>
      </c>
      <c r="B2222" s="1">
        <f>DATE(2014,11,1) + TIME(11,17,7)</f>
        <v>41944.470219907409</v>
      </c>
      <c r="C2222">
        <v>80</v>
      </c>
      <c r="D2222">
        <v>79.928291321000003</v>
      </c>
      <c r="E2222">
        <v>40</v>
      </c>
      <c r="F2222">
        <v>53.477382660000004</v>
      </c>
      <c r="G2222">
        <v>1330.6252440999999</v>
      </c>
      <c r="H2222">
        <v>1330.0175781</v>
      </c>
      <c r="I2222">
        <v>1335.940918</v>
      </c>
      <c r="J2222">
        <v>1334.1939697</v>
      </c>
      <c r="K2222">
        <v>0</v>
      </c>
      <c r="L2222">
        <v>1650</v>
      </c>
      <c r="M2222">
        <v>1650</v>
      </c>
      <c r="N2222">
        <v>0</v>
      </c>
    </row>
    <row r="2223" spans="1:14" x14ac:dyDescent="0.25">
      <c r="A2223">
        <v>1645.534277</v>
      </c>
      <c r="B2223" s="1">
        <f>DATE(2014,11,1) + TIME(12,49,21)</f>
        <v>41944.534270833334</v>
      </c>
      <c r="C2223">
        <v>80</v>
      </c>
      <c r="D2223">
        <v>79.922729492000002</v>
      </c>
      <c r="E2223">
        <v>40</v>
      </c>
      <c r="F2223">
        <v>52.559482574</v>
      </c>
      <c r="G2223">
        <v>1330.6182861</v>
      </c>
      <c r="H2223">
        <v>1330.0070800999999</v>
      </c>
      <c r="I2223">
        <v>1335.9256591999999</v>
      </c>
      <c r="J2223">
        <v>1334.1781006000001</v>
      </c>
      <c r="K2223">
        <v>0</v>
      </c>
      <c r="L2223">
        <v>1650</v>
      </c>
      <c r="M2223">
        <v>1650</v>
      </c>
      <c r="N2223">
        <v>0</v>
      </c>
    </row>
    <row r="2224" spans="1:14" x14ac:dyDescent="0.25">
      <c r="A2224">
        <v>1645.604061</v>
      </c>
      <c r="B2224" s="1">
        <f>DATE(2014,11,1) + TIME(14,29,50)</f>
        <v>41944.604050925926</v>
      </c>
      <c r="C2224">
        <v>80</v>
      </c>
      <c r="D2224">
        <v>79.916717528999996</v>
      </c>
      <c r="E2224">
        <v>40</v>
      </c>
      <c r="F2224">
        <v>51.646217346</v>
      </c>
      <c r="G2224">
        <v>1330.6110839999999</v>
      </c>
      <c r="H2224">
        <v>1329.9962158000001</v>
      </c>
      <c r="I2224">
        <v>1335.9106445</v>
      </c>
      <c r="J2224">
        <v>1334.1622314000001</v>
      </c>
      <c r="K2224">
        <v>0</v>
      </c>
      <c r="L2224">
        <v>1650</v>
      </c>
      <c r="M2224">
        <v>1650</v>
      </c>
      <c r="N2224">
        <v>0</v>
      </c>
    </row>
    <row r="2225" spans="1:14" x14ac:dyDescent="0.25">
      <c r="A2225">
        <v>1645.6804729999999</v>
      </c>
      <c r="B2225" s="1">
        <f>DATE(2014,11,1) + TIME(16,19,52)</f>
        <v>41944.680462962962</v>
      </c>
      <c r="C2225">
        <v>80</v>
      </c>
      <c r="D2225">
        <v>79.910194396999998</v>
      </c>
      <c r="E2225">
        <v>40</v>
      </c>
      <c r="F2225">
        <v>50.738212584999999</v>
      </c>
      <c r="G2225">
        <v>1330.6033935999999</v>
      </c>
      <c r="H2225">
        <v>1329.9846190999999</v>
      </c>
      <c r="I2225">
        <v>1335.8956298999999</v>
      </c>
      <c r="J2225">
        <v>1334.1466064000001</v>
      </c>
      <c r="K2225">
        <v>0</v>
      </c>
      <c r="L2225">
        <v>1650</v>
      </c>
      <c r="M2225">
        <v>1650</v>
      </c>
      <c r="N2225">
        <v>0</v>
      </c>
    </row>
    <row r="2226" spans="1:14" x14ac:dyDescent="0.25">
      <c r="A2226">
        <v>1645.7646259999999</v>
      </c>
      <c r="B2226" s="1">
        <f>DATE(2014,11,1) + TIME(18,21,3)</f>
        <v>41944.764618055553</v>
      </c>
      <c r="C2226">
        <v>80</v>
      </c>
      <c r="D2226">
        <v>79.903091431000007</v>
      </c>
      <c r="E2226">
        <v>40</v>
      </c>
      <c r="F2226">
        <v>49.836147308000001</v>
      </c>
      <c r="G2226">
        <v>1330.5952147999999</v>
      </c>
      <c r="H2226">
        <v>1329.9724120999999</v>
      </c>
      <c r="I2226">
        <v>1335.8808594</v>
      </c>
      <c r="J2226">
        <v>1334.1309814000001</v>
      </c>
      <c r="K2226">
        <v>0</v>
      </c>
      <c r="L2226">
        <v>1650</v>
      </c>
      <c r="M2226">
        <v>1650</v>
      </c>
      <c r="N2226">
        <v>0</v>
      </c>
    </row>
    <row r="2227" spans="1:14" x14ac:dyDescent="0.25">
      <c r="A2227">
        <v>1645.857915</v>
      </c>
      <c r="B2227" s="1">
        <f>DATE(2014,11,1) + TIME(20,35,23)</f>
        <v>41944.857905092591</v>
      </c>
      <c r="C2227">
        <v>80</v>
      </c>
      <c r="D2227">
        <v>79.895301818999997</v>
      </c>
      <c r="E2227">
        <v>40</v>
      </c>
      <c r="F2227">
        <v>48.940742493000002</v>
      </c>
      <c r="G2227">
        <v>1330.5865478999999</v>
      </c>
      <c r="H2227">
        <v>1329.9593506000001</v>
      </c>
      <c r="I2227">
        <v>1335.8663329999999</v>
      </c>
      <c r="J2227">
        <v>1334.1154785000001</v>
      </c>
      <c r="K2227">
        <v>0</v>
      </c>
      <c r="L2227">
        <v>1650</v>
      </c>
      <c r="M2227">
        <v>1650</v>
      </c>
      <c r="N2227">
        <v>0</v>
      </c>
    </row>
    <row r="2228" spans="1:14" x14ac:dyDescent="0.25">
      <c r="A2228">
        <v>1645.962102</v>
      </c>
      <c r="B2228" s="1">
        <f>DATE(2014,11,1) + TIME(23,5,25)</f>
        <v>41944.962094907409</v>
      </c>
      <c r="C2228">
        <v>80</v>
      </c>
      <c r="D2228">
        <v>79.88671875</v>
      </c>
      <c r="E2228">
        <v>40</v>
      </c>
      <c r="F2228">
        <v>48.053764342999997</v>
      </c>
      <c r="G2228">
        <v>1330.5772704999999</v>
      </c>
      <c r="H2228">
        <v>1329.9454346</v>
      </c>
      <c r="I2228">
        <v>1335.8519286999999</v>
      </c>
      <c r="J2228">
        <v>1334.1002197</v>
      </c>
      <c r="K2228">
        <v>0</v>
      </c>
      <c r="L2228">
        <v>1650</v>
      </c>
      <c r="M2228">
        <v>1650</v>
      </c>
      <c r="N2228">
        <v>0</v>
      </c>
    </row>
    <row r="2229" spans="1:14" x14ac:dyDescent="0.25">
      <c r="A2229">
        <v>1646.0795639999999</v>
      </c>
      <c r="B2229" s="1">
        <f>DATE(2014,11,2) + TIME(1,54,34)</f>
        <v>41945.079560185186</v>
      </c>
      <c r="C2229">
        <v>80</v>
      </c>
      <c r="D2229">
        <v>79.877182007000002</v>
      </c>
      <c r="E2229">
        <v>40</v>
      </c>
      <c r="F2229">
        <v>47.176395415999998</v>
      </c>
      <c r="G2229">
        <v>1330.5671387</v>
      </c>
      <c r="H2229">
        <v>1329.9304199000001</v>
      </c>
      <c r="I2229">
        <v>1335.8378906</v>
      </c>
      <c r="J2229">
        <v>1334.0852050999999</v>
      </c>
      <c r="K2229">
        <v>0</v>
      </c>
      <c r="L2229">
        <v>1650</v>
      </c>
      <c r="M2229">
        <v>1650</v>
      </c>
      <c r="N2229">
        <v>0</v>
      </c>
    </row>
    <row r="2230" spans="1:14" x14ac:dyDescent="0.25">
      <c r="A2230">
        <v>1646.2134450000001</v>
      </c>
      <c r="B2230" s="1">
        <f>DATE(2014,11,2) + TIME(5,7,21)</f>
        <v>41945.213437500002</v>
      </c>
      <c r="C2230">
        <v>80</v>
      </c>
      <c r="D2230">
        <v>79.866493224999999</v>
      </c>
      <c r="E2230">
        <v>40</v>
      </c>
      <c r="F2230">
        <v>46.310565947999997</v>
      </c>
      <c r="G2230">
        <v>1330.5562743999999</v>
      </c>
      <c r="H2230">
        <v>1329.9141846</v>
      </c>
      <c r="I2230">
        <v>1335.8240966999999</v>
      </c>
      <c r="J2230">
        <v>1334.0703125</v>
      </c>
      <c r="K2230">
        <v>0</v>
      </c>
      <c r="L2230">
        <v>1650</v>
      </c>
      <c r="M2230">
        <v>1650</v>
      </c>
      <c r="N2230">
        <v>0</v>
      </c>
    </row>
    <row r="2231" spans="1:14" x14ac:dyDescent="0.25">
      <c r="A2231">
        <v>1646.3526159999999</v>
      </c>
      <c r="B2231" s="1">
        <f>DATE(2014,11,2) + TIME(8,27,46)</f>
        <v>41945.35261574074</v>
      </c>
      <c r="C2231">
        <v>80</v>
      </c>
      <c r="D2231">
        <v>79.855506896999998</v>
      </c>
      <c r="E2231">
        <v>40</v>
      </c>
      <c r="F2231">
        <v>45.532749176000003</v>
      </c>
      <c r="G2231">
        <v>1330.5446777</v>
      </c>
      <c r="H2231">
        <v>1329.8968506000001</v>
      </c>
      <c r="I2231">
        <v>1335.8111572</v>
      </c>
      <c r="J2231">
        <v>1334.0568848</v>
      </c>
      <c r="K2231">
        <v>0</v>
      </c>
      <c r="L2231">
        <v>1650</v>
      </c>
      <c r="M2231">
        <v>1650</v>
      </c>
      <c r="N2231">
        <v>0</v>
      </c>
    </row>
    <row r="2232" spans="1:14" x14ac:dyDescent="0.25">
      <c r="A2232">
        <v>1646.4975509999999</v>
      </c>
      <c r="B2232" s="1">
        <f>DATE(2014,11,2) + TIME(11,56,28)</f>
        <v>41945.497546296298</v>
      </c>
      <c r="C2232">
        <v>80</v>
      </c>
      <c r="D2232">
        <v>79.844184874999996</v>
      </c>
      <c r="E2232">
        <v>40</v>
      </c>
      <c r="F2232">
        <v>44.834201813</v>
      </c>
      <c r="G2232">
        <v>1330.5329589999999</v>
      </c>
      <c r="H2232">
        <v>1329.8793945</v>
      </c>
      <c r="I2232">
        <v>1335.7998047000001</v>
      </c>
      <c r="J2232">
        <v>1334.0447998</v>
      </c>
      <c r="K2232">
        <v>0</v>
      </c>
      <c r="L2232">
        <v>1650</v>
      </c>
      <c r="M2232">
        <v>1650</v>
      </c>
      <c r="N2232">
        <v>0</v>
      </c>
    </row>
    <row r="2233" spans="1:14" x14ac:dyDescent="0.25">
      <c r="A2233">
        <v>1646.648651</v>
      </c>
      <c r="B2233" s="1">
        <f>DATE(2014,11,2) + TIME(15,34,3)</f>
        <v>41945.648645833331</v>
      </c>
      <c r="C2233">
        <v>80</v>
      </c>
      <c r="D2233">
        <v>79.832519531000003</v>
      </c>
      <c r="E2233">
        <v>40</v>
      </c>
      <c r="F2233">
        <v>44.207801818999997</v>
      </c>
      <c r="G2233">
        <v>1330.5211182</v>
      </c>
      <c r="H2233">
        <v>1329.8619385</v>
      </c>
      <c r="I2233">
        <v>1335.7899170000001</v>
      </c>
      <c r="J2233">
        <v>1334.0341797000001</v>
      </c>
      <c r="K2233">
        <v>0</v>
      </c>
      <c r="L2233">
        <v>1650</v>
      </c>
      <c r="M2233">
        <v>1650</v>
      </c>
      <c r="N2233">
        <v>0</v>
      </c>
    </row>
    <row r="2234" spans="1:14" x14ac:dyDescent="0.25">
      <c r="A2234">
        <v>1646.80636</v>
      </c>
      <c r="B2234" s="1">
        <f>DATE(2014,11,2) + TIME(19,21,9)</f>
        <v>41945.806354166663</v>
      </c>
      <c r="C2234">
        <v>80</v>
      </c>
      <c r="D2234">
        <v>79.820480347</v>
      </c>
      <c r="E2234">
        <v>40</v>
      </c>
      <c r="F2234">
        <v>43.647209167</v>
      </c>
      <c r="G2234">
        <v>1330.5092772999999</v>
      </c>
      <c r="H2234">
        <v>1329.8442382999999</v>
      </c>
      <c r="I2234">
        <v>1335.78125</v>
      </c>
      <c r="J2234">
        <v>1334.0247803</v>
      </c>
      <c r="K2234">
        <v>0</v>
      </c>
      <c r="L2234">
        <v>1650</v>
      </c>
      <c r="M2234">
        <v>1650</v>
      </c>
      <c r="N2234">
        <v>0</v>
      </c>
    </row>
    <row r="2235" spans="1:14" x14ac:dyDescent="0.25">
      <c r="A2235">
        <v>1646.970885</v>
      </c>
      <c r="B2235" s="1">
        <f>DATE(2014,11,2) + TIME(23,18,4)</f>
        <v>41945.970879629633</v>
      </c>
      <c r="C2235">
        <v>80</v>
      </c>
      <c r="D2235">
        <v>79.808052063000005</v>
      </c>
      <c r="E2235">
        <v>40</v>
      </c>
      <c r="F2235">
        <v>43.147453308000003</v>
      </c>
      <c r="G2235">
        <v>1330.4971923999999</v>
      </c>
      <c r="H2235">
        <v>1329.8264160000001</v>
      </c>
      <c r="I2235">
        <v>1335.7738036999999</v>
      </c>
      <c r="J2235">
        <v>1334.0164795000001</v>
      </c>
      <c r="K2235">
        <v>0</v>
      </c>
      <c r="L2235">
        <v>1650</v>
      </c>
      <c r="M2235">
        <v>1650</v>
      </c>
      <c r="N2235">
        <v>0</v>
      </c>
    </row>
    <row r="2236" spans="1:14" x14ac:dyDescent="0.25">
      <c r="A2236">
        <v>1647.14201</v>
      </c>
      <c r="B2236" s="1">
        <f>DATE(2014,11,3) + TIME(3,24,29)</f>
        <v>41946.142002314817</v>
      </c>
      <c r="C2236">
        <v>80</v>
      </c>
      <c r="D2236">
        <v>79.795272827000005</v>
      </c>
      <c r="E2236">
        <v>40</v>
      </c>
      <c r="F2236">
        <v>42.704715729</v>
      </c>
      <c r="G2236">
        <v>1330.4851074000001</v>
      </c>
      <c r="H2236">
        <v>1329.8084716999999</v>
      </c>
      <c r="I2236">
        <v>1335.7672118999999</v>
      </c>
      <c r="J2236">
        <v>1334.0091553</v>
      </c>
      <c r="K2236">
        <v>0</v>
      </c>
      <c r="L2236">
        <v>1650</v>
      </c>
      <c r="M2236">
        <v>1650</v>
      </c>
      <c r="N2236">
        <v>0</v>
      </c>
    </row>
    <row r="2237" spans="1:14" x14ac:dyDescent="0.25">
      <c r="A2237">
        <v>1647.320093</v>
      </c>
      <c r="B2237" s="1">
        <f>DATE(2014,11,3) + TIME(7,40,56)</f>
        <v>41946.320092592592</v>
      </c>
      <c r="C2237">
        <v>80</v>
      </c>
      <c r="D2237">
        <v>79.782119750999996</v>
      </c>
      <c r="E2237">
        <v>40</v>
      </c>
      <c r="F2237">
        <v>42.313743590999998</v>
      </c>
      <c r="G2237">
        <v>1330.4727783000001</v>
      </c>
      <c r="H2237">
        <v>1329.7904053</v>
      </c>
      <c r="I2237">
        <v>1335.7615966999999</v>
      </c>
      <c r="J2237">
        <v>1334.0028076000001</v>
      </c>
      <c r="K2237">
        <v>0</v>
      </c>
      <c r="L2237">
        <v>1650</v>
      </c>
      <c r="M2237">
        <v>1650</v>
      </c>
      <c r="N2237">
        <v>0</v>
      </c>
    </row>
    <row r="2238" spans="1:14" x14ac:dyDescent="0.25">
      <c r="A2238">
        <v>1647.5055620000001</v>
      </c>
      <c r="B2238" s="1">
        <f>DATE(2014,11,3) + TIME(12,8,0)</f>
        <v>41946.505555555559</v>
      </c>
      <c r="C2238">
        <v>80</v>
      </c>
      <c r="D2238">
        <v>79.768562317000004</v>
      </c>
      <c r="E2238">
        <v>40</v>
      </c>
      <c r="F2238">
        <v>41.969642639</v>
      </c>
      <c r="G2238">
        <v>1330.4603271000001</v>
      </c>
      <c r="H2238">
        <v>1329.7720947</v>
      </c>
      <c r="I2238">
        <v>1335.7565918</v>
      </c>
      <c r="J2238">
        <v>1333.9971923999999</v>
      </c>
      <c r="K2238">
        <v>0</v>
      </c>
      <c r="L2238">
        <v>1650</v>
      </c>
      <c r="M2238">
        <v>1650</v>
      </c>
      <c r="N2238">
        <v>0</v>
      </c>
    </row>
    <row r="2239" spans="1:14" x14ac:dyDescent="0.25">
      <c r="A2239">
        <v>1647.6988859999999</v>
      </c>
      <c r="B2239" s="1">
        <f>DATE(2014,11,3) + TIME(16,46,23)</f>
        <v>41946.698877314811</v>
      </c>
      <c r="C2239">
        <v>80</v>
      </c>
      <c r="D2239">
        <v>79.754585266000007</v>
      </c>
      <c r="E2239">
        <v>40</v>
      </c>
      <c r="F2239">
        <v>41.667926788000003</v>
      </c>
      <c r="G2239">
        <v>1330.4477539</v>
      </c>
      <c r="H2239">
        <v>1329.7536620999999</v>
      </c>
      <c r="I2239">
        <v>1335.7523193</v>
      </c>
      <c r="J2239">
        <v>1333.9924315999999</v>
      </c>
      <c r="K2239">
        <v>0</v>
      </c>
      <c r="L2239">
        <v>1650</v>
      </c>
      <c r="M2239">
        <v>1650</v>
      </c>
      <c r="N2239">
        <v>0</v>
      </c>
    </row>
    <row r="2240" spans="1:14" x14ac:dyDescent="0.25">
      <c r="A2240">
        <v>1647.9007120000001</v>
      </c>
      <c r="B2240" s="1">
        <f>DATE(2014,11,3) + TIME(21,37,1)</f>
        <v>41946.900706018518</v>
      </c>
      <c r="C2240">
        <v>80</v>
      </c>
      <c r="D2240">
        <v>79.740142821999996</v>
      </c>
      <c r="E2240">
        <v>40</v>
      </c>
      <c r="F2240">
        <v>41.404331206999998</v>
      </c>
      <c r="G2240">
        <v>1330.4350586</v>
      </c>
      <c r="H2240">
        <v>1329.7349853999999</v>
      </c>
      <c r="I2240">
        <v>1335.7486572</v>
      </c>
      <c r="J2240">
        <v>1333.9881591999999</v>
      </c>
      <c r="K2240">
        <v>0</v>
      </c>
      <c r="L2240">
        <v>1650</v>
      </c>
      <c r="M2240">
        <v>1650</v>
      </c>
      <c r="N2240">
        <v>0</v>
      </c>
    </row>
    <row r="2241" spans="1:14" x14ac:dyDescent="0.25">
      <c r="A2241">
        <v>1648.111674</v>
      </c>
      <c r="B2241" s="1">
        <f>DATE(2014,11,4) + TIME(2,40,48)</f>
        <v>41947.111666666664</v>
      </c>
      <c r="C2241">
        <v>80</v>
      </c>
      <c r="D2241">
        <v>79.725212096999996</v>
      </c>
      <c r="E2241">
        <v>40</v>
      </c>
      <c r="F2241">
        <v>41.175071715999998</v>
      </c>
      <c r="G2241">
        <v>1330.4219971</v>
      </c>
      <c r="H2241">
        <v>1329.7159423999999</v>
      </c>
      <c r="I2241">
        <v>1335.7454834</v>
      </c>
      <c r="J2241">
        <v>1333.984375</v>
      </c>
      <c r="K2241">
        <v>0</v>
      </c>
      <c r="L2241">
        <v>1650</v>
      </c>
      <c r="M2241">
        <v>1650</v>
      </c>
      <c r="N2241">
        <v>0</v>
      </c>
    </row>
    <row r="2242" spans="1:14" x14ac:dyDescent="0.25">
      <c r="A2242">
        <v>1648.3324399999999</v>
      </c>
      <c r="B2242" s="1">
        <f>DATE(2014,11,4) + TIME(7,58,42)</f>
        <v>41947.332430555558</v>
      </c>
      <c r="C2242">
        <v>80</v>
      </c>
      <c r="D2242">
        <v>79.709754943999997</v>
      </c>
      <c r="E2242">
        <v>40</v>
      </c>
      <c r="F2242">
        <v>40.976688385000003</v>
      </c>
      <c r="G2242">
        <v>1330.4088135</v>
      </c>
      <c r="H2242">
        <v>1329.6966553</v>
      </c>
      <c r="I2242">
        <v>1335.7426757999999</v>
      </c>
      <c r="J2242">
        <v>1333.9812012</v>
      </c>
      <c r="K2242">
        <v>0</v>
      </c>
      <c r="L2242">
        <v>1650</v>
      </c>
      <c r="M2242">
        <v>1650</v>
      </c>
      <c r="N2242">
        <v>0</v>
      </c>
    </row>
    <row r="2243" spans="1:14" x14ac:dyDescent="0.25">
      <c r="A2243">
        <v>1648.5637369999999</v>
      </c>
      <c r="B2243" s="1">
        <f>DATE(2014,11,4) + TIME(13,31,46)</f>
        <v>41947.563726851855</v>
      </c>
      <c r="C2243">
        <v>80</v>
      </c>
      <c r="D2243">
        <v>79.693733214999995</v>
      </c>
      <c r="E2243">
        <v>40</v>
      </c>
      <c r="F2243">
        <v>40.805984496999997</v>
      </c>
      <c r="G2243">
        <v>1330.3952637</v>
      </c>
      <c r="H2243">
        <v>1329.6768798999999</v>
      </c>
      <c r="I2243">
        <v>1335.7401123</v>
      </c>
      <c r="J2243">
        <v>1333.9783935999999</v>
      </c>
      <c r="K2243">
        <v>0</v>
      </c>
      <c r="L2243">
        <v>1650</v>
      </c>
      <c r="M2243">
        <v>1650</v>
      </c>
      <c r="N2243">
        <v>0</v>
      </c>
    </row>
    <row r="2244" spans="1:14" x14ac:dyDescent="0.25">
      <c r="A2244">
        <v>1648.8063569999999</v>
      </c>
      <c r="B2244" s="1">
        <f>DATE(2014,11,4) + TIME(19,21,9)</f>
        <v>41947.806354166663</v>
      </c>
      <c r="C2244">
        <v>80</v>
      </c>
      <c r="D2244">
        <v>79.677108765</v>
      </c>
      <c r="E2244">
        <v>40</v>
      </c>
      <c r="F2244">
        <v>40.660011292</v>
      </c>
      <c r="G2244">
        <v>1330.3814697</v>
      </c>
      <c r="H2244">
        <v>1329.6568603999999</v>
      </c>
      <c r="I2244">
        <v>1335.7379149999999</v>
      </c>
      <c r="J2244">
        <v>1333.9759521000001</v>
      </c>
      <c r="K2244">
        <v>0</v>
      </c>
      <c r="L2244">
        <v>1650</v>
      </c>
      <c r="M2244">
        <v>1650</v>
      </c>
      <c r="N2244">
        <v>0</v>
      </c>
    </row>
    <row r="2245" spans="1:14" x14ac:dyDescent="0.25">
      <c r="A2245">
        <v>1649.0611650000001</v>
      </c>
      <c r="B2245" s="1">
        <f>DATE(2014,11,5) + TIME(1,28,4)</f>
        <v>41948.061157407406</v>
      </c>
      <c r="C2245">
        <v>80</v>
      </c>
      <c r="D2245">
        <v>79.659828185999999</v>
      </c>
      <c r="E2245">
        <v>40</v>
      </c>
      <c r="F2245">
        <v>40.536014557000001</v>
      </c>
      <c r="G2245">
        <v>1330.3673096</v>
      </c>
      <c r="H2245">
        <v>1329.6363524999999</v>
      </c>
      <c r="I2245">
        <v>1335.7359618999999</v>
      </c>
      <c r="J2245">
        <v>1333.9737548999999</v>
      </c>
      <c r="K2245">
        <v>0</v>
      </c>
      <c r="L2245">
        <v>1650</v>
      </c>
      <c r="M2245">
        <v>1650</v>
      </c>
      <c r="N2245">
        <v>0</v>
      </c>
    </row>
    <row r="2246" spans="1:14" x14ac:dyDescent="0.25">
      <c r="A2246">
        <v>1649.329103</v>
      </c>
      <c r="B2246" s="1">
        <f>DATE(2014,11,5) + TIME(7,53,54)</f>
        <v>41948.329097222224</v>
      </c>
      <c r="C2246">
        <v>80</v>
      </c>
      <c r="D2246">
        <v>79.641845703000001</v>
      </c>
      <c r="E2246">
        <v>40</v>
      </c>
      <c r="F2246">
        <v>40.431457520000002</v>
      </c>
      <c r="G2246">
        <v>1330.3527832</v>
      </c>
      <c r="H2246">
        <v>1329.6153564000001</v>
      </c>
      <c r="I2246">
        <v>1335.7342529</v>
      </c>
      <c r="J2246">
        <v>1333.9719238</v>
      </c>
      <c r="K2246">
        <v>0</v>
      </c>
      <c r="L2246">
        <v>1650</v>
      </c>
      <c r="M2246">
        <v>1650</v>
      </c>
      <c r="N2246">
        <v>0</v>
      </c>
    </row>
    <row r="2247" spans="1:14" x14ac:dyDescent="0.25">
      <c r="A2247">
        <v>1649.6112149999999</v>
      </c>
      <c r="B2247" s="1">
        <f>DATE(2014,11,5) + TIME(14,40,8)</f>
        <v>41948.611203703702</v>
      </c>
      <c r="C2247">
        <v>80</v>
      </c>
      <c r="D2247">
        <v>79.623123168999996</v>
      </c>
      <c r="E2247">
        <v>40</v>
      </c>
      <c r="F2247">
        <v>40.343978882000002</v>
      </c>
      <c r="G2247">
        <v>1330.3378906</v>
      </c>
      <c r="H2247">
        <v>1329.59375</v>
      </c>
      <c r="I2247">
        <v>1335.7326660000001</v>
      </c>
      <c r="J2247">
        <v>1333.9703368999999</v>
      </c>
      <c r="K2247">
        <v>0</v>
      </c>
      <c r="L2247">
        <v>1650</v>
      </c>
      <c r="M2247">
        <v>1650</v>
      </c>
      <c r="N2247">
        <v>0</v>
      </c>
    </row>
    <row r="2248" spans="1:14" x14ac:dyDescent="0.25">
      <c r="A2248">
        <v>1649.9086520000001</v>
      </c>
      <c r="B2248" s="1">
        <f>DATE(2014,11,5) + TIME(21,48,27)</f>
        <v>41948.908645833333</v>
      </c>
      <c r="C2248">
        <v>80</v>
      </c>
      <c r="D2248">
        <v>79.603584290000001</v>
      </c>
      <c r="E2248">
        <v>40</v>
      </c>
      <c r="F2248">
        <v>40.271404265999998</v>
      </c>
      <c r="G2248">
        <v>1330.3225098</v>
      </c>
      <c r="H2248">
        <v>1329.5716553</v>
      </c>
      <c r="I2248">
        <v>1335.7310791</v>
      </c>
      <c r="J2248">
        <v>1333.9688721</v>
      </c>
      <c r="K2248">
        <v>0</v>
      </c>
      <c r="L2248">
        <v>1650</v>
      </c>
      <c r="M2248">
        <v>1650</v>
      </c>
      <c r="N2248">
        <v>0</v>
      </c>
    </row>
    <row r="2249" spans="1:14" x14ac:dyDescent="0.25">
      <c r="A2249">
        <v>1650.222536</v>
      </c>
      <c r="B2249" s="1">
        <f>DATE(2014,11,6) + TIME(5,20,27)</f>
        <v>41949.222534722219</v>
      </c>
      <c r="C2249">
        <v>80</v>
      </c>
      <c r="D2249">
        <v>79.583183289000004</v>
      </c>
      <c r="E2249">
        <v>40</v>
      </c>
      <c r="F2249">
        <v>40.211757660000004</v>
      </c>
      <c r="G2249">
        <v>1330.3066406</v>
      </c>
      <c r="H2249">
        <v>1329.5488281</v>
      </c>
      <c r="I2249">
        <v>1335.7297363</v>
      </c>
      <c r="J2249">
        <v>1333.9675293</v>
      </c>
      <c r="K2249">
        <v>0</v>
      </c>
      <c r="L2249">
        <v>1650</v>
      </c>
      <c r="M2249">
        <v>1650</v>
      </c>
      <c r="N2249">
        <v>0</v>
      </c>
    </row>
    <row r="2250" spans="1:14" x14ac:dyDescent="0.25">
      <c r="A2250">
        <v>1650.5543540000001</v>
      </c>
      <c r="B2250" s="1">
        <f>DATE(2014,11,6) + TIME(13,18,16)</f>
        <v>41949.554351851853</v>
      </c>
      <c r="C2250">
        <v>80</v>
      </c>
      <c r="D2250">
        <v>79.561843871999997</v>
      </c>
      <c r="E2250">
        <v>40</v>
      </c>
      <c r="F2250">
        <v>40.163181305000002</v>
      </c>
      <c r="G2250">
        <v>1330.2902832</v>
      </c>
      <c r="H2250">
        <v>1329.5252685999999</v>
      </c>
      <c r="I2250">
        <v>1335.7283935999999</v>
      </c>
      <c r="J2250">
        <v>1333.9664307</v>
      </c>
      <c r="K2250">
        <v>0</v>
      </c>
      <c r="L2250">
        <v>1650</v>
      </c>
      <c r="M2250">
        <v>1650</v>
      </c>
      <c r="N2250">
        <v>0</v>
      </c>
    </row>
    <row r="2251" spans="1:14" x14ac:dyDescent="0.25">
      <c r="A2251">
        <v>1650.9057319999999</v>
      </c>
      <c r="B2251" s="1">
        <f>DATE(2014,11,6) + TIME(21,44,15)</f>
        <v>41949.905729166669</v>
      </c>
      <c r="C2251">
        <v>80</v>
      </c>
      <c r="D2251">
        <v>79.539489746000001</v>
      </c>
      <c r="E2251">
        <v>40</v>
      </c>
      <c r="F2251">
        <v>40.124019623000002</v>
      </c>
      <c r="G2251">
        <v>1330.2734375</v>
      </c>
      <c r="H2251">
        <v>1329.5010986</v>
      </c>
      <c r="I2251">
        <v>1335.7271728999999</v>
      </c>
      <c r="J2251">
        <v>1333.965332</v>
      </c>
      <c r="K2251">
        <v>0</v>
      </c>
      <c r="L2251">
        <v>1650</v>
      </c>
      <c r="M2251">
        <v>1650</v>
      </c>
      <c r="N2251">
        <v>0</v>
      </c>
    </row>
    <row r="2252" spans="1:14" x14ac:dyDescent="0.25">
      <c r="A2252">
        <v>1651.27847</v>
      </c>
      <c r="B2252" s="1">
        <f>DATE(2014,11,7) + TIME(6,40,59)</f>
        <v>41950.278460648151</v>
      </c>
      <c r="C2252">
        <v>80</v>
      </c>
      <c r="D2252">
        <v>79.516036987000007</v>
      </c>
      <c r="E2252">
        <v>40</v>
      </c>
      <c r="F2252">
        <v>40.092773438000002</v>
      </c>
      <c r="G2252">
        <v>1330.2558594</v>
      </c>
      <c r="H2252">
        <v>1329.4759521000001</v>
      </c>
      <c r="I2252">
        <v>1335.7259521000001</v>
      </c>
      <c r="J2252">
        <v>1333.9643555</v>
      </c>
      <c r="K2252">
        <v>0</v>
      </c>
      <c r="L2252">
        <v>1650</v>
      </c>
      <c r="M2252">
        <v>1650</v>
      </c>
      <c r="N2252">
        <v>0</v>
      </c>
    </row>
    <row r="2253" spans="1:14" x14ac:dyDescent="0.25">
      <c r="A2253">
        <v>1651.6745989999999</v>
      </c>
      <c r="B2253" s="1">
        <f>DATE(2014,11,7) + TIME(16,11,25)</f>
        <v>41950.67459490741</v>
      </c>
      <c r="C2253">
        <v>80</v>
      </c>
      <c r="D2253">
        <v>79.491386414000004</v>
      </c>
      <c r="E2253">
        <v>40</v>
      </c>
      <c r="F2253">
        <v>40.068115233999997</v>
      </c>
      <c r="G2253">
        <v>1330.2376709</v>
      </c>
      <c r="H2253">
        <v>1329.4499512</v>
      </c>
      <c r="I2253">
        <v>1335.7247314000001</v>
      </c>
      <c r="J2253">
        <v>1333.9633789</v>
      </c>
      <c r="K2253">
        <v>0</v>
      </c>
      <c r="L2253">
        <v>1650</v>
      </c>
      <c r="M2253">
        <v>1650</v>
      </c>
      <c r="N2253">
        <v>0</v>
      </c>
    </row>
    <row r="2254" spans="1:14" x14ac:dyDescent="0.25">
      <c r="A2254">
        <v>1652.0964059999999</v>
      </c>
      <c r="B2254" s="1">
        <f>DATE(2014,11,8) + TIME(2,18,49)</f>
        <v>41951.096400462964</v>
      </c>
      <c r="C2254">
        <v>80</v>
      </c>
      <c r="D2254">
        <v>79.465431213000002</v>
      </c>
      <c r="E2254">
        <v>40</v>
      </c>
      <c r="F2254">
        <v>40.048873901</v>
      </c>
      <c r="G2254">
        <v>1330.21875</v>
      </c>
      <c r="H2254">
        <v>1329.4229736</v>
      </c>
      <c r="I2254">
        <v>1335.7235106999999</v>
      </c>
      <c r="J2254">
        <v>1333.9624022999999</v>
      </c>
      <c r="K2254">
        <v>0</v>
      </c>
      <c r="L2254">
        <v>1650</v>
      </c>
      <c r="M2254">
        <v>1650</v>
      </c>
      <c r="N2254">
        <v>0</v>
      </c>
    </row>
    <row r="2255" spans="1:14" x14ac:dyDescent="0.25">
      <c r="A2255">
        <v>1652.5455440000001</v>
      </c>
      <c r="B2255" s="1">
        <f>DATE(2014,11,8) + TIME(13,5,34)</f>
        <v>41951.545532407406</v>
      </c>
      <c r="C2255">
        <v>80</v>
      </c>
      <c r="D2255">
        <v>79.438095093000001</v>
      </c>
      <c r="E2255">
        <v>40</v>
      </c>
      <c r="F2255">
        <v>40.034057617000002</v>
      </c>
      <c r="G2255">
        <v>1330.1989745999999</v>
      </c>
      <c r="H2255">
        <v>1329.3948975000001</v>
      </c>
      <c r="I2255">
        <v>1335.7222899999999</v>
      </c>
      <c r="J2255">
        <v>1333.9614257999999</v>
      </c>
      <c r="K2255">
        <v>0</v>
      </c>
      <c r="L2255">
        <v>1650</v>
      </c>
      <c r="M2255">
        <v>1650</v>
      </c>
      <c r="N2255">
        <v>0</v>
      </c>
    </row>
    <row r="2256" spans="1:14" x14ac:dyDescent="0.25">
      <c r="A2256">
        <v>1653.011043</v>
      </c>
      <c r="B2256" s="1">
        <f>DATE(2014,11,9) + TIME(0,15,54)</f>
        <v>41952.011041666665</v>
      </c>
      <c r="C2256">
        <v>80</v>
      </c>
      <c r="D2256">
        <v>79.409858704000001</v>
      </c>
      <c r="E2256">
        <v>40</v>
      </c>
      <c r="F2256">
        <v>40.023006439</v>
      </c>
      <c r="G2256">
        <v>1330.1784668</v>
      </c>
      <c r="H2256">
        <v>1329.3658447</v>
      </c>
      <c r="I2256">
        <v>1335.7211914</v>
      </c>
      <c r="J2256">
        <v>1333.9604492000001</v>
      </c>
      <c r="K2256">
        <v>0</v>
      </c>
      <c r="L2256">
        <v>1650</v>
      </c>
      <c r="M2256">
        <v>1650</v>
      </c>
      <c r="N2256">
        <v>0</v>
      </c>
    </row>
    <row r="2257" spans="1:14" x14ac:dyDescent="0.25">
      <c r="A2257">
        <v>1653.49701</v>
      </c>
      <c r="B2257" s="1">
        <f>DATE(2014,11,9) + TIME(11,55,41)</f>
        <v>41952.497002314813</v>
      </c>
      <c r="C2257">
        <v>80</v>
      </c>
      <c r="D2257">
        <v>79.380577087000006</v>
      </c>
      <c r="E2257">
        <v>40</v>
      </c>
      <c r="F2257">
        <v>40.014755248999997</v>
      </c>
      <c r="G2257">
        <v>1330.1574707</v>
      </c>
      <c r="H2257">
        <v>1329.3361815999999</v>
      </c>
      <c r="I2257">
        <v>1335.7199707</v>
      </c>
      <c r="J2257">
        <v>1333.9594727000001</v>
      </c>
      <c r="K2257">
        <v>0</v>
      </c>
      <c r="L2257">
        <v>1650</v>
      </c>
      <c r="M2257">
        <v>1650</v>
      </c>
      <c r="N2257">
        <v>0</v>
      </c>
    </row>
    <row r="2258" spans="1:14" x14ac:dyDescent="0.25">
      <c r="A2258">
        <v>1654.007245</v>
      </c>
      <c r="B2258" s="1">
        <f>DATE(2014,11,10) + TIME(0,10,26)</f>
        <v>41953.007245370369</v>
      </c>
      <c r="C2258">
        <v>80</v>
      </c>
      <c r="D2258">
        <v>79.350105286000002</v>
      </c>
      <c r="E2258">
        <v>40</v>
      </c>
      <c r="F2258">
        <v>40.008602142000001</v>
      </c>
      <c r="G2258">
        <v>1330.1359863</v>
      </c>
      <c r="H2258">
        <v>1329.3057861</v>
      </c>
      <c r="I2258">
        <v>1335.7188721</v>
      </c>
      <c r="J2258">
        <v>1333.9584961</v>
      </c>
      <c r="K2258">
        <v>0</v>
      </c>
      <c r="L2258">
        <v>1650</v>
      </c>
      <c r="M2258">
        <v>1650</v>
      </c>
      <c r="N2258">
        <v>0</v>
      </c>
    </row>
    <row r="2259" spans="1:14" x14ac:dyDescent="0.25">
      <c r="A2259">
        <v>1654.5348570000001</v>
      </c>
      <c r="B2259" s="1">
        <f>DATE(2014,11,10) + TIME(12,50,11)</f>
        <v>41953.534849537034</v>
      </c>
      <c r="C2259">
        <v>80</v>
      </c>
      <c r="D2259">
        <v>79.318717957000004</v>
      </c>
      <c r="E2259">
        <v>40</v>
      </c>
      <c r="F2259">
        <v>40.004081726000003</v>
      </c>
      <c r="G2259">
        <v>1330.1137695</v>
      </c>
      <c r="H2259">
        <v>1329.2746582</v>
      </c>
      <c r="I2259">
        <v>1335.7176514</v>
      </c>
      <c r="J2259">
        <v>1333.9575195</v>
      </c>
      <c r="K2259">
        <v>0</v>
      </c>
      <c r="L2259">
        <v>1650</v>
      </c>
      <c r="M2259">
        <v>1650</v>
      </c>
      <c r="N2259">
        <v>0</v>
      </c>
    </row>
    <row r="2260" spans="1:14" x14ac:dyDescent="0.25">
      <c r="A2260">
        <v>1655.079133</v>
      </c>
      <c r="B2260" s="1">
        <f>DATE(2014,11,11) + TIME(1,53,57)</f>
        <v>41954.079131944447</v>
      </c>
      <c r="C2260">
        <v>80</v>
      </c>
      <c r="D2260">
        <v>79.286483765</v>
      </c>
      <c r="E2260">
        <v>40</v>
      </c>
      <c r="F2260">
        <v>40.000766753999997</v>
      </c>
      <c r="G2260">
        <v>1330.0913086</v>
      </c>
      <c r="H2260">
        <v>1329.2429199000001</v>
      </c>
      <c r="I2260">
        <v>1335.7165527</v>
      </c>
      <c r="J2260">
        <v>1333.956543</v>
      </c>
      <c r="K2260">
        <v>0</v>
      </c>
      <c r="L2260">
        <v>1650</v>
      </c>
      <c r="M2260">
        <v>1650</v>
      </c>
      <c r="N2260">
        <v>0</v>
      </c>
    </row>
    <row r="2261" spans="1:14" x14ac:dyDescent="0.25">
      <c r="A2261">
        <v>1655.641646</v>
      </c>
      <c r="B2261" s="1">
        <f>DATE(2014,11,11) + TIME(15,23,58)</f>
        <v>41954.641643518517</v>
      </c>
      <c r="C2261">
        <v>80</v>
      </c>
      <c r="D2261">
        <v>79.253364563000005</v>
      </c>
      <c r="E2261">
        <v>40</v>
      </c>
      <c r="F2261">
        <v>39.998325348000002</v>
      </c>
      <c r="G2261">
        <v>1330.0684814000001</v>
      </c>
      <c r="H2261">
        <v>1329.2109375</v>
      </c>
      <c r="I2261">
        <v>1335.7154541</v>
      </c>
      <c r="J2261">
        <v>1333.9554443</v>
      </c>
      <c r="K2261">
        <v>0</v>
      </c>
      <c r="L2261">
        <v>1650</v>
      </c>
      <c r="M2261">
        <v>1650</v>
      </c>
      <c r="N2261">
        <v>0</v>
      </c>
    </row>
    <row r="2262" spans="1:14" x14ac:dyDescent="0.25">
      <c r="A2262">
        <v>1656.2240409999999</v>
      </c>
      <c r="B2262" s="1">
        <f>DATE(2014,11,12) + TIME(5,22,37)</f>
        <v>41955.224039351851</v>
      </c>
      <c r="C2262">
        <v>80</v>
      </c>
      <c r="D2262">
        <v>79.219306946000003</v>
      </c>
      <c r="E2262">
        <v>40</v>
      </c>
      <c r="F2262">
        <v>39.996513366999999</v>
      </c>
      <c r="G2262">
        <v>1330.0454102000001</v>
      </c>
      <c r="H2262">
        <v>1329.1783447</v>
      </c>
      <c r="I2262">
        <v>1335.7143555</v>
      </c>
      <c r="J2262">
        <v>1333.9544678</v>
      </c>
      <c r="K2262">
        <v>0</v>
      </c>
      <c r="L2262">
        <v>1650</v>
      </c>
      <c r="M2262">
        <v>1650</v>
      </c>
      <c r="N2262">
        <v>0</v>
      </c>
    </row>
    <row r="2263" spans="1:14" x14ac:dyDescent="0.25">
      <c r="A2263">
        <v>1656.8281449999999</v>
      </c>
      <c r="B2263" s="1">
        <f>DATE(2014,11,12) + TIME(19,52,31)</f>
        <v>41955.828136574077</v>
      </c>
      <c r="C2263">
        <v>80</v>
      </c>
      <c r="D2263">
        <v>79.184242248999993</v>
      </c>
      <c r="E2263">
        <v>40</v>
      </c>
      <c r="F2263">
        <v>39.995162964000002</v>
      </c>
      <c r="G2263">
        <v>1330.0218506000001</v>
      </c>
      <c r="H2263">
        <v>1329.1453856999999</v>
      </c>
      <c r="I2263">
        <v>1335.7133789</v>
      </c>
      <c r="J2263">
        <v>1333.9533690999999</v>
      </c>
      <c r="K2263">
        <v>0</v>
      </c>
      <c r="L2263">
        <v>1650</v>
      </c>
      <c r="M2263">
        <v>1650</v>
      </c>
      <c r="N2263">
        <v>0</v>
      </c>
    </row>
    <row r="2264" spans="1:14" x14ac:dyDescent="0.25">
      <c r="A2264">
        <v>1657.4559360000001</v>
      </c>
      <c r="B2264" s="1">
        <f>DATE(2014,11,13) + TIME(10,56,32)</f>
        <v>41956.455925925926</v>
      </c>
      <c r="C2264">
        <v>80</v>
      </c>
      <c r="D2264">
        <v>79.148071289000001</v>
      </c>
      <c r="E2264">
        <v>40</v>
      </c>
      <c r="F2264">
        <v>39.994144439999999</v>
      </c>
      <c r="G2264">
        <v>1329.9978027</v>
      </c>
      <c r="H2264">
        <v>1329.1119385</v>
      </c>
      <c r="I2264">
        <v>1335.7122803</v>
      </c>
      <c r="J2264">
        <v>1333.9523925999999</v>
      </c>
      <c r="K2264">
        <v>0</v>
      </c>
      <c r="L2264">
        <v>1650</v>
      </c>
      <c r="M2264">
        <v>1650</v>
      </c>
      <c r="N2264">
        <v>0</v>
      </c>
    </row>
    <row r="2265" spans="1:14" x14ac:dyDescent="0.25">
      <c r="A2265">
        <v>1658.1096219999999</v>
      </c>
      <c r="B2265" s="1">
        <f>DATE(2014,11,14) + TIME(2,37,51)</f>
        <v>41957.109618055554</v>
      </c>
      <c r="C2265">
        <v>80</v>
      </c>
      <c r="D2265">
        <v>79.110702515</v>
      </c>
      <c r="E2265">
        <v>40</v>
      </c>
      <c r="F2265">
        <v>39.993370056000003</v>
      </c>
      <c r="G2265">
        <v>1329.9733887</v>
      </c>
      <c r="H2265">
        <v>1329.0778809000001</v>
      </c>
      <c r="I2265">
        <v>1335.7113036999999</v>
      </c>
      <c r="J2265">
        <v>1333.9512939000001</v>
      </c>
      <c r="K2265">
        <v>0</v>
      </c>
      <c r="L2265">
        <v>1650</v>
      </c>
      <c r="M2265">
        <v>1650</v>
      </c>
      <c r="N2265">
        <v>0</v>
      </c>
    </row>
    <row r="2266" spans="1:14" x14ac:dyDescent="0.25">
      <c r="A2266">
        <v>1658.7916250000001</v>
      </c>
      <c r="B2266" s="1">
        <f>DATE(2014,11,14) + TIME(18,59,56)</f>
        <v>41957.791620370372</v>
      </c>
      <c r="C2266">
        <v>80</v>
      </c>
      <c r="D2266">
        <v>79.071998596</v>
      </c>
      <c r="E2266">
        <v>40</v>
      </c>
      <c r="F2266">
        <v>39.992774963000002</v>
      </c>
      <c r="G2266">
        <v>1329.9484863</v>
      </c>
      <c r="H2266">
        <v>1329.0432129000001</v>
      </c>
      <c r="I2266">
        <v>1335.7103271000001</v>
      </c>
      <c r="J2266">
        <v>1333.9501952999999</v>
      </c>
      <c r="K2266">
        <v>0</v>
      </c>
      <c r="L2266">
        <v>1650</v>
      </c>
      <c r="M2266">
        <v>1650</v>
      </c>
      <c r="N2266">
        <v>0</v>
      </c>
    </row>
    <row r="2267" spans="1:14" x14ac:dyDescent="0.25">
      <c r="A2267">
        <v>1659.504414</v>
      </c>
      <c r="B2267" s="1">
        <f>DATE(2014,11,15) + TIME(12,6,21)</f>
        <v>41958.50440972222</v>
      </c>
      <c r="C2267">
        <v>80</v>
      </c>
      <c r="D2267">
        <v>79.031829834000007</v>
      </c>
      <c r="E2267">
        <v>40</v>
      </c>
      <c r="F2267">
        <v>39.992313385000003</v>
      </c>
      <c r="G2267">
        <v>1329.9229736</v>
      </c>
      <c r="H2267">
        <v>1329.0078125</v>
      </c>
      <c r="I2267">
        <v>1335.7093506000001</v>
      </c>
      <c r="J2267">
        <v>1333.9490966999999</v>
      </c>
      <c r="K2267">
        <v>0</v>
      </c>
      <c r="L2267">
        <v>1650</v>
      </c>
      <c r="M2267">
        <v>1650</v>
      </c>
      <c r="N2267">
        <v>0</v>
      </c>
    </row>
    <row r="2268" spans="1:14" x14ac:dyDescent="0.25">
      <c r="A2268">
        <v>1660.238049</v>
      </c>
      <c r="B2268" s="1">
        <f>DATE(2014,11,16) + TIME(5,42,47)</f>
        <v>41959.238043981481</v>
      </c>
      <c r="C2268">
        <v>80</v>
      </c>
      <c r="D2268">
        <v>78.990478515999996</v>
      </c>
      <c r="E2268">
        <v>40</v>
      </c>
      <c r="F2268">
        <v>39.991958617999998</v>
      </c>
      <c r="G2268">
        <v>1329.8969727000001</v>
      </c>
      <c r="H2268">
        <v>1328.9716797000001</v>
      </c>
      <c r="I2268">
        <v>1335.708374</v>
      </c>
      <c r="J2268">
        <v>1333.9479980000001</v>
      </c>
      <c r="K2268">
        <v>0</v>
      </c>
      <c r="L2268">
        <v>1650</v>
      </c>
      <c r="M2268">
        <v>1650</v>
      </c>
      <c r="N2268">
        <v>0</v>
      </c>
    </row>
    <row r="2269" spans="1:14" x14ac:dyDescent="0.25">
      <c r="A2269">
        <v>1660.995639</v>
      </c>
      <c r="B2269" s="1">
        <f>DATE(2014,11,16) + TIME(23,53,43)</f>
        <v>41959.995636574073</v>
      </c>
      <c r="C2269">
        <v>80</v>
      </c>
      <c r="D2269">
        <v>78.947853088000002</v>
      </c>
      <c r="E2269">
        <v>40</v>
      </c>
      <c r="F2269">
        <v>39.991676331000001</v>
      </c>
      <c r="G2269">
        <v>1329.8704834</v>
      </c>
      <c r="H2269">
        <v>1328.9351807</v>
      </c>
      <c r="I2269">
        <v>1335.7075195</v>
      </c>
      <c r="J2269">
        <v>1333.9468993999999</v>
      </c>
      <c r="K2269">
        <v>0</v>
      </c>
      <c r="L2269">
        <v>1650</v>
      </c>
      <c r="M2269">
        <v>1650</v>
      </c>
      <c r="N2269">
        <v>0</v>
      </c>
    </row>
    <row r="2270" spans="1:14" x14ac:dyDescent="0.25">
      <c r="A2270">
        <v>1661.7830260000001</v>
      </c>
      <c r="B2270" s="1">
        <f>DATE(2014,11,17) + TIME(18,47,33)</f>
        <v>41960.783020833333</v>
      </c>
      <c r="C2270">
        <v>80</v>
      </c>
      <c r="D2270">
        <v>78.903747558999996</v>
      </c>
      <c r="E2270">
        <v>40</v>
      </c>
      <c r="F2270">
        <v>39.991458893000001</v>
      </c>
      <c r="G2270">
        <v>1329.84375</v>
      </c>
      <c r="H2270">
        <v>1328.8981934000001</v>
      </c>
      <c r="I2270">
        <v>1335.7066649999999</v>
      </c>
      <c r="J2270">
        <v>1333.9458007999999</v>
      </c>
      <c r="K2270">
        <v>0</v>
      </c>
      <c r="L2270">
        <v>1650</v>
      </c>
      <c r="M2270">
        <v>1650</v>
      </c>
      <c r="N2270">
        <v>0</v>
      </c>
    </row>
    <row r="2271" spans="1:14" x14ac:dyDescent="0.25">
      <c r="A2271">
        <v>1662.6068150000001</v>
      </c>
      <c r="B2271" s="1">
        <f>DATE(2014,11,18) + TIME(14,33,48)</f>
        <v>41961.606805555559</v>
      </c>
      <c r="C2271">
        <v>80</v>
      </c>
      <c r="D2271">
        <v>78.857856749999996</v>
      </c>
      <c r="E2271">
        <v>40</v>
      </c>
      <c r="F2271">
        <v>39.991279601999999</v>
      </c>
      <c r="G2271">
        <v>1329.8164062000001</v>
      </c>
      <c r="H2271">
        <v>1328.8605957</v>
      </c>
      <c r="I2271">
        <v>1335.7058105000001</v>
      </c>
      <c r="J2271">
        <v>1333.9447021000001</v>
      </c>
      <c r="K2271">
        <v>0</v>
      </c>
      <c r="L2271">
        <v>1650</v>
      </c>
      <c r="M2271">
        <v>1650</v>
      </c>
      <c r="N2271">
        <v>0</v>
      </c>
    </row>
    <row r="2272" spans="1:14" x14ac:dyDescent="0.25">
      <c r="A2272">
        <v>1663.4747689999999</v>
      </c>
      <c r="B2272" s="1">
        <f>DATE(2014,11,19) + TIME(11,23,40)</f>
        <v>41962.474768518521</v>
      </c>
      <c r="C2272">
        <v>80</v>
      </c>
      <c r="D2272">
        <v>78.809814453000001</v>
      </c>
      <c r="E2272">
        <v>40</v>
      </c>
      <c r="F2272">
        <v>39.991134643999999</v>
      </c>
      <c r="G2272">
        <v>1329.7884521000001</v>
      </c>
      <c r="H2272">
        <v>1328.8221435999999</v>
      </c>
      <c r="I2272">
        <v>1335.7049560999999</v>
      </c>
      <c r="J2272">
        <v>1333.9437256000001</v>
      </c>
      <c r="K2272">
        <v>0</v>
      </c>
      <c r="L2272">
        <v>1650</v>
      </c>
      <c r="M2272">
        <v>1650</v>
      </c>
      <c r="N2272">
        <v>0</v>
      </c>
    </row>
    <row r="2273" spans="1:14" x14ac:dyDescent="0.25">
      <c r="A2273">
        <v>1664.378195</v>
      </c>
      <c r="B2273" s="1">
        <f>DATE(2014,11,20) + TIME(9,4,36)</f>
        <v>41963.378194444442</v>
      </c>
      <c r="C2273">
        <v>80</v>
      </c>
      <c r="D2273">
        <v>78.759666443</v>
      </c>
      <c r="E2273">
        <v>40</v>
      </c>
      <c r="F2273">
        <v>39.991020202999998</v>
      </c>
      <c r="G2273">
        <v>1329.7597656</v>
      </c>
      <c r="H2273">
        <v>1328.7827147999999</v>
      </c>
      <c r="I2273">
        <v>1335.7041016000001</v>
      </c>
      <c r="J2273">
        <v>1333.9426269999999</v>
      </c>
      <c r="K2273">
        <v>0</v>
      </c>
      <c r="L2273">
        <v>1650</v>
      </c>
      <c r="M2273">
        <v>1650</v>
      </c>
      <c r="N2273">
        <v>0</v>
      </c>
    </row>
    <row r="2274" spans="1:14" x14ac:dyDescent="0.25">
      <c r="A2274">
        <v>1665.311582</v>
      </c>
      <c r="B2274" s="1">
        <f>DATE(2014,11,21) + TIME(7,28,40)</f>
        <v>41964.311574074076</v>
      </c>
      <c r="C2274">
        <v>80</v>
      </c>
      <c r="D2274">
        <v>78.707542419000006</v>
      </c>
      <c r="E2274">
        <v>40</v>
      </c>
      <c r="F2274">
        <v>39.990924835000001</v>
      </c>
      <c r="G2274">
        <v>1329.7303466999999</v>
      </c>
      <c r="H2274">
        <v>1328.7425536999999</v>
      </c>
      <c r="I2274">
        <v>1335.7032471</v>
      </c>
      <c r="J2274">
        <v>1333.9415283000001</v>
      </c>
      <c r="K2274">
        <v>0</v>
      </c>
      <c r="L2274">
        <v>1650</v>
      </c>
      <c r="M2274">
        <v>1650</v>
      </c>
      <c r="N2274">
        <v>0</v>
      </c>
    </row>
    <row r="2275" spans="1:14" x14ac:dyDescent="0.25">
      <c r="A2275">
        <v>1666.2817709999999</v>
      </c>
      <c r="B2275" s="1">
        <f>DATE(2014,11,22) + TIME(6,45,44)</f>
        <v>41965.281759259262</v>
      </c>
      <c r="C2275">
        <v>80</v>
      </c>
      <c r="D2275">
        <v>78.653228760000005</v>
      </c>
      <c r="E2275">
        <v>40</v>
      </c>
      <c r="F2275">
        <v>39.990848540999998</v>
      </c>
      <c r="G2275">
        <v>1329.7005615</v>
      </c>
      <c r="H2275">
        <v>1328.7019043</v>
      </c>
      <c r="I2275">
        <v>1335.7025146000001</v>
      </c>
      <c r="J2275">
        <v>1333.9404297000001</v>
      </c>
      <c r="K2275">
        <v>0</v>
      </c>
      <c r="L2275">
        <v>1650</v>
      </c>
      <c r="M2275">
        <v>1650</v>
      </c>
      <c r="N2275">
        <v>0</v>
      </c>
    </row>
    <row r="2276" spans="1:14" x14ac:dyDescent="0.25">
      <c r="A2276">
        <v>1667.2962970000001</v>
      </c>
      <c r="B2276" s="1">
        <f>DATE(2014,11,23) + TIME(7,6,40)</f>
        <v>41966.296296296299</v>
      </c>
      <c r="C2276">
        <v>80</v>
      </c>
      <c r="D2276">
        <v>78.596397400000001</v>
      </c>
      <c r="E2276">
        <v>40</v>
      </c>
      <c r="F2276">
        <v>39.990779877000001</v>
      </c>
      <c r="G2276">
        <v>1329.6701660000001</v>
      </c>
      <c r="H2276">
        <v>1328.6605225000001</v>
      </c>
      <c r="I2276">
        <v>1335.7017822</v>
      </c>
      <c r="J2276">
        <v>1333.9394531</v>
      </c>
      <c r="K2276">
        <v>0</v>
      </c>
      <c r="L2276">
        <v>1650</v>
      </c>
      <c r="M2276">
        <v>1650</v>
      </c>
      <c r="N2276">
        <v>0</v>
      </c>
    </row>
    <row r="2277" spans="1:14" x14ac:dyDescent="0.25">
      <c r="A2277">
        <v>1668.3359270000001</v>
      </c>
      <c r="B2277" s="1">
        <f>DATE(2014,11,24) + TIME(8,3,44)</f>
        <v>41967.335925925923</v>
      </c>
      <c r="C2277">
        <v>80</v>
      </c>
      <c r="D2277">
        <v>78.537361145000006</v>
      </c>
      <c r="E2277">
        <v>40</v>
      </c>
      <c r="F2277">
        <v>39.990726471000002</v>
      </c>
      <c r="G2277">
        <v>1329.6392822</v>
      </c>
      <c r="H2277">
        <v>1328.6184082</v>
      </c>
      <c r="I2277">
        <v>1335.7010498</v>
      </c>
      <c r="J2277">
        <v>1333.9384766000001</v>
      </c>
      <c r="K2277">
        <v>0</v>
      </c>
      <c r="L2277">
        <v>1650</v>
      </c>
      <c r="M2277">
        <v>1650</v>
      </c>
      <c r="N2277">
        <v>0</v>
      </c>
    </row>
    <row r="2278" spans="1:14" x14ac:dyDescent="0.25">
      <c r="A2278">
        <v>1669.397068</v>
      </c>
      <c r="B2278" s="1">
        <f>DATE(2014,11,25) + TIME(9,31,46)</f>
        <v>41968.397060185183</v>
      </c>
      <c r="C2278">
        <v>80</v>
      </c>
      <c r="D2278">
        <v>78.476333617999998</v>
      </c>
      <c r="E2278">
        <v>40</v>
      </c>
      <c r="F2278">
        <v>39.990680695000002</v>
      </c>
      <c r="G2278">
        <v>1329.6080322</v>
      </c>
      <c r="H2278">
        <v>1328.5760498</v>
      </c>
      <c r="I2278">
        <v>1335.7004394999999</v>
      </c>
      <c r="J2278">
        <v>1333.9373779</v>
      </c>
      <c r="K2278">
        <v>0</v>
      </c>
      <c r="L2278">
        <v>1650</v>
      </c>
      <c r="M2278">
        <v>1650</v>
      </c>
      <c r="N2278">
        <v>0</v>
      </c>
    </row>
    <row r="2279" spans="1:14" x14ac:dyDescent="0.25">
      <c r="A2279">
        <v>1670.4756050000001</v>
      </c>
      <c r="B2279" s="1">
        <f>DATE(2014,11,26) + TIME(11,24,52)</f>
        <v>41969.475601851853</v>
      </c>
      <c r="C2279">
        <v>80</v>
      </c>
      <c r="D2279">
        <v>78.413528442</v>
      </c>
      <c r="E2279">
        <v>40</v>
      </c>
      <c r="F2279">
        <v>39.990638732999997</v>
      </c>
      <c r="G2279">
        <v>1329.5766602000001</v>
      </c>
      <c r="H2279">
        <v>1328.5335693</v>
      </c>
      <c r="I2279">
        <v>1335.699707</v>
      </c>
      <c r="J2279">
        <v>1333.9365233999999</v>
      </c>
      <c r="K2279">
        <v>0</v>
      </c>
      <c r="L2279">
        <v>1650</v>
      </c>
      <c r="M2279">
        <v>1650</v>
      </c>
      <c r="N2279">
        <v>0</v>
      </c>
    </row>
    <row r="2280" spans="1:14" x14ac:dyDescent="0.25">
      <c r="A2280">
        <v>1671.57916</v>
      </c>
      <c r="B2280" s="1">
        <f>DATE(2014,11,27) + TIME(13,53,59)</f>
        <v>41970.579155092593</v>
      </c>
      <c r="C2280">
        <v>80</v>
      </c>
      <c r="D2280">
        <v>78.348777771000002</v>
      </c>
      <c r="E2280">
        <v>40</v>
      </c>
      <c r="F2280">
        <v>39.990600585999999</v>
      </c>
      <c r="G2280">
        <v>1329.5454102000001</v>
      </c>
      <c r="H2280">
        <v>1328.4912108999999</v>
      </c>
      <c r="I2280">
        <v>1335.6992187999999</v>
      </c>
      <c r="J2280">
        <v>1333.9355469</v>
      </c>
      <c r="K2280">
        <v>0</v>
      </c>
      <c r="L2280">
        <v>1650</v>
      </c>
      <c r="M2280">
        <v>1650</v>
      </c>
      <c r="N2280">
        <v>0</v>
      </c>
    </row>
    <row r="2281" spans="1:14" x14ac:dyDescent="0.25">
      <c r="A2281">
        <v>1672.715698</v>
      </c>
      <c r="B2281" s="1">
        <f>DATE(2014,11,28) + TIME(17,10,36)</f>
        <v>41971.715694444443</v>
      </c>
      <c r="C2281">
        <v>80</v>
      </c>
      <c r="D2281">
        <v>78.281730651999993</v>
      </c>
      <c r="E2281">
        <v>40</v>
      </c>
      <c r="F2281">
        <v>39.990566254000001</v>
      </c>
      <c r="G2281">
        <v>1329.5140381000001</v>
      </c>
      <c r="H2281">
        <v>1328.4488524999999</v>
      </c>
      <c r="I2281">
        <v>1335.6986084</v>
      </c>
      <c r="J2281">
        <v>1333.9346923999999</v>
      </c>
      <c r="K2281">
        <v>0</v>
      </c>
      <c r="L2281">
        <v>1650</v>
      </c>
      <c r="M2281">
        <v>1650</v>
      </c>
      <c r="N2281">
        <v>0</v>
      </c>
    </row>
    <row r="2282" spans="1:14" x14ac:dyDescent="0.25">
      <c r="A2282">
        <v>1673.8939969999999</v>
      </c>
      <c r="B2282" s="1">
        <f>DATE(2014,11,29) + TIME(21,27,21)</f>
        <v>41972.893993055557</v>
      </c>
      <c r="C2282">
        <v>80</v>
      </c>
      <c r="D2282">
        <v>78.211906432999996</v>
      </c>
      <c r="E2282">
        <v>40</v>
      </c>
      <c r="F2282">
        <v>39.990535735999998</v>
      </c>
      <c r="G2282">
        <v>1329.4825439000001</v>
      </c>
      <c r="H2282">
        <v>1328.4063721</v>
      </c>
      <c r="I2282">
        <v>1335.6979980000001</v>
      </c>
      <c r="J2282">
        <v>1333.9339600000001</v>
      </c>
      <c r="K2282">
        <v>0</v>
      </c>
      <c r="L2282">
        <v>1650</v>
      </c>
      <c r="M2282">
        <v>1650</v>
      </c>
      <c r="N2282">
        <v>0</v>
      </c>
    </row>
    <row r="2283" spans="1:14" x14ac:dyDescent="0.25">
      <c r="A2283">
        <v>1675</v>
      </c>
      <c r="B2283" s="1">
        <f>DATE(2014,12,1) + TIME(0,0,0)</f>
        <v>41974</v>
      </c>
      <c r="C2283">
        <v>80</v>
      </c>
      <c r="D2283">
        <v>78.142150878999999</v>
      </c>
      <c r="E2283">
        <v>40</v>
      </c>
      <c r="F2283">
        <v>39.990505218999999</v>
      </c>
      <c r="G2283">
        <v>1329.4506836</v>
      </c>
      <c r="H2283">
        <v>1328.3637695</v>
      </c>
      <c r="I2283">
        <v>1335.6975098</v>
      </c>
      <c r="J2283">
        <v>1333.9331055</v>
      </c>
      <c r="K2283">
        <v>0</v>
      </c>
      <c r="L2283">
        <v>1650</v>
      </c>
      <c r="M2283">
        <v>1650</v>
      </c>
      <c r="N2283">
        <v>0</v>
      </c>
    </row>
    <row r="2284" spans="1:14" x14ac:dyDescent="0.25">
      <c r="A2284">
        <v>1676.2300279999999</v>
      </c>
      <c r="B2284" s="1">
        <f>DATE(2014,12,2) + TIME(5,31,14)</f>
        <v>41975.230023148149</v>
      </c>
      <c r="C2284">
        <v>80</v>
      </c>
      <c r="D2284">
        <v>78.068901061999995</v>
      </c>
      <c r="E2284">
        <v>40</v>
      </c>
      <c r="F2284">
        <v>39.990474700999997</v>
      </c>
      <c r="G2284">
        <v>1329.4205322</v>
      </c>
      <c r="H2284">
        <v>1328.3227539</v>
      </c>
      <c r="I2284">
        <v>1335.6970214999999</v>
      </c>
      <c r="J2284">
        <v>1333.9323730000001</v>
      </c>
      <c r="K2284">
        <v>0</v>
      </c>
      <c r="L2284">
        <v>1650</v>
      </c>
      <c r="M2284">
        <v>1650</v>
      </c>
      <c r="N2284">
        <v>0</v>
      </c>
    </row>
    <row r="2285" spans="1:14" x14ac:dyDescent="0.25">
      <c r="A2285">
        <v>1677.5615539999999</v>
      </c>
      <c r="B2285" s="1">
        <f>DATE(2014,12,3) + TIME(13,28,38)</f>
        <v>41976.561550925922</v>
      </c>
      <c r="C2285">
        <v>80</v>
      </c>
      <c r="D2285">
        <v>77.990066528</v>
      </c>
      <c r="E2285">
        <v>40</v>
      </c>
      <c r="F2285">
        <v>39.990444183000001</v>
      </c>
      <c r="G2285">
        <v>1329.3887939000001</v>
      </c>
      <c r="H2285">
        <v>1328.2803954999999</v>
      </c>
      <c r="I2285">
        <v>1335.6965332</v>
      </c>
      <c r="J2285">
        <v>1333.9316406</v>
      </c>
      <c r="K2285">
        <v>0</v>
      </c>
      <c r="L2285">
        <v>1650</v>
      </c>
      <c r="M2285">
        <v>1650</v>
      </c>
      <c r="N2285">
        <v>0</v>
      </c>
    </row>
    <row r="2286" spans="1:14" x14ac:dyDescent="0.25">
      <c r="A2286">
        <v>1678.920404</v>
      </c>
      <c r="B2286" s="1">
        <f>DATE(2014,12,4) + TIME(22,5,22)</f>
        <v>41977.920393518521</v>
      </c>
      <c r="C2286">
        <v>80</v>
      </c>
      <c r="D2286">
        <v>77.906333923000005</v>
      </c>
      <c r="E2286">
        <v>40</v>
      </c>
      <c r="F2286">
        <v>39.990409851000003</v>
      </c>
      <c r="G2286">
        <v>1329.3555908000001</v>
      </c>
      <c r="H2286">
        <v>1328.2363281</v>
      </c>
      <c r="I2286">
        <v>1335.6961670000001</v>
      </c>
      <c r="J2286">
        <v>1333.9309082</v>
      </c>
      <c r="K2286">
        <v>0</v>
      </c>
      <c r="L2286">
        <v>1650</v>
      </c>
      <c r="M2286">
        <v>1650</v>
      </c>
      <c r="N2286">
        <v>0</v>
      </c>
    </row>
    <row r="2287" spans="1:14" x14ac:dyDescent="0.25">
      <c r="A2287">
        <v>1680.299458</v>
      </c>
      <c r="B2287" s="1">
        <f>DATE(2014,12,6) + TIME(7,11,13)</f>
        <v>41979.299456018518</v>
      </c>
      <c r="C2287">
        <v>80</v>
      </c>
      <c r="D2287">
        <v>77.818969726999995</v>
      </c>
      <c r="E2287">
        <v>40</v>
      </c>
      <c r="F2287">
        <v>39.990379333</v>
      </c>
      <c r="G2287">
        <v>1329.3220214999999</v>
      </c>
      <c r="H2287">
        <v>1328.1916504000001</v>
      </c>
      <c r="I2287">
        <v>1335.6956786999999</v>
      </c>
      <c r="J2287">
        <v>1333.9302978999999</v>
      </c>
      <c r="K2287">
        <v>0</v>
      </c>
      <c r="L2287">
        <v>1650</v>
      </c>
      <c r="M2287">
        <v>1650</v>
      </c>
      <c r="N2287">
        <v>0</v>
      </c>
    </row>
    <row r="2288" spans="1:14" x14ac:dyDescent="0.25">
      <c r="A2288">
        <v>1681.7039360000001</v>
      </c>
      <c r="B2288" s="1">
        <f>DATE(2014,12,7) + TIME(16,53,40)</f>
        <v>41980.703935185185</v>
      </c>
      <c r="C2288">
        <v>80</v>
      </c>
      <c r="D2288">
        <v>77.728446959999999</v>
      </c>
      <c r="E2288">
        <v>40</v>
      </c>
      <c r="F2288">
        <v>39.990348816000001</v>
      </c>
      <c r="G2288">
        <v>1329.2884521000001</v>
      </c>
      <c r="H2288">
        <v>1328.1468506000001</v>
      </c>
      <c r="I2288">
        <v>1335.6951904</v>
      </c>
      <c r="J2288">
        <v>1333.9296875</v>
      </c>
      <c r="K2288">
        <v>0</v>
      </c>
      <c r="L2288">
        <v>1650</v>
      </c>
      <c r="M2288">
        <v>1650</v>
      </c>
      <c r="N2288">
        <v>0</v>
      </c>
    </row>
    <row r="2289" spans="1:14" x14ac:dyDescent="0.25">
      <c r="A2289">
        <v>1683.145313</v>
      </c>
      <c r="B2289" s="1">
        <f>DATE(2014,12,9) + TIME(3,29,15)</f>
        <v>41982.145312499997</v>
      </c>
      <c r="C2289">
        <v>80</v>
      </c>
      <c r="D2289">
        <v>77.634552002000007</v>
      </c>
      <c r="E2289">
        <v>40</v>
      </c>
      <c r="F2289">
        <v>39.990318297999998</v>
      </c>
      <c r="G2289">
        <v>1329.2548827999999</v>
      </c>
      <c r="H2289">
        <v>1328.1024170000001</v>
      </c>
      <c r="I2289">
        <v>1335.6948242000001</v>
      </c>
      <c r="J2289">
        <v>1333.9290771000001</v>
      </c>
      <c r="K2289">
        <v>0</v>
      </c>
      <c r="L2289">
        <v>1650</v>
      </c>
      <c r="M2289">
        <v>1650</v>
      </c>
      <c r="N2289">
        <v>0</v>
      </c>
    </row>
    <row r="2290" spans="1:14" x14ac:dyDescent="0.25">
      <c r="A2290">
        <v>1684.6359689999999</v>
      </c>
      <c r="B2290" s="1">
        <f>DATE(2014,12,10) + TIME(15,15,47)</f>
        <v>41983.635960648149</v>
      </c>
      <c r="C2290">
        <v>80</v>
      </c>
      <c r="D2290">
        <v>77.536697387999993</v>
      </c>
      <c r="E2290">
        <v>40</v>
      </c>
      <c r="F2290">
        <v>39.990283966</v>
      </c>
      <c r="G2290">
        <v>1329.2214355000001</v>
      </c>
      <c r="H2290">
        <v>1328.0578613</v>
      </c>
      <c r="I2290">
        <v>1335.6944579999999</v>
      </c>
      <c r="J2290">
        <v>1333.9284668</v>
      </c>
      <c r="K2290">
        <v>0</v>
      </c>
      <c r="L2290">
        <v>1650</v>
      </c>
      <c r="M2290">
        <v>1650</v>
      </c>
      <c r="N2290">
        <v>0</v>
      </c>
    </row>
    <row r="2291" spans="1:14" x14ac:dyDescent="0.25">
      <c r="A2291">
        <v>1686.159148</v>
      </c>
      <c r="B2291" s="1">
        <f>DATE(2014,12,12) + TIME(3,49,10)</f>
        <v>41985.159143518518</v>
      </c>
      <c r="C2291">
        <v>80</v>
      </c>
      <c r="D2291">
        <v>77.434791564999998</v>
      </c>
      <c r="E2291">
        <v>40</v>
      </c>
      <c r="F2291">
        <v>39.990249634000001</v>
      </c>
      <c r="G2291">
        <v>1329.1876221</v>
      </c>
      <c r="H2291">
        <v>1328.0131836</v>
      </c>
      <c r="I2291">
        <v>1335.6940918</v>
      </c>
      <c r="J2291">
        <v>1333.9279785000001</v>
      </c>
      <c r="K2291">
        <v>0</v>
      </c>
      <c r="L2291">
        <v>1650</v>
      </c>
      <c r="M2291">
        <v>1650</v>
      </c>
      <c r="N2291">
        <v>0</v>
      </c>
    </row>
    <row r="2292" spans="1:14" x14ac:dyDescent="0.25">
      <c r="A2292">
        <v>1687.719916</v>
      </c>
      <c r="B2292" s="1">
        <f>DATE(2014,12,13) + TIME(17,16,40)</f>
        <v>41986.719907407409</v>
      </c>
      <c r="C2292">
        <v>80</v>
      </c>
      <c r="D2292">
        <v>77.328918457</v>
      </c>
      <c r="E2292">
        <v>40</v>
      </c>
      <c r="F2292">
        <v>39.990219115999999</v>
      </c>
      <c r="G2292">
        <v>1329.1538086</v>
      </c>
      <c r="H2292">
        <v>1327.9685059000001</v>
      </c>
      <c r="I2292">
        <v>1335.6937256000001</v>
      </c>
      <c r="J2292">
        <v>1333.9274902</v>
      </c>
      <c r="K2292">
        <v>0</v>
      </c>
      <c r="L2292">
        <v>1650</v>
      </c>
      <c r="M2292">
        <v>1650</v>
      </c>
      <c r="N2292">
        <v>0</v>
      </c>
    </row>
    <row r="2293" spans="1:14" x14ac:dyDescent="0.25">
      <c r="A2293">
        <v>1689.330346</v>
      </c>
      <c r="B2293" s="1">
        <f>DATE(2014,12,15) + TIME(7,55,41)</f>
        <v>41988.330335648148</v>
      </c>
      <c r="C2293">
        <v>80</v>
      </c>
      <c r="D2293">
        <v>77.218688964999998</v>
      </c>
      <c r="E2293">
        <v>40</v>
      </c>
      <c r="F2293">
        <v>39.990184784</v>
      </c>
      <c r="G2293">
        <v>1329.1198730000001</v>
      </c>
      <c r="H2293">
        <v>1327.9238281</v>
      </c>
      <c r="I2293">
        <v>1335.6933594</v>
      </c>
      <c r="J2293">
        <v>1333.927124</v>
      </c>
      <c r="K2293">
        <v>0</v>
      </c>
      <c r="L2293">
        <v>1650</v>
      </c>
      <c r="M2293">
        <v>1650</v>
      </c>
      <c r="N2293">
        <v>0</v>
      </c>
    </row>
    <row r="2294" spans="1:14" x14ac:dyDescent="0.25">
      <c r="A2294">
        <v>1691.004011</v>
      </c>
      <c r="B2294" s="1">
        <f>DATE(2014,12,17) + TIME(0,5,46)</f>
        <v>41990.004004629627</v>
      </c>
      <c r="C2294">
        <v>80</v>
      </c>
      <c r="D2294">
        <v>77.103340149000005</v>
      </c>
      <c r="E2294">
        <v>40</v>
      </c>
      <c r="F2294">
        <v>39.990146637000002</v>
      </c>
      <c r="G2294">
        <v>1329.0859375</v>
      </c>
      <c r="H2294">
        <v>1327.8790283000001</v>
      </c>
      <c r="I2294">
        <v>1335.6929932</v>
      </c>
      <c r="J2294">
        <v>1333.9267577999999</v>
      </c>
      <c r="K2294">
        <v>0</v>
      </c>
      <c r="L2294">
        <v>1650</v>
      </c>
      <c r="M2294">
        <v>1650</v>
      </c>
      <c r="N2294">
        <v>0</v>
      </c>
    </row>
    <row r="2295" spans="1:14" x14ac:dyDescent="0.25">
      <c r="A2295">
        <v>1692.7568060000001</v>
      </c>
      <c r="B2295" s="1">
        <f>DATE(2014,12,18) + TIME(18,9,48)</f>
        <v>41991.756805555553</v>
      </c>
      <c r="C2295">
        <v>80</v>
      </c>
      <c r="D2295">
        <v>76.981857300000001</v>
      </c>
      <c r="E2295">
        <v>40</v>
      </c>
      <c r="F2295">
        <v>39.990112304999997</v>
      </c>
      <c r="G2295">
        <v>1329.0513916</v>
      </c>
      <c r="H2295">
        <v>1327.8338623</v>
      </c>
      <c r="I2295">
        <v>1335.6926269999999</v>
      </c>
      <c r="J2295">
        <v>1333.9263916</v>
      </c>
      <c r="K2295">
        <v>0</v>
      </c>
      <c r="L2295">
        <v>1650</v>
      </c>
      <c r="M2295">
        <v>1650</v>
      </c>
      <c r="N2295">
        <v>0</v>
      </c>
    </row>
    <row r="2296" spans="1:14" x14ac:dyDescent="0.25">
      <c r="A2296">
        <v>1694.5218520000001</v>
      </c>
      <c r="B2296" s="1">
        <f>DATE(2014,12,20) + TIME(12,31,27)</f>
        <v>41993.521840277775</v>
      </c>
      <c r="C2296">
        <v>80</v>
      </c>
      <c r="D2296">
        <v>76.854988098000007</v>
      </c>
      <c r="E2296">
        <v>40</v>
      </c>
      <c r="F2296">
        <v>39.990074157999999</v>
      </c>
      <c r="G2296">
        <v>1329.0163574000001</v>
      </c>
      <c r="H2296">
        <v>1327.7880858999999</v>
      </c>
      <c r="I2296">
        <v>1335.6923827999999</v>
      </c>
      <c r="J2296">
        <v>1333.9260254000001</v>
      </c>
      <c r="K2296">
        <v>0</v>
      </c>
      <c r="L2296">
        <v>1650</v>
      </c>
      <c r="M2296">
        <v>1650</v>
      </c>
      <c r="N2296">
        <v>0</v>
      </c>
    </row>
    <row r="2297" spans="1:14" x14ac:dyDescent="0.25">
      <c r="A2297">
        <v>1696.3086519999999</v>
      </c>
      <c r="B2297" s="1">
        <f>DATE(2014,12,22) + TIME(7,24,27)</f>
        <v>41995.308645833335</v>
      </c>
      <c r="C2297">
        <v>80</v>
      </c>
      <c r="D2297">
        <v>76.724418639999996</v>
      </c>
      <c r="E2297">
        <v>40</v>
      </c>
      <c r="F2297">
        <v>39.990036011000001</v>
      </c>
      <c r="G2297">
        <v>1328.9815673999999</v>
      </c>
      <c r="H2297">
        <v>1327.7424315999999</v>
      </c>
      <c r="I2297">
        <v>1335.6920166</v>
      </c>
      <c r="J2297">
        <v>1333.9257812000001</v>
      </c>
      <c r="K2297">
        <v>0</v>
      </c>
      <c r="L2297">
        <v>1650</v>
      </c>
      <c r="M2297">
        <v>1650</v>
      </c>
      <c r="N2297">
        <v>0</v>
      </c>
    </row>
    <row r="2298" spans="1:14" x14ac:dyDescent="0.25">
      <c r="A2298">
        <v>1698.131926</v>
      </c>
      <c r="B2298" s="1">
        <f>DATE(2014,12,24) + TIME(3,9,58)</f>
        <v>41997.131921296299</v>
      </c>
      <c r="C2298">
        <v>80</v>
      </c>
      <c r="D2298">
        <v>76.590148925999998</v>
      </c>
      <c r="E2298">
        <v>40</v>
      </c>
      <c r="F2298">
        <v>39.990001677999999</v>
      </c>
      <c r="G2298">
        <v>1328.9471435999999</v>
      </c>
      <c r="H2298">
        <v>1327.6973877</v>
      </c>
      <c r="I2298">
        <v>1335.6916504000001</v>
      </c>
      <c r="J2298">
        <v>1333.9255370999999</v>
      </c>
      <c r="K2298">
        <v>0</v>
      </c>
      <c r="L2298">
        <v>1650</v>
      </c>
      <c r="M2298">
        <v>1650</v>
      </c>
      <c r="N2298">
        <v>0</v>
      </c>
    </row>
    <row r="2299" spans="1:14" x14ac:dyDescent="0.25">
      <c r="A2299">
        <v>1700.0072090000001</v>
      </c>
      <c r="B2299" s="1">
        <f>DATE(2014,12,26) + TIME(0,10,22)</f>
        <v>41999.007199074076</v>
      </c>
      <c r="C2299">
        <v>80</v>
      </c>
      <c r="D2299">
        <v>76.451446532999995</v>
      </c>
      <c r="E2299">
        <v>40</v>
      </c>
      <c r="F2299">
        <v>39.989959716999998</v>
      </c>
      <c r="G2299">
        <v>1328.9128418</v>
      </c>
      <c r="H2299">
        <v>1327.6525879000001</v>
      </c>
      <c r="I2299">
        <v>1335.6914062000001</v>
      </c>
      <c r="J2299">
        <v>1333.925293</v>
      </c>
      <c r="K2299">
        <v>0</v>
      </c>
      <c r="L2299">
        <v>1650</v>
      </c>
      <c r="M2299">
        <v>1650</v>
      </c>
      <c r="N2299">
        <v>0</v>
      </c>
    </row>
    <row r="2300" spans="1:14" x14ac:dyDescent="0.25">
      <c r="A2300">
        <v>1701.950566</v>
      </c>
      <c r="B2300" s="1">
        <f>DATE(2014,12,27) + TIME(22,48,48)</f>
        <v>42000.950555555559</v>
      </c>
      <c r="C2300">
        <v>80</v>
      </c>
      <c r="D2300">
        <v>76.307243346999996</v>
      </c>
      <c r="E2300">
        <v>40</v>
      </c>
      <c r="F2300">
        <v>39.98992157</v>
      </c>
      <c r="G2300">
        <v>1328.8785399999999</v>
      </c>
      <c r="H2300">
        <v>1327.6079102000001</v>
      </c>
      <c r="I2300">
        <v>1335.6911620999999</v>
      </c>
      <c r="J2300">
        <v>1333.9251709</v>
      </c>
      <c r="K2300">
        <v>0</v>
      </c>
      <c r="L2300">
        <v>1650</v>
      </c>
      <c r="M2300">
        <v>1650</v>
      </c>
      <c r="N2300">
        <v>0</v>
      </c>
    </row>
    <row r="2301" spans="1:14" x14ac:dyDescent="0.25">
      <c r="A2301">
        <v>1703.9210619999999</v>
      </c>
      <c r="B2301" s="1">
        <f>DATE(2014,12,29) + TIME(22,6,19)</f>
        <v>42002.921053240738</v>
      </c>
      <c r="C2301">
        <v>80</v>
      </c>
      <c r="D2301">
        <v>76.157630920000003</v>
      </c>
      <c r="E2301">
        <v>40</v>
      </c>
      <c r="F2301">
        <v>39.989883423000002</v>
      </c>
      <c r="G2301">
        <v>1328.8439940999999</v>
      </c>
      <c r="H2301">
        <v>1327.5631103999999</v>
      </c>
      <c r="I2301">
        <v>1335.6907959</v>
      </c>
      <c r="J2301">
        <v>1333.9249268000001</v>
      </c>
      <c r="K2301">
        <v>0</v>
      </c>
      <c r="L2301">
        <v>1650</v>
      </c>
      <c r="M2301">
        <v>1650</v>
      </c>
      <c r="N2301">
        <v>0</v>
      </c>
    </row>
    <row r="2302" spans="1:14" x14ac:dyDescent="0.25">
      <c r="A2302">
        <v>1704.9605309999999</v>
      </c>
      <c r="B2302" s="1">
        <f>DATE(2014,12,30) + TIME(23,3,9)</f>
        <v>42003.960520833331</v>
      </c>
      <c r="C2302">
        <v>80</v>
      </c>
      <c r="D2302">
        <v>76.036857604999994</v>
      </c>
      <c r="E2302">
        <v>40</v>
      </c>
      <c r="F2302">
        <v>39.989860534999998</v>
      </c>
      <c r="G2302">
        <v>1328.8101807</v>
      </c>
      <c r="H2302">
        <v>1327.5200195</v>
      </c>
      <c r="I2302">
        <v>1335.6904297000001</v>
      </c>
      <c r="J2302">
        <v>1333.9248047000001</v>
      </c>
      <c r="K2302">
        <v>0</v>
      </c>
      <c r="L2302">
        <v>1650</v>
      </c>
      <c r="M2302">
        <v>1650</v>
      </c>
      <c r="N2302">
        <v>0</v>
      </c>
    </row>
    <row r="2303" spans="1:14" x14ac:dyDescent="0.25">
      <c r="A2303">
        <v>1706</v>
      </c>
      <c r="B2303" s="1">
        <f>DATE(2015,1,1) + TIME(0,0,0)</f>
        <v>42005</v>
      </c>
      <c r="C2303">
        <v>80</v>
      </c>
      <c r="D2303">
        <v>75.937255859000004</v>
      </c>
      <c r="E2303">
        <v>40</v>
      </c>
      <c r="F2303">
        <v>39.989841460999997</v>
      </c>
      <c r="G2303">
        <v>1328.7882079999999</v>
      </c>
      <c r="H2303">
        <v>1327.4891356999999</v>
      </c>
      <c r="I2303">
        <v>1335.6903076000001</v>
      </c>
      <c r="J2303">
        <v>1333.9248047000001</v>
      </c>
      <c r="K2303">
        <v>0</v>
      </c>
      <c r="L2303">
        <v>1650</v>
      </c>
      <c r="M2303">
        <v>1650</v>
      </c>
      <c r="N2303">
        <v>0</v>
      </c>
    </row>
    <row r="2304" spans="1:14" x14ac:dyDescent="0.25">
      <c r="A2304">
        <v>1708.0789380000001</v>
      </c>
      <c r="B2304" s="1">
        <f>DATE(2015,1,3) + TIME(1,53,40)</f>
        <v>42007.078935185185</v>
      </c>
      <c r="C2304">
        <v>80</v>
      </c>
      <c r="D2304">
        <v>75.821052550999994</v>
      </c>
      <c r="E2304">
        <v>40</v>
      </c>
      <c r="F2304">
        <v>39.989799499999997</v>
      </c>
      <c r="G2304">
        <v>1328.7681885</v>
      </c>
      <c r="H2304">
        <v>1327.4614257999999</v>
      </c>
      <c r="I2304">
        <v>1335.6901855000001</v>
      </c>
      <c r="J2304">
        <v>1333.9248047000001</v>
      </c>
      <c r="K2304">
        <v>0</v>
      </c>
      <c r="L2304">
        <v>1650</v>
      </c>
      <c r="M2304">
        <v>1650</v>
      </c>
      <c r="N2304">
        <v>0</v>
      </c>
    </row>
    <row r="2305" spans="1:14" x14ac:dyDescent="0.25">
      <c r="A2305">
        <v>1710.22228</v>
      </c>
      <c r="B2305" s="1">
        <f>DATE(2015,1,5) + TIME(5,20,4)</f>
        <v>42009.222268518519</v>
      </c>
      <c r="C2305">
        <v>80</v>
      </c>
      <c r="D2305">
        <v>75.667808532999999</v>
      </c>
      <c r="E2305">
        <v>40</v>
      </c>
      <c r="F2305">
        <v>39.989757537999999</v>
      </c>
      <c r="G2305">
        <v>1328.7380370999999</v>
      </c>
      <c r="H2305">
        <v>1327.4248047000001</v>
      </c>
      <c r="I2305">
        <v>1335.6899414</v>
      </c>
      <c r="J2305">
        <v>1333.9248047000001</v>
      </c>
      <c r="K2305">
        <v>0</v>
      </c>
      <c r="L2305">
        <v>1650</v>
      </c>
      <c r="M2305">
        <v>1650</v>
      </c>
      <c r="N2305">
        <v>0</v>
      </c>
    </row>
    <row r="2306" spans="1:14" x14ac:dyDescent="0.25">
      <c r="A2306">
        <v>1712.4275990000001</v>
      </c>
      <c r="B2306" s="1">
        <f>DATE(2015,1,7) + TIME(10,15,44)</f>
        <v>42011.42759259259</v>
      </c>
      <c r="C2306">
        <v>80</v>
      </c>
      <c r="D2306">
        <v>75.499534607000001</v>
      </c>
      <c r="E2306">
        <v>40</v>
      </c>
      <c r="F2306">
        <v>39.989711761000002</v>
      </c>
      <c r="G2306">
        <v>1328.7048339999999</v>
      </c>
      <c r="H2306">
        <v>1327.3826904</v>
      </c>
      <c r="I2306">
        <v>1335.6895752</v>
      </c>
      <c r="J2306">
        <v>1333.9248047000001</v>
      </c>
      <c r="K2306">
        <v>0</v>
      </c>
      <c r="L2306">
        <v>1650</v>
      </c>
      <c r="M2306">
        <v>1650</v>
      </c>
      <c r="N2306">
        <v>0</v>
      </c>
    </row>
    <row r="2307" spans="1:14" x14ac:dyDescent="0.25">
      <c r="A2307">
        <v>1714.6591169999999</v>
      </c>
      <c r="B2307" s="1">
        <f>DATE(2015,1,9) + TIME(15,49,7)</f>
        <v>42013.659108796295</v>
      </c>
      <c r="C2307">
        <v>80</v>
      </c>
      <c r="D2307">
        <v>75.323326111</v>
      </c>
      <c r="E2307">
        <v>40</v>
      </c>
      <c r="F2307">
        <v>39.989669800000001</v>
      </c>
      <c r="G2307">
        <v>1328.6706543</v>
      </c>
      <c r="H2307">
        <v>1327.3388672000001</v>
      </c>
      <c r="I2307">
        <v>1335.6893310999999</v>
      </c>
      <c r="J2307">
        <v>1333.9248047000001</v>
      </c>
      <c r="K2307">
        <v>0</v>
      </c>
      <c r="L2307">
        <v>1650</v>
      </c>
      <c r="M2307">
        <v>1650</v>
      </c>
      <c r="N2307">
        <v>0</v>
      </c>
    </row>
    <row r="2308" spans="1:14" x14ac:dyDescent="0.25">
      <c r="A2308">
        <v>1716.935872</v>
      </c>
      <c r="B2308" s="1">
        <f>DATE(2015,1,11) + TIME(22,27,39)</f>
        <v>42015.935868055552</v>
      </c>
      <c r="C2308">
        <v>80</v>
      </c>
      <c r="D2308">
        <v>75.142189025999997</v>
      </c>
      <c r="E2308">
        <v>40</v>
      </c>
      <c r="F2308">
        <v>39.989627837999997</v>
      </c>
      <c r="G2308">
        <v>1328.6364745999999</v>
      </c>
      <c r="H2308">
        <v>1327.2949219</v>
      </c>
      <c r="I2308">
        <v>1335.6889647999999</v>
      </c>
      <c r="J2308">
        <v>1333.9249268000001</v>
      </c>
      <c r="K2308">
        <v>0</v>
      </c>
      <c r="L2308">
        <v>1650</v>
      </c>
      <c r="M2308">
        <v>1650</v>
      </c>
      <c r="N2308">
        <v>0</v>
      </c>
    </row>
    <row r="2309" spans="1:14" x14ac:dyDescent="0.25">
      <c r="A2309">
        <v>1719.2636680000001</v>
      </c>
      <c r="B2309" s="1">
        <f>DATE(2015,1,14) + TIME(6,19,40)</f>
        <v>42018.263657407406</v>
      </c>
      <c r="C2309">
        <v>80</v>
      </c>
      <c r="D2309">
        <v>74.956054687999995</v>
      </c>
      <c r="E2309">
        <v>40</v>
      </c>
      <c r="F2309">
        <v>39.989582061999997</v>
      </c>
      <c r="G2309">
        <v>1328.6025391000001</v>
      </c>
      <c r="H2309">
        <v>1327.2510986</v>
      </c>
      <c r="I2309">
        <v>1335.6887207</v>
      </c>
      <c r="J2309">
        <v>1333.9249268000001</v>
      </c>
      <c r="K2309">
        <v>0</v>
      </c>
      <c r="L2309">
        <v>1650</v>
      </c>
      <c r="M2309">
        <v>1650</v>
      </c>
      <c r="N2309">
        <v>0</v>
      </c>
    </row>
    <row r="2310" spans="1:14" x14ac:dyDescent="0.25">
      <c r="A2310">
        <v>1721.652235</v>
      </c>
      <c r="B2310" s="1">
        <f>DATE(2015,1,16) + TIME(15,39,13)</f>
        <v>42020.652233796296</v>
      </c>
      <c r="C2310">
        <v>80</v>
      </c>
      <c r="D2310">
        <v>74.764404296999999</v>
      </c>
      <c r="E2310">
        <v>40</v>
      </c>
      <c r="F2310">
        <v>39.989536285</v>
      </c>
      <c r="G2310">
        <v>1328.5686035000001</v>
      </c>
      <c r="H2310">
        <v>1327.2075195</v>
      </c>
      <c r="I2310">
        <v>1335.6883545000001</v>
      </c>
      <c r="J2310">
        <v>1333.9250488</v>
      </c>
      <c r="K2310">
        <v>0</v>
      </c>
      <c r="L2310">
        <v>1650</v>
      </c>
      <c r="M2310">
        <v>1650</v>
      </c>
      <c r="N2310">
        <v>0</v>
      </c>
    </row>
    <row r="2311" spans="1:14" x14ac:dyDescent="0.25">
      <c r="A2311">
        <v>1724.0886929999999</v>
      </c>
      <c r="B2311" s="1">
        <f>DATE(2015,1,19) + TIME(2,7,43)</f>
        <v>42023.088692129626</v>
      </c>
      <c r="C2311">
        <v>80</v>
      </c>
      <c r="D2311">
        <v>74.567161560000002</v>
      </c>
      <c r="E2311">
        <v>40</v>
      </c>
      <c r="F2311">
        <v>39.989494323999999</v>
      </c>
      <c r="G2311">
        <v>1328.534668</v>
      </c>
      <c r="H2311">
        <v>1327.1640625</v>
      </c>
      <c r="I2311">
        <v>1335.6879882999999</v>
      </c>
      <c r="J2311">
        <v>1333.925293</v>
      </c>
      <c r="K2311">
        <v>0</v>
      </c>
      <c r="L2311">
        <v>1650</v>
      </c>
      <c r="M2311">
        <v>1650</v>
      </c>
      <c r="N2311">
        <v>0</v>
      </c>
    </row>
    <row r="2312" spans="1:14" x14ac:dyDescent="0.25">
      <c r="A2312">
        <v>1726.5736119999999</v>
      </c>
      <c r="B2312" s="1">
        <f>DATE(2015,1,21) + TIME(13,46,0)</f>
        <v>42025.573611111111</v>
      </c>
      <c r="C2312">
        <v>80</v>
      </c>
      <c r="D2312">
        <v>74.364891052000004</v>
      </c>
      <c r="E2312">
        <v>40</v>
      </c>
      <c r="F2312">
        <v>39.989448547000002</v>
      </c>
      <c r="G2312">
        <v>1328.5009766000001</v>
      </c>
      <c r="H2312">
        <v>1327.1208495999999</v>
      </c>
      <c r="I2312">
        <v>1335.6876221</v>
      </c>
      <c r="J2312">
        <v>1333.9254149999999</v>
      </c>
      <c r="K2312">
        <v>0</v>
      </c>
      <c r="L2312">
        <v>1650</v>
      </c>
      <c r="M2312">
        <v>1650</v>
      </c>
      <c r="N2312">
        <v>0</v>
      </c>
    </row>
    <row r="2313" spans="1:14" x14ac:dyDescent="0.25">
      <c r="A2313">
        <v>1729.128046</v>
      </c>
      <c r="B2313" s="1">
        <f>DATE(2015,1,24) + TIME(3,4,23)</f>
        <v>42028.12804398148</v>
      </c>
      <c r="C2313">
        <v>80</v>
      </c>
      <c r="D2313">
        <v>74.157310486</v>
      </c>
      <c r="E2313">
        <v>40</v>
      </c>
      <c r="F2313">
        <v>39.989398956000002</v>
      </c>
      <c r="G2313">
        <v>1328.4674072</v>
      </c>
      <c r="H2313">
        <v>1327.0778809000001</v>
      </c>
      <c r="I2313">
        <v>1335.6872559000001</v>
      </c>
      <c r="J2313">
        <v>1333.9255370999999</v>
      </c>
      <c r="K2313">
        <v>0</v>
      </c>
      <c r="L2313">
        <v>1650</v>
      </c>
      <c r="M2313">
        <v>1650</v>
      </c>
      <c r="N2313">
        <v>0</v>
      </c>
    </row>
    <row r="2314" spans="1:14" x14ac:dyDescent="0.25">
      <c r="A2314">
        <v>1731.7756509999999</v>
      </c>
      <c r="B2314" s="1">
        <f>DATE(2015,1,26) + TIME(18,36,56)</f>
        <v>42030.775648148148</v>
      </c>
      <c r="C2314">
        <v>80</v>
      </c>
      <c r="D2314">
        <v>73.943023682000003</v>
      </c>
      <c r="E2314">
        <v>40</v>
      </c>
      <c r="F2314">
        <v>39.989353180000002</v>
      </c>
      <c r="G2314">
        <v>1328.4338379000001</v>
      </c>
      <c r="H2314">
        <v>1327.0350341999999</v>
      </c>
      <c r="I2314">
        <v>1335.6868896000001</v>
      </c>
      <c r="J2314">
        <v>1333.9257812000001</v>
      </c>
      <c r="K2314">
        <v>0</v>
      </c>
      <c r="L2314">
        <v>1650</v>
      </c>
      <c r="M2314">
        <v>1650</v>
      </c>
      <c r="N2314">
        <v>0</v>
      </c>
    </row>
    <row r="2315" spans="1:14" x14ac:dyDescent="0.25">
      <c r="A2315">
        <v>1734.46363</v>
      </c>
      <c r="B2315" s="1">
        <f>DATE(2015,1,29) + TIME(11,7,37)</f>
        <v>42033.463622685187</v>
      </c>
      <c r="C2315">
        <v>80</v>
      </c>
      <c r="D2315">
        <v>73.721656799000002</v>
      </c>
      <c r="E2315">
        <v>40</v>
      </c>
      <c r="F2315">
        <v>39.989303589000002</v>
      </c>
      <c r="G2315">
        <v>1328.4000243999999</v>
      </c>
      <c r="H2315">
        <v>1326.9919434000001</v>
      </c>
      <c r="I2315">
        <v>1335.6865233999999</v>
      </c>
      <c r="J2315">
        <v>1333.9260254000001</v>
      </c>
      <c r="K2315">
        <v>0</v>
      </c>
      <c r="L2315">
        <v>1650</v>
      </c>
      <c r="M2315">
        <v>1650</v>
      </c>
      <c r="N2315">
        <v>0</v>
      </c>
    </row>
    <row r="2316" spans="1:14" x14ac:dyDescent="0.25">
      <c r="A2316">
        <v>1737</v>
      </c>
      <c r="B2316" s="1">
        <f>DATE(2015,2,1) + TIME(0,0,0)</f>
        <v>42036</v>
      </c>
      <c r="C2316">
        <v>80</v>
      </c>
      <c r="D2316">
        <v>73.499343871999997</v>
      </c>
      <c r="E2316">
        <v>40</v>
      </c>
      <c r="F2316">
        <v>39.989261626999998</v>
      </c>
      <c r="G2316">
        <v>1328.3664550999999</v>
      </c>
      <c r="H2316">
        <v>1326.9492187999999</v>
      </c>
      <c r="I2316">
        <v>1335.6861572</v>
      </c>
      <c r="J2316">
        <v>1333.9262695</v>
      </c>
      <c r="K2316">
        <v>0</v>
      </c>
      <c r="L2316">
        <v>1650</v>
      </c>
      <c r="M2316">
        <v>1650</v>
      </c>
      <c r="N2316">
        <v>0</v>
      </c>
    </row>
    <row r="2317" spans="1:14" x14ac:dyDescent="0.25">
      <c r="A2317">
        <v>1739.728339</v>
      </c>
      <c r="B2317" s="1">
        <f>DATE(2015,2,3) + TIME(17,28,48)</f>
        <v>42038.728333333333</v>
      </c>
      <c r="C2317">
        <v>80</v>
      </c>
      <c r="D2317">
        <v>73.279449463000006</v>
      </c>
      <c r="E2317">
        <v>40</v>
      </c>
      <c r="F2317">
        <v>39.989212035999998</v>
      </c>
      <c r="G2317">
        <v>1328.3347168</v>
      </c>
      <c r="H2317">
        <v>1326.9082031</v>
      </c>
      <c r="I2317">
        <v>1335.6857910000001</v>
      </c>
      <c r="J2317">
        <v>1333.9265137</v>
      </c>
      <c r="K2317">
        <v>0</v>
      </c>
      <c r="L2317">
        <v>1650</v>
      </c>
      <c r="M2317">
        <v>1650</v>
      </c>
      <c r="N2317">
        <v>0</v>
      </c>
    </row>
    <row r="2318" spans="1:14" x14ac:dyDescent="0.25">
      <c r="A2318">
        <v>1742.5529959999999</v>
      </c>
      <c r="B2318" s="1">
        <f>DATE(2015,2,6) + TIME(13,16,18)</f>
        <v>42041.552986111114</v>
      </c>
      <c r="C2318">
        <v>80</v>
      </c>
      <c r="D2318">
        <v>73.049171447999996</v>
      </c>
      <c r="E2318">
        <v>40</v>
      </c>
      <c r="F2318">
        <v>39.989162444999998</v>
      </c>
      <c r="G2318">
        <v>1328.3026123</v>
      </c>
      <c r="H2318">
        <v>1326.8675536999999</v>
      </c>
      <c r="I2318">
        <v>1335.6853027</v>
      </c>
      <c r="J2318">
        <v>1333.9268798999999</v>
      </c>
      <c r="K2318">
        <v>0</v>
      </c>
      <c r="L2318">
        <v>1650</v>
      </c>
      <c r="M2318">
        <v>1650</v>
      </c>
      <c r="N2318">
        <v>0</v>
      </c>
    </row>
    <row r="2319" spans="1:14" x14ac:dyDescent="0.25">
      <c r="A2319">
        <v>1745.4598289999999</v>
      </c>
      <c r="B2319" s="1">
        <f>DATE(2015,2,9) + TIME(11,2,9)</f>
        <v>42044.459826388891</v>
      </c>
      <c r="C2319">
        <v>80</v>
      </c>
      <c r="D2319">
        <v>72.810295104999994</v>
      </c>
      <c r="E2319">
        <v>40</v>
      </c>
      <c r="F2319">
        <v>39.989112853999998</v>
      </c>
      <c r="G2319">
        <v>1328.2700195</v>
      </c>
      <c r="H2319">
        <v>1326.8264160000001</v>
      </c>
      <c r="I2319">
        <v>1335.6849365</v>
      </c>
      <c r="J2319">
        <v>1333.927124</v>
      </c>
      <c r="K2319">
        <v>0</v>
      </c>
      <c r="L2319">
        <v>1650</v>
      </c>
      <c r="M2319">
        <v>1650</v>
      </c>
      <c r="N2319">
        <v>0</v>
      </c>
    </row>
    <row r="2320" spans="1:14" x14ac:dyDescent="0.25">
      <c r="A2320">
        <v>1748.4254100000001</v>
      </c>
      <c r="B2320" s="1">
        <f>DATE(2015,2,12) + TIME(10,12,35)</f>
        <v>42047.425405092596</v>
      </c>
      <c r="C2320">
        <v>80</v>
      </c>
      <c r="D2320">
        <v>72.564308166999993</v>
      </c>
      <c r="E2320">
        <v>40</v>
      </c>
      <c r="F2320">
        <v>39.989063262999998</v>
      </c>
      <c r="G2320">
        <v>1328.2373047000001</v>
      </c>
      <c r="H2320">
        <v>1326.7849120999999</v>
      </c>
      <c r="I2320">
        <v>1335.6844481999999</v>
      </c>
      <c r="J2320">
        <v>1333.9274902</v>
      </c>
      <c r="K2320">
        <v>0</v>
      </c>
      <c r="L2320">
        <v>1650</v>
      </c>
      <c r="M2320">
        <v>1650</v>
      </c>
      <c r="N2320">
        <v>0</v>
      </c>
    </row>
    <row r="2321" spans="1:14" x14ac:dyDescent="0.25">
      <c r="A2321">
        <v>1751.4765540000001</v>
      </c>
      <c r="B2321" s="1">
        <f>DATE(2015,2,15) + TIME(11,26,14)</f>
        <v>42050.476550925923</v>
      </c>
      <c r="C2321">
        <v>80</v>
      </c>
      <c r="D2321">
        <v>72.312271117999998</v>
      </c>
      <c r="E2321">
        <v>40</v>
      </c>
      <c r="F2321">
        <v>39.989013671999999</v>
      </c>
      <c r="G2321">
        <v>1328.2047118999999</v>
      </c>
      <c r="H2321">
        <v>1326.7435303</v>
      </c>
      <c r="I2321">
        <v>1335.6839600000001</v>
      </c>
      <c r="J2321">
        <v>1333.9277344</v>
      </c>
      <c r="K2321">
        <v>0</v>
      </c>
      <c r="L2321">
        <v>1650</v>
      </c>
      <c r="M2321">
        <v>1650</v>
      </c>
      <c r="N2321">
        <v>0</v>
      </c>
    </row>
    <row r="2322" spans="1:14" x14ac:dyDescent="0.25">
      <c r="A2322">
        <v>1754.6427900000001</v>
      </c>
      <c r="B2322" s="1">
        <f>DATE(2015,2,18) + TIME(15,25,37)</f>
        <v>42053.642789351848</v>
      </c>
      <c r="C2322">
        <v>80</v>
      </c>
      <c r="D2322">
        <v>72.052642821999996</v>
      </c>
      <c r="E2322">
        <v>40</v>
      </c>
      <c r="F2322">
        <v>39.988964080999999</v>
      </c>
      <c r="G2322">
        <v>1328.1721190999999</v>
      </c>
      <c r="H2322">
        <v>1326.7022704999999</v>
      </c>
      <c r="I2322">
        <v>1335.6834716999999</v>
      </c>
      <c r="J2322">
        <v>1333.9281006000001</v>
      </c>
      <c r="K2322">
        <v>0</v>
      </c>
      <c r="L2322">
        <v>1650</v>
      </c>
      <c r="M2322">
        <v>1650</v>
      </c>
      <c r="N2322">
        <v>0</v>
      </c>
    </row>
    <row r="2323" spans="1:14" x14ac:dyDescent="0.25">
      <c r="A2323">
        <v>1757.8306970000001</v>
      </c>
      <c r="B2323" s="1">
        <f>DATE(2015,2,21) + TIME(19,56,12)</f>
        <v>42056.830694444441</v>
      </c>
      <c r="C2323">
        <v>80</v>
      </c>
      <c r="D2323">
        <v>71.785179138000004</v>
      </c>
      <c r="E2323">
        <v>40</v>
      </c>
      <c r="F2323">
        <v>39.988910675</v>
      </c>
      <c r="G2323">
        <v>1328.1392822</v>
      </c>
      <c r="H2323">
        <v>1326.6607666</v>
      </c>
      <c r="I2323">
        <v>1335.6828613</v>
      </c>
      <c r="J2323">
        <v>1333.9284668</v>
      </c>
      <c r="K2323">
        <v>0</v>
      </c>
      <c r="L2323">
        <v>1650</v>
      </c>
      <c r="M2323">
        <v>1650</v>
      </c>
      <c r="N2323">
        <v>0</v>
      </c>
    </row>
    <row r="2324" spans="1:14" x14ac:dyDescent="0.25">
      <c r="A2324">
        <v>1761.0562339999999</v>
      </c>
      <c r="B2324" s="1">
        <f>DATE(2015,2,25) + TIME(1,20,58)</f>
        <v>42060.056226851855</v>
      </c>
      <c r="C2324">
        <v>80</v>
      </c>
      <c r="D2324">
        <v>71.514472960999996</v>
      </c>
      <c r="E2324">
        <v>40</v>
      </c>
      <c r="F2324">
        <v>39.988861084</v>
      </c>
      <c r="G2324">
        <v>1328.1066894999999</v>
      </c>
      <c r="H2324">
        <v>1326.6195068</v>
      </c>
      <c r="I2324">
        <v>1335.682251</v>
      </c>
      <c r="J2324">
        <v>1333.9288329999999</v>
      </c>
      <c r="K2324">
        <v>0</v>
      </c>
      <c r="L2324">
        <v>1650</v>
      </c>
      <c r="M2324">
        <v>1650</v>
      </c>
      <c r="N2324">
        <v>0</v>
      </c>
    </row>
    <row r="2325" spans="1:14" x14ac:dyDescent="0.25">
      <c r="A2325">
        <v>1764.347084</v>
      </c>
      <c r="B2325" s="1">
        <f>DATE(2015,2,28) + TIME(8,19,48)</f>
        <v>42063.347083333334</v>
      </c>
      <c r="C2325">
        <v>80</v>
      </c>
      <c r="D2325">
        <v>71.240158081000004</v>
      </c>
      <c r="E2325">
        <v>40</v>
      </c>
      <c r="F2325">
        <v>39.988807678000001</v>
      </c>
      <c r="G2325">
        <v>1328.0745850000001</v>
      </c>
      <c r="H2325">
        <v>1326.5787353999999</v>
      </c>
      <c r="I2325">
        <v>1335.6817627</v>
      </c>
      <c r="J2325">
        <v>1333.9291992000001</v>
      </c>
      <c r="K2325">
        <v>0</v>
      </c>
      <c r="L2325">
        <v>1650</v>
      </c>
      <c r="M2325">
        <v>1650</v>
      </c>
      <c r="N2325">
        <v>0</v>
      </c>
    </row>
    <row r="2326" spans="1:14" x14ac:dyDescent="0.25">
      <c r="A2326">
        <v>1765</v>
      </c>
      <c r="B2326" s="1">
        <f>DATE(2015,3,1) + TIME(0,0,0)</f>
        <v>42064</v>
      </c>
      <c r="C2326">
        <v>80</v>
      </c>
      <c r="D2326">
        <v>71.082138061999999</v>
      </c>
      <c r="E2326">
        <v>40</v>
      </c>
      <c r="F2326">
        <v>39.988796233999999</v>
      </c>
      <c r="G2326">
        <v>1328.0429687999999</v>
      </c>
      <c r="H2326">
        <v>1326.5412598</v>
      </c>
      <c r="I2326">
        <v>1335.6810303</v>
      </c>
      <c r="J2326">
        <v>1333.9294434000001</v>
      </c>
      <c r="K2326">
        <v>0</v>
      </c>
      <c r="L2326">
        <v>1650</v>
      </c>
      <c r="M2326">
        <v>1650</v>
      </c>
      <c r="N2326">
        <v>0</v>
      </c>
    </row>
    <row r="2327" spans="1:14" x14ac:dyDescent="0.25">
      <c r="A2327">
        <v>1768.3859560000001</v>
      </c>
      <c r="B2327" s="1">
        <f>DATE(2015,3,4) + TIME(9,15,46)</f>
        <v>42067.385949074072</v>
      </c>
      <c r="C2327">
        <v>80</v>
      </c>
      <c r="D2327">
        <v>70.885612488000007</v>
      </c>
      <c r="E2327">
        <v>40</v>
      </c>
      <c r="F2327">
        <v>39.988742827999999</v>
      </c>
      <c r="G2327">
        <v>1328.0319824000001</v>
      </c>
      <c r="H2327">
        <v>1326.5219727000001</v>
      </c>
      <c r="I2327">
        <v>1335.6810303</v>
      </c>
      <c r="J2327">
        <v>1333.9295654</v>
      </c>
      <c r="K2327">
        <v>0</v>
      </c>
      <c r="L2327">
        <v>1650</v>
      </c>
      <c r="M2327">
        <v>1650</v>
      </c>
      <c r="N2327">
        <v>0</v>
      </c>
    </row>
    <row r="2328" spans="1:14" x14ac:dyDescent="0.25">
      <c r="A2328">
        <v>1771.8878709999999</v>
      </c>
      <c r="B2328" s="1">
        <f>DATE(2015,3,7) + TIME(21,18,32)</f>
        <v>42070.887870370374</v>
      </c>
      <c r="C2328">
        <v>80</v>
      </c>
      <c r="D2328">
        <v>70.612632751000007</v>
      </c>
      <c r="E2328">
        <v>40</v>
      </c>
      <c r="F2328">
        <v>39.988693237</v>
      </c>
      <c r="G2328">
        <v>1328.0039062000001</v>
      </c>
      <c r="H2328">
        <v>1326.4887695</v>
      </c>
      <c r="I2328">
        <v>1335.6804199000001</v>
      </c>
      <c r="J2328">
        <v>1333.9299315999999</v>
      </c>
      <c r="K2328">
        <v>0</v>
      </c>
      <c r="L2328">
        <v>1650</v>
      </c>
      <c r="M2328">
        <v>1650</v>
      </c>
      <c r="N2328">
        <v>0</v>
      </c>
    </row>
    <row r="2329" spans="1:14" x14ac:dyDescent="0.25">
      <c r="A2329">
        <v>1775.5065509999999</v>
      </c>
      <c r="B2329" s="1">
        <f>DATE(2015,3,11) + TIME(12,9,25)</f>
        <v>42074.506539351853</v>
      </c>
      <c r="C2329">
        <v>80</v>
      </c>
      <c r="D2329">
        <v>70.319694518999995</v>
      </c>
      <c r="E2329">
        <v>40</v>
      </c>
      <c r="F2329">
        <v>39.988636016999997</v>
      </c>
      <c r="G2329">
        <v>1327.9727783000001</v>
      </c>
      <c r="H2329">
        <v>1326.4500731999999</v>
      </c>
      <c r="I2329">
        <v>1335.6796875</v>
      </c>
      <c r="J2329">
        <v>1333.9302978999999</v>
      </c>
      <c r="K2329">
        <v>0</v>
      </c>
      <c r="L2329">
        <v>1650</v>
      </c>
      <c r="M2329">
        <v>1650</v>
      </c>
      <c r="N2329">
        <v>0</v>
      </c>
    </row>
    <row r="2330" spans="1:14" x14ac:dyDescent="0.25">
      <c r="A2330">
        <v>1779.1850030000001</v>
      </c>
      <c r="B2330" s="1">
        <f>DATE(2015,3,15) + TIME(4,26,24)</f>
        <v>42078.184999999998</v>
      </c>
      <c r="C2330">
        <v>80</v>
      </c>
      <c r="D2330">
        <v>70.015884399000001</v>
      </c>
      <c r="E2330">
        <v>40</v>
      </c>
      <c r="F2330">
        <v>39.988582610999998</v>
      </c>
      <c r="G2330">
        <v>1327.9410399999999</v>
      </c>
      <c r="H2330">
        <v>1326.4102783000001</v>
      </c>
      <c r="I2330">
        <v>1335.6789550999999</v>
      </c>
      <c r="J2330">
        <v>1333.9306641000001</v>
      </c>
      <c r="K2330">
        <v>0</v>
      </c>
      <c r="L2330">
        <v>1650</v>
      </c>
      <c r="M2330">
        <v>1650</v>
      </c>
      <c r="N2330">
        <v>0</v>
      </c>
    </row>
    <row r="2331" spans="1:14" x14ac:dyDescent="0.25">
      <c r="A2331">
        <v>1782.906774</v>
      </c>
      <c r="B2331" s="1">
        <f>DATE(2015,3,18) + TIME(21,45,45)</f>
        <v>42081.906770833331</v>
      </c>
      <c r="C2331">
        <v>80</v>
      </c>
      <c r="D2331">
        <v>69.706642150999997</v>
      </c>
      <c r="E2331">
        <v>40</v>
      </c>
      <c r="F2331">
        <v>39.988529204999999</v>
      </c>
      <c r="G2331">
        <v>1327.9093018000001</v>
      </c>
      <c r="H2331">
        <v>1326.3702393000001</v>
      </c>
      <c r="I2331">
        <v>1335.6782227000001</v>
      </c>
      <c r="J2331">
        <v>1333.9310303</v>
      </c>
      <c r="K2331">
        <v>0</v>
      </c>
      <c r="L2331">
        <v>1650</v>
      </c>
      <c r="M2331">
        <v>1650</v>
      </c>
      <c r="N2331">
        <v>0</v>
      </c>
    </row>
    <row r="2332" spans="1:14" x14ac:dyDescent="0.25">
      <c r="A2332">
        <v>1786.706089</v>
      </c>
      <c r="B2332" s="1">
        <f>DATE(2015,3,22) + TIME(16,56,46)</f>
        <v>42085.706087962964</v>
      </c>
      <c r="C2332">
        <v>80</v>
      </c>
      <c r="D2332">
        <v>69.393409728999998</v>
      </c>
      <c r="E2332">
        <v>40</v>
      </c>
      <c r="F2332">
        <v>39.988475800000003</v>
      </c>
      <c r="G2332">
        <v>1327.8780518000001</v>
      </c>
      <c r="H2332">
        <v>1326.3305664</v>
      </c>
      <c r="I2332">
        <v>1335.6774902</v>
      </c>
      <c r="J2332">
        <v>1333.9313964999999</v>
      </c>
      <c r="K2332">
        <v>0</v>
      </c>
      <c r="L2332">
        <v>1650</v>
      </c>
      <c r="M2332">
        <v>1650</v>
      </c>
      <c r="N2332">
        <v>0</v>
      </c>
    </row>
    <row r="2333" spans="1:14" x14ac:dyDescent="0.25">
      <c r="A2333">
        <v>1790.620559</v>
      </c>
      <c r="B2333" s="1">
        <f>DATE(2015,3,26) + TIME(14,53,36)</f>
        <v>42089.620555555557</v>
      </c>
      <c r="C2333">
        <v>80</v>
      </c>
      <c r="D2333">
        <v>69.074424743999998</v>
      </c>
      <c r="E2333">
        <v>40</v>
      </c>
      <c r="F2333">
        <v>39.988422393999997</v>
      </c>
      <c r="G2333">
        <v>1327.8469238</v>
      </c>
      <c r="H2333">
        <v>1326.2913818</v>
      </c>
      <c r="I2333">
        <v>1335.6766356999999</v>
      </c>
      <c r="J2333">
        <v>1333.9316406</v>
      </c>
      <c r="K2333">
        <v>0</v>
      </c>
      <c r="L2333">
        <v>1650</v>
      </c>
      <c r="M2333">
        <v>1650</v>
      </c>
      <c r="N2333">
        <v>0</v>
      </c>
    </row>
    <row r="2334" spans="1:14" x14ac:dyDescent="0.25">
      <c r="A2334">
        <v>1794.6723099999999</v>
      </c>
      <c r="B2334" s="1">
        <f>DATE(2015,3,30) + TIME(16,8,7)</f>
        <v>42093.672303240739</v>
      </c>
      <c r="C2334">
        <v>80</v>
      </c>
      <c r="D2334">
        <v>68.747077942000004</v>
      </c>
      <c r="E2334">
        <v>40</v>
      </c>
      <c r="F2334">
        <v>39.988365172999998</v>
      </c>
      <c r="G2334">
        <v>1327.815918</v>
      </c>
      <c r="H2334">
        <v>1326.2523193</v>
      </c>
      <c r="I2334">
        <v>1335.6759033000001</v>
      </c>
      <c r="J2334">
        <v>1333.9320068</v>
      </c>
      <c r="K2334">
        <v>0</v>
      </c>
      <c r="L2334">
        <v>1650</v>
      </c>
      <c r="M2334">
        <v>1650</v>
      </c>
      <c r="N2334">
        <v>0</v>
      </c>
    </row>
    <row r="2335" spans="1:14" x14ac:dyDescent="0.25">
      <c r="A2335">
        <v>1796</v>
      </c>
      <c r="B2335" s="1">
        <f>DATE(2015,4,1) + TIME(0,0,0)</f>
        <v>42095</v>
      </c>
      <c r="C2335">
        <v>80</v>
      </c>
      <c r="D2335">
        <v>68.493644713999998</v>
      </c>
      <c r="E2335">
        <v>40</v>
      </c>
      <c r="F2335">
        <v>39.988346100000001</v>
      </c>
      <c r="G2335">
        <v>1327.784668</v>
      </c>
      <c r="H2335">
        <v>1326.2147216999999</v>
      </c>
      <c r="I2335">
        <v>1335.6749268000001</v>
      </c>
      <c r="J2335">
        <v>1333.932251</v>
      </c>
      <c r="K2335">
        <v>0</v>
      </c>
      <c r="L2335">
        <v>1650</v>
      </c>
      <c r="M2335">
        <v>1650</v>
      </c>
      <c r="N233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2022-06-27T14:05:19Z</dcterms:created>
  <dcterms:modified xsi:type="dcterms:W3CDTF">2022-06-27T14:05:56Z</dcterms:modified>
</cp:coreProperties>
</file>