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8706F215-E490-475E-8585-4213A5FB3496}" xr6:coauthVersionLast="47" xr6:coauthVersionMax="47" xr10:uidLastSave="{00000000-0000-0000-0000-000000000000}"/>
  <bookViews>
    <workbookView xWindow="780" yWindow="780" windowWidth="15375" windowHeight="7875" xr2:uid="{C1C0BBC5-923A-4669-B1DA-3BB99FE1626B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66" i="1" l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<sst xmlns="http://schemas.openxmlformats.org/spreadsheetml/2006/main" count="15" uniqueCount="15">
  <si>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MODEL\SCENARIOS\2022\Parameterstudy_perm_storV_dT\perm10_V1000_dt20.sr3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</si>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</sst>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8561C-E416-417F-B510-67E75695F6E0}" name="Table1" displayName="Table1" ref="A3:N2366" totalsRowShown="0">
  <autoFilter ref="A3:N2366" xr:uid="{9AA8561C-E416-417F-B510-67E75695F6E0}"/>
  <tableColumns count="14">
    <tableColumn id="1" xr3:uid="{609613B3-67C6-4A6B-A1D3-CE8CFEC4F398}" name="Time (day)"/>
    <tableColumn id="2" xr3:uid="{05C7F43F-CF52-41C4-A56C-B42546086ADC}" name="Date" dataDxfId="0"/>
    <tableColumn id="3" xr3:uid="{21C101C2-003B-4B07-B188-16C01D7EC545}" name="Hot well INJ-Well bottom hole temperature (C)"/>
    <tableColumn id="4" xr3:uid="{56A4A31F-632F-4D67-B2E0-B1A7746CBDBA}" name="Hot well PROD-Well bottom hole temperature (C)"/>
    <tableColumn id="5" xr3:uid="{8C12ED65-DA6F-4DCE-8D34-A95EEDA0DF37}" name="Warm well INJ-Well bottom hole temperature (C)"/>
    <tableColumn id="6" xr3:uid="{CD2A79AC-0EC9-4ACA-A050-DCDB92575A53}" name="Warm well PROD-Well bottom hole temperature (C)"/>
    <tableColumn id="7" xr3:uid="{10767216-88DB-4288-AE26-ABB830296378}" name="Hot well INJ-Well Bottom-hole Pressure (kPa)"/>
    <tableColumn id="8" xr3:uid="{9E81CDB4-2BEA-437D-8698-B54279A778EB}" name="Hot well PROD-Well Bottom-hole Pressure (kPa)"/>
    <tableColumn id="9" xr3:uid="{1BB630B7-1921-4C58-A883-6A6C5DC43BB2}" name="Warm well INJ-Well Bottom-hole Pressure (kPa)"/>
    <tableColumn id="10" xr3:uid="{B2E71E5D-BAB4-455A-AC10-BDF38F65F7F2}" name="Warm well PROD-Well Bottom-hole Pressure (kPa)"/>
    <tableColumn id="11" xr3:uid="{ABDC469D-54BF-47AE-993A-B0D5EC49ECCC}" name="Hot well INJ-Fluid Rate SC (m³/day)"/>
    <tableColumn id="12" xr3:uid="{53243725-4649-4C3B-94A5-CAAD41420784}" name="Hot well PROD-Fluid Rate SC (m³/day)"/>
    <tableColumn id="13" xr3:uid="{2F3E7D57-6BA5-40EC-83A8-C2DD23269FCD}" name="Warm well INJ-Fluid Rate SC (m³/day)"/>
    <tableColumn id="14" xr3:uid="{A953F513-23BE-49F5-B363-2C7090E81E8A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02A3-289A-4E41-BA17-C07E44FD81CF}">
  <dimension ref="A1:N2366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15.000135422</v>
      </c>
      <c r="E4">
        <v>60</v>
      </c>
      <c r="F4">
        <v>14.999948502000001</v>
      </c>
      <c r="G4">
        <v>1375.0871582</v>
      </c>
      <c r="H4">
        <v>1329.9129639</v>
      </c>
      <c r="I4">
        <v>1328.9085693</v>
      </c>
      <c r="J4">
        <v>1283.7333983999999</v>
      </c>
      <c r="K4">
        <v>2750</v>
      </c>
      <c r="L4">
        <v>0</v>
      </c>
      <c r="M4">
        <v>0</v>
      </c>
      <c r="N4">
        <v>2750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15.000534058</v>
      </c>
      <c r="E5">
        <v>60</v>
      </c>
      <c r="F5">
        <v>14.999802589</v>
      </c>
      <c r="G5">
        <v>1376.5098877</v>
      </c>
      <c r="H5">
        <v>1331.3360596</v>
      </c>
      <c r="I5">
        <v>1327.4916992000001</v>
      </c>
      <c r="J5">
        <v>1282.3162841999999</v>
      </c>
      <c r="K5">
        <v>2750</v>
      </c>
      <c r="L5">
        <v>0</v>
      </c>
      <c r="M5">
        <v>0</v>
      </c>
      <c r="N5">
        <v>2750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15.001665115</v>
      </c>
      <c r="E6">
        <v>60</v>
      </c>
      <c r="F6">
        <v>14.999429703000001</v>
      </c>
      <c r="G6">
        <v>1380.1477050999999</v>
      </c>
      <c r="H6">
        <v>1334.9750977000001</v>
      </c>
      <c r="I6">
        <v>1323.8685303</v>
      </c>
      <c r="J6">
        <v>1278.6925048999999</v>
      </c>
      <c r="K6">
        <v>2750</v>
      </c>
      <c r="L6">
        <v>0</v>
      </c>
      <c r="M6">
        <v>0</v>
      </c>
      <c r="N6">
        <v>2750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15.004706383</v>
      </c>
      <c r="E7">
        <v>60</v>
      </c>
      <c r="F7">
        <v>14.998661041</v>
      </c>
      <c r="G7">
        <v>1387.6601562000001</v>
      </c>
      <c r="H7">
        <v>1342.4910889</v>
      </c>
      <c r="I7">
        <v>1316.3850098</v>
      </c>
      <c r="J7">
        <v>1271.2077637</v>
      </c>
      <c r="K7">
        <v>2750</v>
      </c>
      <c r="L7">
        <v>0</v>
      </c>
      <c r="M7">
        <v>0</v>
      </c>
      <c r="N7">
        <v>2750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15.012673378000001</v>
      </c>
      <c r="E8">
        <v>60</v>
      </c>
      <c r="F8">
        <v>14.997504234000001</v>
      </c>
      <c r="G8">
        <v>1398.9416504000001</v>
      </c>
      <c r="H8">
        <v>1353.7819824000001</v>
      </c>
      <c r="I8">
        <v>1305.1408690999999</v>
      </c>
      <c r="J8">
        <v>1259.9621582</v>
      </c>
      <c r="K8">
        <v>2750</v>
      </c>
      <c r="L8">
        <v>0</v>
      </c>
      <c r="M8">
        <v>0</v>
      </c>
      <c r="N8">
        <v>2750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15.034400939999999</v>
      </c>
      <c r="E9">
        <v>60</v>
      </c>
      <c r="F9">
        <v>14.996193886</v>
      </c>
      <c r="G9">
        <v>1411.7189940999999</v>
      </c>
      <c r="H9">
        <v>1366.5853271000001</v>
      </c>
      <c r="I9">
        <v>1292.3820800999999</v>
      </c>
      <c r="J9">
        <v>1247.2015381000001</v>
      </c>
      <c r="K9">
        <v>2750</v>
      </c>
      <c r="L9">
        <v>0</v>
      </c>
      <c r="M9">
        <v>0</v>
      </c>
      <c r="N9">
        <v>2750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15.096902847000001</v>
      </c>
      <c r="E10">
        <v>60</v>
      </c>
      <c r="F10">
        <v>14.994871140000001</v>
      </c>
      <c r="G10">
        <v>1424.5574951000001</v>
      </c>
      <c r="H10">
        <v>1379.4981689000001</v>
      </c>
      <c r="I10">
        <v>1279.4866943</v>
      </c>
      <c r="J10">
        <v>1234.3044434000001</v>
      </c>
      <c r="K10">
        <v>2750</v>
      </c>
      <c r="L10">
        <v>0</v>
      </c>
      <c r="M10">
        <v>0</v>
      </c>
      <c r="N10">
        <v>2750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15.281237601999999</v>
      </c>
      <c r="E11">
        <v>60</v>
      </c>
      <c r="F11">
        <v>14.993561744999999</v>
      </c>
      <c r="G11">
        <v>1437.1242675999999</v>
      </c>
      <c r="H11">
        <v>1392.2824707</v>
      </c>
      <c r="I11">
        <v>1266.6400146000001</v>
      </c>
      <c r="J11">
        <v>1221.4561768000001</v>
      </c>
      <c r="K11">
        <v>2750</v>
      </c>
      <c r="L11">
        <v>0</v>
      </c>
      <c r="M11">
        <v>0</v>
      </c>
      <c r="N11">
        <v>2750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15.827163696</v>
      </c>
      <c r="E12">
        <v>60</v>
      </c>
      <c r="F12">
        <v>14.992318152999999</v>
      </c>
      <c r="G12">
        <v>1448.6182861</v>
      </c>
      <c r="H12">
        <v>1404.4101562000001</v>
      </c>
      <c r="I12">
        <v>1254.2310791</v>
      </c>
      <c r="J12">
        <v>1209.0456543</v>
      </c>
      <c r="K12">
        <v>2750</v>
      </c>
      <c r="L12">
        <v>0</v>
      </c>
      <c r="M12">
        <v>0</v>
      </c>
      <c r="N12">
        <v>2750</v>
      </c>
    </row>
    <row r="13" spans="1:14" x14ac:dyDescent="0.25">
      <c r="A13">
        <v>2.1859E-2</v>
      </c>
      <c r="B13" s="1">
        <f>DATE(2010,5,1) + TIME(0,31,28)</f>
        <v>40299.021851851852</v>
      </c>
      <c r="C13">
        <v>80</v>
      </c>
      <c r="D13">
        <v>16.812973022000001</v>
      </c>
      <c r="E13">
        <v>60</v>
      </c>
      <c r="F13">
        <v>14.991531372000001</v>
      </c>
      <c r="G13">
        <v>1455.2226562000001</v>
      </c>
      <c r="H13">
        <v>1412.1184082</v>
      </c>
      <c r="I13">
        <v>1246.0814209</v>
      </c>
      <c r="J13">
        <v>1200.8951416</v>
      </c>
      <c r="K13">
        <v>2750</v>
      </c>
      <c r="L13">
        <v>0</v>
      </c>
      <c r="M13">
        <v>0</v>
      </c>
      <c r="N13">
        <v>2750</v>
      </c>
    </row>
    <row r="14" spans="1:14" x14ac:dyDescent="0.25">
      <c r="A14">
        <v>3.4049999999999997E-2</v>
      </c>
      <c r="B14" s="1">
        <f>DATE(2010,5,1) + TIME(0,49,1)</f>
        <v>40299.034039351849</v>
      </c>
      <c r="C14">
        <v>80</v>
      </c>
      <c r="D14">
        <v>17.799020766999998</v>
      </c>
      <c r="E14">
        <v>60</v>
      </c>
      <c r="F14">
        <v>14.991189957</v>
      </c>
      <c r="G14">
        <v>1457.5678711</v>
      </c>
      <c r="H14">
        <v>1415.5153809000001</v>
      </c>
      <c r="I14">
        <v>1242.3215332</v>
      </c>
      <c r="J14">
        <v>1197.1347656</v>
      </c>
      <c r="K14">
        <v>2750</v>
      </c>
      <c r="L14">
        <v>0</v>
      </c>
      <c r="M14">
        <v>0</v>
      </c>
      <c r="N14">
        <v>2750</v>
      </c>
    </row>
    <row r="15" spans="1:14" x14ac:dyDescent="0.25">
      <c r="A15">
        <v>4.6413999999999997E-2</v>
      </c>
      <c r="B15" s="1">
        <f>DATE(2010,5,1) + TIME(1,6,50)</f>
        <v>40299.046412037038</v>
      </c>
      <c r="C15">
        <v>80</v>
      </c>
      <c r="D15">
        <v>18.785427093999999</v>
      </c>
      <c r="E15">
        <v>60</v>
      </c>
      <c r="F15">
        <v>14.991033553999999</v>
      </c>
      <c r="G15">
        <v>1458.1821289</v>
      </c>
      <c r="H15">
        <v>1417.1385498</v>
      </c>
      <c r="I15">
        <v>1240.3988036999999</v>
      </c>
      <c r="J15">
        <v>1195.2117920000001</v>
      </c>
      <c r="K15">
        <v>2750</v>
      </c>
      <c r="L15">
        <v>0</v>
      </c>
      <c r="M15">
        <v>0</v>
      </c>
      <c r="N15">
        <v>2750</v>
      </c>
    </row>
    <row r="16" spans="1:14" x14ac:dyDescent="0.25">
      <c r="A16">
        <v>5.8948E-2</v>
      </c>
      <c r="B16" s="1">
        <f>DATE(2010,5,1) + TIME(1,24,53)</f>
        <v>40299.058946759258</v>
      </c>
      <c r="C16">
        <v>80</v>
      </c>
      <c r="D16">
        <v>19.771663665999998</v>
      </c>
      <c r="E16">
        <v>60</v>
      </c>
      <c r="F16">
        <v>14.990967750999999</v>
      </c>
      <c r="G16">
        <v>1457.9713135</v>
      </c>
      <c r="H16">
        <v>1417.8953856999999</v>
      </c>
      <c r="I16">
        <v>1239.3746338000001</v>
      </c>
      <c r="J16">
        <v>1194.1876221</v>
      </c>
      <c r="K16">
        <v>2750</v>
      </c>
      <c r="L16">
        <v>0</v>
      </c>
      <c r="M16">
        <v>0</v>
      </c>
      <c r="N16">
        <v>2750</v>
      </c>
    </row>
    <row r="17" spans="1:14" x14ac:dyDescent="0.25">
      <c r="A17">
        <v>7.1656999999999998E-2</v>
      </c>
      <c r="B17" s="1">
        <f>DATE(2010,5,1) + TIME(1,43,11)</f>
        <v>40299.071655092594</v>
      </c>
      <c r="C17">
        <v>80</v>
      </c>
      <c r="D17">
        <v>20.758344650000002</v>
      </c>
      <c r="E17">
        <v>60</v>
      </c>
      <c r="F17">
        <v>14.990950584</v>
      </c>
      <c r="G17">
        <v>1457.3338623</v>
      </c>
      <c r="H17">
        <v>1418.1868896000001</v>
      </c>
      <c r="I17">
        <v>1238.8260498</v>
      </c>
      <c r="J17">
        <v>1193.6387939000001</v>
      </c>
      <c r="K17">
        <v>2750</v>
      </c>
      <c r="L17">
        <v>0</v>
      </c>
      <c r="M17">
        <v>0</v>
      </c>
      <c r="N17">
        <v>2750</v>
      </c>
    </row>
    <row r="18" spans="1:14" x14ac:dyDescent="0.25">
      <c r="A18">
        <v>8.4537000000000001E-2</v>
      </c>
      <c r="B18" s="1">
        <f>DATE(2010,5,1) + TIME(2,1,44)</f>
        <v>40299.084537037037</v>
      </c>
      <c r="C18">
        <v>80</v>
      </c>
      <c r="D18">
        <v>21.744323730000001</v>
      </c>
      <c r="E18">
        <v>60</v>
      </c>
      <c r="F18">
        <v>14.990960121000001</v>
      </c>
      <c r="G18">
        <v>1456.4698486</v>
      </c>
      <c r="H18">
        <v>1418.2143555</v>
      </c>
      <c r="I18">
        <v>1238.5380858999999</v>
      </c>
      <c r="J18">
        <v>1193.3509521000001</v>
      </c>
      <c r="K18">
        <v>2750</v>
      </c>
      <c r="L18">
        <v>0</v>
      </c>
      <c r="M18">
        <v>0</v>
      </c>
      <c r="N18">
        <v>2750</v>
      </c>
    </row>
    <row r="19" spans="1:14" x14ac:dyDescent="0.25">
      <c r="A19">
        <v>9.7600999999999993E-2</v>
      </c>
      <c r="B19" s="1">
        <f>DATE(2010,5,1) + TIME(2,20,32)</f>
        <v>40299.097592592596</v>
      </c>
      <c r="C19">
        <v>80</v>
      </c>
      <c r="D19">
        <v>22.729829788</v>
      </c>
      <c r="E19">
        <v>60</v>
      </c>
      <c r="F19">
        <v>14.990983009000001</v>
      </c>
      <c r="G19">
        <v>1455.487793</v>
      </c>
      <c r="H19">
        <v>1418.0881348</v>
      </c>
      <c r="I19">
        <v>1238.3944091999999</v>
      </c>
      <c r="J19">
        <v>1193.2071533000001</v>
      </c>
      <c r="K19">
        <v>2750</v>
      </c>
      <c r="L19">
        <v>0</v>
      </c>
      <c r="M19">
        <v>0</v>
      </c>
      <c r="N19">
        <v>2750</v>
      </c>
    </row>
    <row r="20" spans="1:14" x14ac:dyDescent="0.25">
      <c r="A20">
        <v>0.110857</v>
      </c>
      <c r="B20" s="1">
        <f>DATE(2010,5,1) + TIME(2,39,38)</f>
        <v>40299.110856481479</v>
      </c>
      <c r="C20">
        <v>80</v>
      </c>
      <c r="D20">
        <v>23.715047836</v>
      </c>
      <c r="E20">
        <v>60</v>
      </c>
      <c r="F20">
        <v>14.991014481000001</v>
      </c>
      <c r="G20">
        <v>1454.4493408000001</v>
      </c>
      <c r="H20">
        <v>1417.8720702999999</v>
      </c>
      <c r="I20">
        <v>1238.3294678</v>
      </c>
      <c r="J20">
        <v>1193.1423339999999</v>
      </c>
      <c r="K20">
        <v>2750</v>
      </c>
      <c r="L20">
        <v>0</v>
      </c>
      <c r="M20">
        <v>0</v>
      </c>
      <c r="N20">
        <v>2750</v>
      </c>
    </row>
    <row r="21" spans="1:14" x14ac:dyDescent="0.25">
      <c r="A21">
        <v>0.124311</v>
      </c>
      <c r="B21" s="1">
        <f>DATE(2010,5,1) + TIME(2,59,0)</f>
        <v>40299.124305555553</v>
      </c>
      <c r="C21">
        <v>80</v>
      </c>
      <c r="D21">
        <v>24.699966431</v>
      </c>
      <c r="E21">
        <v>60</v>
      </c>
      <c r="F21">
        <v>14.99105072</v>
      </c>
      <c r="G21">
        <v>1453.3907471</v>
      </c>
      <c r="H21">
        <v>1417.6042480000001</v>
      </c>
      <c r="I21">
        <v>1238.3067627</v>
      </c>
      <c r="J21">
        <v>1193.1196289</v>
      </c>
      <c r="K21">
        <v>2750</v>
      </c>
      <c r="L21">
        <v>0</v>
      </c>
      <c r="M21">
        <v>0</v>
      </c>
      <c r="N21">
        <v>2750</v>
      </c>
    </row>
    <row r="22" spans="1:14" x14ac:dyDescent="0.25">
      <c r="A22">
        <v>0.13797200000000001</v>
      </c>
      <c r="B22" s="1">
        <f>DATE(2010,5,1) + TIME(3,18,40)</f>
        <v>40299.137962962966</v>
      </c>
      <c r="C22">
        <v>80</v>
      </c>
      <c r="D22">
        <v>25.685037612999999</v>
      </c>
      <c r="E22">
        <v>60</v>
      </c>
      <c r="F22">
        <v>14.991088867</v>
      </c>
      <c r="G22">
        <v>1452.333374</v>
      </c>
      <c r="H22">
        <v>1417.3076172000001</v>
      </c>
      <c r="I22">
        <v>1238.3054199000001</v>
      </c>
      <c r="J22">
        <v>1193.1181641000001</v>
      </c>
      <c r="K22">
        <v>2750</v>
      </c>
      <c r="L22">
        <v>0</v>
      </c>
      <c r="M22">
        <v>0</v>
      </c>
      <c r="N22">
        <v>2750</v>
      </c>
    </row>
    <row r="23" spans="1:14" x14ac:dyDescent="0.25">
      <c r="A23">
        <v>0.15184</v>
      </c>
      <c r="B23" s="1">
        <f>DATE(2010,5,1) + TIME(3,38,38)</f>
        <v>40299.151828703703</v>
      </c>
      <c r="C23">
        <v>80</v>
      </c>
      <c r="D23">
        <v>26.669548034999998</v>
      </c>
      <c r="E23">
        <v>60</v>
      </c>
      <c r="F23">
        <v>14.991127968000001</v>
      </c>
      <c r="G23">
        <v>1451.2906493999999</v>
      </c>
      <c r="H23">
        <v>1416.9967041</v>
      </c>
      <c r="I23">
        <v>1238.3138428</v>
      </c>
      <c r="J23">
        <v>1193.1267089999999</v>
      </c>
      <c r="K23">
        <v>2750</v>
      </c>
      <c r="L23">
        <v>0</v>
      </c>
      <c r="M23">
        <v>0</v>
      </c>
      <c r="N23">
        <v>2750</v>
      </c>
    </row>
    <row r="24" spans="1:14" x14ac:dyDescent="0.25">
      <c r="A24">
        <v>0.16592599999999999</v>
      </c>
      <c r="B24" s="1">
        <f>DATE(2010,5,1) + TIME(3,58,55)</f>
        <v>40299.165914351855</v>
      </c>
      <c r="C24">
        <v>80</v>
      </c>
      <c r="D24">
        <v>27.653530120999999</v>
      </c>
      <c r="E24">
        <v>60</v>
      </c>
      <c r="F24">
        <v>14.991167067999999</v>
      </c>
      <c r="G24">
        <v>1450.2696533000001</v>
      </c>
      <c r="H24">
        <v>1416.6800536999999</v>
      </c>
      <c r="I24">
        <v>1238.3260498</v>
      </c>
      <c r="J24">
        <v>1193.1389160000001</v>
      </c>
      <c r="K24">
        <v>2750</v>
      </c>
      <c r="L24">
        <v>0</v>
      </c>
      <c r="M24">
        <v>0</v>
      </c>
      <c r="N24">
        <v>2750</v>
      </c>
    </row>
    <row r="25" spans="1:14" x14ac:dyDescent="0.25">
      <c r="A25">
        <v>0.18024100000000001</v>
      </c>
      <c r="B25" s="1">
        <f>DATE(2010,5,1) + TIME(4,19,32)</f>
        <v>40299.180231481485</v>
      </c>
      <c r="C25">
        <v>80</v>
      </c>
      <c r="D25">
        <v>28.637170791999999</v>
      </c>
      <c r="E25">
        <v>60</v>
      </c>
      <c r="F25">
        <v>14.991207123000001</v>
      </c>
      <c r="G25">
        <v>1449.2746582</v>
      </c>
      <c r="H25">
        <v>1416.3634033000001</v>
      </c>
      <c r="I25">
        <v>1238.3388672000001</v>
      </c>
      <c r="J25">
        <v>1193.1516113</v>
      </c>
      <c r="K25">
        <v>2750</v>
      </c>
      <c r="L25">
        <v>0</v>
      </c>
      <c r="M25">
        <v>0</v>
      </c>
      <c r="N25">
        <v>2750</v>
      </c>
    </row>
    <row r="26" spans="1:14" x14ac:dyDescent="0.25">
      <c r="A26">
        <v>0.19479399999999999</v>
      </c>
      <c r="B26" s="1">
        <f>DATE(2010,5,1) + TIME(4,40,30)</f>
        <v>40299.194791666669</v>
      </c>
      <c r="C26">
        <v>80</v>
      </c>
      <c r="D26">
        <v>29.620456696000002</v>
      </c>
      <c r="E26">
        <v>60</v>
      </c>
      <c r="F26">
        <v>14.991246222999999</v>
      </c>
      <c r="G26">
        <v>1448.3077393000001</v>
      </c>
      <c r="H26">
        <v>1416.0500488</v>
      </c>
      <c r="I26">
        <v>1238.3507079999999</v>
      </c>
      <c r="J26">
        <v>1193.1634521000001</v>
      </c>
      <c r="K26">
        <v>2750</v>
      </c>
      <c r="L26">
        <v>0</v>
      </c>
      <c r="M26">
        <v>0</v>
      </c>
      <c r="N26">
        <v>2750</v>
      </c>
    </row>
    <row r="27" spans="1:14" x14ac:dyDescent="0.25">
      <c r="A27">
        <v>0.209595</v>
      </c>
      <c r="B27" s="1">
        <f>DATE(2010,5,1) + TIME(5,1,48)</f>
        <v>40299.209583333337</v>
      </c>
      <c r="C27">
        <v>80</v>
      </c>
      <c r="D27">
        <v>30.603511810000001</v>
      </c>
      <c r="E27">
        <v>60</v>
      </c>
      <c r="F27">
        <v>14.991285324</v>
      </c>
      <c r="G27">
        <v>1447.369751</v>
      </c>
      <c r="H27">
        <v>1415.7419434000001</v>
      </c>
      <c r="I27">
        <v>1238.3610839999999</v>
      </c>
      <c r="J27">
        <v>1193.1738281</v>
      </c>
      <c r="K27">
        <v>2750</v>
      </c>
      <c r="L27">
        <v>0</v>
      </c>
      <c r="M27">
        <v>0</v>
      </c>
      <c r="N27">
        <v>2750</v>
      </c>
    </row>
    <row r="28" spans="1:14" x14ac:dyDescent="0.25">
      <c r="A28">
        <v>0.22464999999999999</v>
      </c>
      <c r="B28" s="1">
        <f>DATE(2010,5,1) + TIME(5,23,29)</f>
        <v>40299.224641203706</v>
      </c>
      <c r="C28">
        <v>80</v>
      </c>
      <c r="D28">
        <v>31.586141586</v>
      </c>
      <c r="E28">
        <v>60</v>
      </c>
      <c r="F28">
        <v>14.991324425</v>
      </c>
      <c r="G28">
        <v>1446.4606934000001</v>
      </c>
      <c r="H28">
        <v>1415.4404297000001</v>
      </c>
      <c r="I28">
        <v>1238.3699951000001</v>
      </c>
      <c r="J28">
        <v>1193.1827393000001</v>
      </c>
      <c r="K28">
        <v>2750</v>
      </c>
      <c r="L28">
        <v>0</v>
      </c>
      <c r="M28">
        <v>0</v>
      </c>
      <c r="N28">
        <v>2750</v>
      </c>
    </row>
    <row r="29" spans="1:14" x14ac:dyDescent="0.25">
      <c r="A29">
        <v>0.23997199999999999</v>
      </c>
      <c r="B29" s="1">
        <f>DATE(2010,5,1) + TIME(5,45,33)</f>
        <v>40299.239965277775</v>
      </c>
      <c r="C29">
        <v>80</v>
      </c>
      <c r="D29">
        <v>32.568294524999999</v>
      </c>
      <c r="E29">
        <v>60</v>
      </c>
      <c r="F29">
        <v>14.991364479</v>
      </c>
      <c r="G29">
        <v>1445.5804443</v>
      </c>
      <c r="H29">
        <v>1415.1459961</v>
      </c>
      <c r="I29">
        <v>1238.3773193</v>
      </c>
      <c r="J29">
        <v>1193.1900635</v>
      </c>
      <c r="K29">
        <v>2750</v>
      </c>
      <c r="L29">
        <v>0</v>
      </c>
      <c r="M29">
        <v>0</v>
      </c>
      <c r="N29">
        <v>2750</v>
      </c>
    </row>
    <row r="30" spans="1:14" x14ac:dyDescent="0.25">
      <c r="A30">
        <v>0.25557299999999999</v>
      </c>
      <c r="B30" s="1">
        <f>DATE(2010,5,1) + TIME(6,8,1)</f>
        <v>40299.255567129629</v>
      </c>
      <c r="C30">
        <v>80</v>
      </c>
      <c r="D30">
        <v>33.550037383999999</v>
      </c>
      <c r="E30">
        <v>60</v>
      </c>
      <c r="F30">
        <v>14.99140358</v>
      </c>
      <c r="G30">
        <v>1444.7281493999999</v>
      </c>
      <c r="H30">
        <v>1414.8590088000001</v>
      </c>
      <c r="I30">
        <v>1238.3834228999999</v>
      </c>
      <c r="J30">
        <v>1193.1961670000001</v>
      </c>
      <c r="K30">
        <v>2750</v>
      </c>
      <c r="L30">
        <v>0</v>
      </c>
      <c r="M30">
        <v>0</v>
      </c>
      <c r="N30">
        <v>2750</v>
      </c>
    </row>
    <row r="31" spans="1:14" x14ac:dyDescent="0.25">
      <c r="A31">
        <v>0.27146300000000001</v>
      </c>
      <c r="B31" s="1">
        <f>DATE(2010,5,1) + TIME(6,30,54)</f>
        <v>40299.271458333336</v>
      </c>
      <c r="C31">
        <v>80</v>
      </c>
      <c r="D31">
        <v>34.531349182</v>
      </c>
      <c r="E31">
        <v>60</v>
      </c>
      <c r="F31">
        <v>14.99144268</v>
      </c>
      <c r="G31">
        <v>1443.9030762</v>
      </c>
      <c r="H31">
        <v>1414.5797118999999</v>
      </c>
      <c r="I31">
        <v>1238.3885498</v>
      </c>
      <c r="J31">
        <v>1193.2012939000001</v>
      </c>
      <c r="K31">
        <v>2750</v>
      </c>
      <c r="L31">
        <v>0</v>
      </c>
      <c r="M31">
        <v>0</v>
      </c>
      <c r="N31">
        <v>2750</v>
      </c>
    </row>
    <row r="32" spans="1:14" x14ac:dyDescent="0.25">
      <c r="A32">
        <v>0.28765600000000002</v>
      </c>
      <c r="B32" s="1">
        <f>DATE(2010,5,1) + TIME(6,54,13)</f>
        <v>40299.28765046296</v>
      </c>
      <c r="C32">
        <v>80</v>
      </c>
      <c r="D32">
        <v>35.512222289999997</v>
      </c>
      <c r="E32">
        <v>60</v>
      </c>
      <c r="F32">
        <v>14.991481780999999</v>
      </c>
      <c r="G32">
        <v>1443.104126</v>
      </c>
      <c r="H32">
        <v>1414.3077393000001</v>
      </c>
      <c r="I32">
        <v>1238.3928223</v>
      </c>
      <c r="J32">
        <v>1193.2054443</v>
      </c>
      <c r="K32">
        <v>2750</v>
      </c>
      <c r="L32">
        <v>0</v>
      </c>
      <c r="M32">
        <v>0</v>
      </c>
      <c r="N32">
        <v>2750</v>
      </c>
    </row>
    <row r="33" spans="1:14" x14ac:dyDescent="0.25">
      <c r="A33">
        <v>0.30416500000000002</v>
      </c>
      <c r="B33" s="1">
        <f>DATE(2010,5,1) + TIME(7,17,59)</f>
        <v>40299.304155092592</v>
      </c>
      <c r="C33">
        <v>80</v>
      </c>
      <c r="D33">
        <v>36.492630005000002</v>
      </c>
      <c r="E33">
        <v>60</v>
      </c>
      <c r="F33">
        <v>14.991520882</v>
      </c>
      <c r="G33">
        <v>1442.3303223</v>
      </c>
      <c r="H33">
        <v>1414.0430908000001</v>
      </c>
      <c r="I33">
        <v>1238.3963623</v>
      </c>
      <c r="J33">
        <v>1193.2089844</v>
      </c>
      <c r="K33">
        <v>2750</v>
      </c>
      <c r="L33">
        <v>0</v>
      </c>
      <c r="M33">
        <v>0</v>
      </c>
      <c r="N33">
        <v>2750</v>
      </c>
    </row>
    <row r="34" spans="1:14" x14ac:dyDescent="0.25">
      <c r="A34">
        <v>0.32100400000000001</v>
      </c>
      <c r="B34" s="1">
        <f>DATE(2010,5,1) + TIME(7,42,14)</f>
        <v>40299.32099537037</v>
      </c>
      <c r="C34">
        <v>80</v>
      </c>
      <c r="D34">
        <v>37.472557068</v>
      </c>
      <c r="E34">
        <v>60</v>
      </c>
      <c r="F34">
        <v>14.991559982</v>
      </c>
      <c r="G34">
        <v>1441.5808105000001</v>
      </c>
      <c r="H34">
        <v>1413.7855225000001</v>
      </c>
      <c r="I34">
        <v>1238.3994141000001</v>
      </c>
      <c r="J34">
        <v>1193.2120361</v>
      </c>
      <c r="K34">
        <v>2750</v>
      </c>
      <c r="L34">
        <v>0</v>
      </c>
      <c r="M34">
        <v>0</v>
      </c>
      <c r="N34">
        <v>2750</v>
      </c>
    </row>
    <row r="35" spans="1:14" x14ac:dyDescent="0.25">
      <c r="A35">
        <v>0.33818700000000002</v>
      </c>
      <c r="B35" s="1">
        <f>DATE(2010,5,1) + TIME(8,6,59)</f>
        <v>40299.338182870371</v>
      </c>
      <c r="C35">
        <v>80</v>
      </c>
      <c r="D35">
        <v>38.451980591000002</v>
      </c>
      <c r="E35">
        <v>60</v>
      </c>
      <c r="F35">
        <v>14.991599083000001</v>
      </c>
      <c r="G35">
        <v>1440.8543701000001</v>
      </c>
      <c r="H35">
        <v>1413.534668</v>
      </c>
      <c r="I35">
        <v>1238.4020995999999</v>
      </c>
      <c r="J35">
        <v>1193.2145995999999</v>
      </c>
      <c r="K35">
        <v>2750</v>
      </c>
      <c r="L35">
        <v>0</v>
      </c>
      <c r="M35">
        <v>0</v>
      </c>
      <c r="N35">
        <v>2750</v>
      </c>
    </row>
    <row r="36" spans="1:14" x14ac:dyDescent="0.25">
      <c r="A36">
        <v>0.35573199999999999</v>
      </c>
      <c r="B36" s="1">
        <f>DATE(2010,5,1) + TIME(8,32,15)</f>
        <v>40299.355729166666</v>
      </c>
      <c r="C36">
        <v>80</v>
      </c>
      <c r="D36">
        <v>39.430877686000002</v>
      </c>
      <c r="E36">
        <v>60</v>
      </c>
      <c r="F36">
        <v>14.991638183999999</v>
      </c>
      <c r="G36">
        <v>1440.1501464999999</v>
      </c>
      <c r="H36">
        <v>1413.2902832</v>
      </c>
      <c r="I36">
        <v>1238.4042969</v>
      </c>
      <c r="J36">
        <v>1193.2167969</v>
      </c>
      <c r="K36">
        <v>2750</v>
      </c>
      <c r="L36">
        <v>0</v>
      </c>
      <c r="M36">
        <v>0</v>
      </c>
      <c r="N36">
        <v>2750</v>
      </c>
    </row>
    <row r="37" spans="1:14" x14ac:dyDescent="0.25">
      <c r="A37">
        <v>0.37365500000000001</v>
      </c>
      <c r="B37" s="1">
        <f>DATE(2010,5,1) + TIME(8,58,3)</f>
        <v>40299.373645833337</v>
      </c>
      <c r="C37">
        <v>80</v>
      </c>
      <c r="D37">
        <v>40.409320831000002</v>
      </c>
      <c r="E37">
        <v>60</v>
      </c>
      <c r="F37">
        <v>14.991677284</v>
      </c>
      <c r="G37">
        <v>1439.4670410000001</v>
      </c>
      <c r="H37">
        <v>1413.052124</v>
      </c>
      <c r="I37">
        <v>1238.4063721</v>
      </c>
      <c r="J37">
        <v>1193.21875</v>
      </c>
      <c r="K37">
        <v>2750</v>
      </c>
      <c r="L37">
        <v>0</v>
      </c>
      <c r="M37">
        <v>0</v>
      </c>
      <c r="N37">
        <v>2750</v>
      </c>
    </row>
    <row r="38" spans="1:14" x14ac:dyDescent="0.25">
      <c r="A38">
        <v>0.39197300000000002</v>
      </c>
      <c r="B38" s="1">
        <f>DATE(2010,5,1) + TIME(9,24,26)</f>
        <v>40299.391967592594</v>
      </c>
      <c r="C38">
        <v>80</v>
      </c>
      <c r="D38">
        <v>41.387226105000003</v>
      </c>
      <c r="E38">
        <v>60</v>
      </c>
      <c r="F38">
        <v>14.991717338999999</v>
      </c>
      <c r="G38">
        <v>1438.8041992000001</v>
      </c>
      <c r="H38">
        <v>1412.8197021000001</v>
      </c>
      <c r="I38">
        <v>1238.4082031</v>
      </c>
      <c r="J38">
        <v>1193.2205810999999</v>
      </c>
      <c r="K38">
        <v>2750</v>
      </c>
      <c r="L38">
        <v>0</v>
      </c>
      <c r="M38">
        <v>0</v>
      </c>
      <c r="N38">
        <v>2750</v>
      </c>
    </row>
    <row r="39" spans="1:14" x14ac:dyDescent="0.25">
      <c r="A39">
        <v>0.41070400000000001</v>
      </c>
      <c r="B39" s="1">
        <f>DATE(2010,5,1) + TIME(9,51,24)</f>
        <v>40299.410694444443</v>
      </c>
      <c r="C39">
        <v>80</v>
      </c>
      <c r="D39">
        <v>42.364406586000001</v>
      </c>
      <c r="E39">
        <v>60</v>
      </c>
      <c r="F39">
        <v>14.991756439</v>
      </c>
      <c r="G39">
        <v>1438.1606445</v>
      </c>
      <c r="H39">
        <v>1412.5927733999999</v>
      </c>
      <c r="I39">
        <v>1238.4097899999999</v>
      </c>
      <c r="J39">
        <v>1193.222168</v>
      </c>
      <c r="K39">
        <v>2750</v>
      </c>
      <c r="L39">
        <v>0</v>
      </c>
      <c r="M39">
        <v>0</v>
      </c>
      <c r="N39">
        <v>2750</v>
      </c>
    </row>
    <row r="40" spans="1:14" x14ac:dyDescent="0.25">
      <c r="A40">
        <v>0.42987300000000001</v>
      </c>
      <c r="B40" s="1">
        <f>DATE(2010,5,1) + TIME(10,19,1)</f>
        <v>40299.429872685185</v>
      </c>
      <c r="C40">
        <v>80</v>
      </c>
      <c r="D40">
        <v>43.340950012</v>
      </c>
      <c r="E40">
        <v>60</v>
      </c>
      <c r="F40">
        <v>14.991796494000001</v>
      </c>
      <c r="G40">
        <v>1437.5354004000001</v>
      </c>
      <c r="H40">
        <v>1412.3708495999999</v>
      </c>
      <c r="I40">
        <v>1238.4112548999999</v>
      </c>
      <c r="J40">
        <v>1193.2235106999999</v>
      </c>
      <c r="K40">
        <v>2750</v>
      </c>
      <c r="L40">
        <v>0</v>
      </c>
      <c r="M40">
        <v>0</v>
      </c>
      <c r="N40">
        <v>2750</v>
      </c>
    </row>
    <row r="41" spans="1:14" x14ac:dyDescent="0.25">
      <c r="A41">
        <v>0.44950299999999999</v>
      </c>
      <c r="B41" s="1">
        <f>DATE(2010,5,1) + TIME(10,47,17)</f>
        <v>40299.449502314812</v>
      </c>
      <c r="C41">
        <v>80</v>
      </c>
      <c r="D41">
        <v>44.316825866999999</v>
      </c>
      <c r="E41">
        <v>60</v>
      </c>
      <c r="F41">
        <v>14.991836548</v>
      </c>
      <c r="G41">
        <v>1436.9277344</v>
      </c>
      <c r="H41">
        <v>1412.1538086</v>
      </c>
      <c r="I41">
        <v>1238.4125977000001</v>
      </c>
      <c r="J41">
        <v>1193.2248535000001</v>
      </c>
      <c r="K41">
        <v>2750</v>
      </c>
      <c r="L41">
        <v>0</v>
      </c>
      <c r="M41">
        <v>0</v>
      </c>
      <c r="N41">
        <v>2750</v>
      </c>
    </row>
    <row r="42" spans="1:14" x14ac:dyDescent="0.25">
      <c r="A42">
        <v>0.46961799999999998</v>
      </c>
      <c r="B42" s="1">
        <f>DATE(2010,5,1) + TIME(11,16,14)</f>
        <v>40299.469606481478</v>
      </c>
      <c r="C42">
        <v>80</v>
      </c>
      <c r="D42">
        <v>45.291999816999997</v>
      </c>
      <c r="E42">
        <v>60</v>
      </c>
      <c r="F42">
        <v>14.991876602</v>
      </c>
      <c r="G42">
        <v>1436.3367920000001</v>
      </c>
      <c r="H42">
        <v>1411.9411620999999</v>
      </c>
      <c r="I42">
        <v>1238.4138184000001</v>
      </c>
      <c r="J42">
        <v>1193.2260742000001</v>
      </c>
      <c r="K42">
        <v>2750</v>
      </c>
      <c r="L42">
        <v>0</v>
      </c>
      <c r="M42">
        <v>0</v>
      </c>
      <c r="N42">
        <v>2750</v>
      </c>
    </row>
    <row r="43" spans="1:14" x14ac:dyDescent="0.25">
      <c r="A43">
        <v>0.49024499999999999</v>
      </c>
      <c r="B43" s="1">
        <f>DATE(2010,5,1) + TIME(11,45,57)</f>
        <v>40299.490243055552</v>
      </c>
      <c r="C43">
        <v>80</v>
      </c>
      <c r="D43">
        <v>46.266433716000002</v>
      </c>
      <c r="E43">
        <v>60</v>
      </c>
      <c r="F43">
        <v>14.991916656000001</v>
      </c>
      <c r="G43">
        <v>1435.7617187999999</v>
      </c>
      <c r="H43">
        <v>1411.7327881000001</v>
      </c>
      <c r="I43">
        <v>1238.4150391000001</v>
      </c>
      <c r="J43">
        <v>1193.2271728999999</v>
      </c>
      <c r="K43">
        <v>2750</v>
      </c>
      <c r="L43">
        <v>0</v>
      </c>
      <c r="M43">
        <v>0</v>
      </c>
      <c r="N43">
        <v>2750</v>
      </c>
    </row>
    <row r="44" spans="1:14" x14ac:dyDescent="0.25">
      <c r="A44">
        <v>0.51141300000000001</v>
      </c>
      <c r="B44" s="1">
        <f>DATE(2010,5,1) + TIME(12,16,26)</f>
        <v>40299.511412037034</v>
      </c>
      <c r="C44">
        <v>80</v>
      </c>
      <c r="D44">
        <v>47.240085602000001</v>
      </c>
      <c r="E44">
        <v>60</v>
      </c>
      <c r="F44">
        <v>14.991956711</v>
      </c>
      <c r="G44">
        <v>1435.2016602000001</v>
      </c>
      <c r="H44">
        <v>1411.5280762</v>
      </c>
      <c r="I44">
        <v>1238.4161377</v>
      </c>
      <c r="J44">
        <v>1193.2281493999999</v>
      </c>
      <c r="K44">
        <v>2750</v>
      </c>
      <c r="L44">
        <v>0</v>
      </c>
      <c r="M44">
        <v>0</v>
      </c>
      <c r="N44">
        <v>2750</v>
      </c>
    </row>
    <row r="45" spans="1:14" x14ac:dyDescent="0.25">
      <c r="A45">
        <v>0.53315400000000002</v>
      </c>
      <c r="B45" s="1">
        <f>DATE(2010,5,1) + TIME(12,47,44)</f>
        <v>40299.533148148148</v>
      </c>
      <c r="C45">
        <v>80</v>
      </c>
      <c r="D45">
        <v>48.212909697999997</v>
      </c>
      <c r="E45">
        <v>60</v>
      </c>
      <c r="F45">
        <v>14.991997719</v>
      </c>
      <c r="G45">
        <v>1434.6561279</v>
      </c>
      <c r="H45">
        <v>1411.3267822</v>
      </c>
      <c r="I45">
        <v>1238.4171143000001</v>
      </c>
      <c r="J45">
        <v>1193.229126</v>
      </c>
      <c r="K45">
        <v>2750</v>
      </c>
      <c r="L45">
        <v>0</v>
      </c>
      <c r="M45">
        <v>0</v>
      </c>
      <c r="N45">
        <v>2750</v>
      </c>
    </row>
    <row r="46" spans="1:14" x14ac:dyDescent="0.25">
      <c r="A46">
        <v>0.55550200000000005</v>
      </c>
      <c r="B46" s="1">
        <f>DATE(2010,5,1) + TIME(13,19,55)</f>
        <v>40299.555497685185</v>
      </c>
      <c r="C46">
        <v>80</v>
      </c>
      <c r="D46">
        <v>49.184860229000002</v>
      </c>
      <c r="E46">
        <v>60</v>
      </c>
      <c r="F46">
        <v>14.992038727000001</v>
      </c>
      <c r="G46">
        <v>1434.1241454999999</v>
      </c>
      <c r="H46">
        <v>1411.1287841999999</v>
      </c>
      <c r="I46">
        <v>1238.4180908000001</v>
      </c>
      <c r="J46">
        <v>1193.2299805</v>
      </c>
      <c r="K46">
        <v>2750</v>
      </c>
      <c r="L46">
        <v>0</v>
      </c>
      <c r="M46">
        <v>0</v>
      </c>
      <c r="N46">
        <v>2750</v>
      </c>
    </row>
    <row r="47" spans="1:14" x14ac:dyDescent="0.25">
      <c r="A47">
        <v>0.57849499999999998</v>
      </c>
      <c r="B47" s="1">
        <f>DATE(2010,5,1) + TIME(13,53,1)</f>
        <v>40299.578483796293</v>
      </c>
      <c r="C47">
        <v>80</v>
      </c>
      <c r="D47">
        <v>50.155807494999998</v>
      </c>
      <c r="E47">
        <v>60</v>
      </c>
      <c r="F47">
        <v>14.992079735000001</v>
      </c>
      <c r="G47">
        <v>1433.6051024999999</v>
      </c>
      <c r="H47">
        <v>1410.9335937999999</v>
      </c>
      <c r="I47">
        <v>1238.4189452999999</v>
      </c>
      <c r="J47">
        <v>1193.2308350000001</v>
      </c>
      <c r="K47">
        <v>2750</v>
      </c>
      <c r="L47">
        <v>0</v>
      </c>
      <c r="M47">
        <v>0</v>
      </c>
      <c r="N47">
        <v>2750</v>
      </c>
    </row>
    <row r="48" spans="1:14" x14ac:dyDescent="0.25">
      <c r="A48">
        <v>0.60217600000000004</v>
      </c>
      <c r="B48" s="1">
        <f>DATE(2010,5,1) + TIME(14,27,8)</f>
        <v>40299.602175925924</v>
      </c>
      <c r="C48">
        <v>80</v>
      </c>
      <c r="D48">
        <v>51.125450133999998</v>
      </c>
      <c r="E48">
        <v>60</v>
      </c>
      <c r="F48">
        <v>14.992120742999999</v>
      </c>
      <c r="G48">
        <v>1433.0982666</v>
      </c>
      <c r="H48">
        <v>1410.7408447</v>
      </c>
      <c r="I48">
        <v>1238.4197998</v>
      </c>
      <c r="J48">
        <v>1193.2316894999999</v>
      </c>
      <c r="K48">
        <v>2750</v>
      </c>
      <c r="L48">
        <v>0</v>
      </c>
      <c r="M48">
        <v>0</v>
      </c>
      <c r="N48">
        <v>2750</v>
      </c>
    </row>
    <row r="49" spans="1:14" x14ac:dyDescent="0.25">
      <c r="A49">
        <v>0.62659900000000002</v>
      </c>
      <c r="B49" s="1">
        <f>DATE(2010,5,1) + TIME(15,2,18)</f>
        <v>40299.626597222225</v>
      </c>
      <c r="C49">
        <v>80</v>
      </c>
      <c r="D49">
        <v>52.094398499</v>
      </c>
      <c r="E49">
        <v>60</v>
      </c>
      <c r="F49">
        <v>14.992162704</v>
      </c>
      <c r="G49">
        <v>1432.6030272999999</v>
      </c>
      <c r="H49">
        <v>1410.550293</v>
      </c>
      <c r="I49">
        <v>1238.4206543</v>
      </c>
      <c r="J49">
        <v>1193.2324219</v>
      </c>
      <c r="K49">
        <v>2750</v>
      </c>
      <c r="L49">
        <v>0</v>
      </c>
      <c r="M49">
        <v>0</v>
      </c>
      <c r="N49">
        <v>2750</v>
      </c>
    </row>
    <row r="50" spans="1:14" x14ac:dyDescent="0.25">
      <c r="A50">
        <v>0.65180400000000005</v>
      </c>
      <c r="B50" s="1">
        <f>DATE(2010,5,1) + TIME(15,38,35)</f>
        <v>40299.65179398148</v>
      </c>
      <c r="C50">
        <v>80</v>
      </c>
      <c r="D50">
        <v>53.062229156000001</v>
      </c>
      <c r="E50">
        <v>60</v>
      </c>
      <c r="F50">
        <v>14.992204665999999</v>
      </c>
      <c r="G50">
        <v>1432.1186522999999</v>
      </c>
      <c r="H50">
        <v>1410.3616943</v>
      </c>
      <c r="I50">
        <v>1238.4213867000001</v>
      </c>
      <c r="J50">
        <v>1193.2331543</v>
      </c>
      <c r="K50">
        <v>2750</v>
      </c>
      <c r="L50">
        <v>0</v>
      </c>
      <c r="M50">
        <v>0</v>
      </c>
      <c r="N50">
        <v>2750</v>
      </c>
    </row>
    <row r="51" spans="1:14" x14ac:dyDescent="0.25">
      <c r="A51">
        <v>0.67784699999999998</v>
      </c>
      <c r="B51" s="1">
        <f>DATE(2010,5,1) + TIME(16,16,5)</f>
        <v>40299.677835648145</v>
      </c>
      <c r="C51">
        <v>80</v>
      </c>
      <c r="D51">
        <v>54.028861999999997</v>
      </c>
      <c r="E51">
        <v>60</v>
      </c>
      <c r="F51">
        <v>14.992247581000001</v>
      </c>
      <c r="G51">
        <v>1431.6446533000001</v>
      </c>
      <c r="H51">
        <v>1410.1746826000001</v>
      </c>
      <c r="I51">
        <v>1238.4222411999999</v>
      </c>
      <c r="J51">
        <v>1193.2337646000001</v>
      </c>
      <c r="K51">
        <v>2750</v>
      </c>
      <c r="L51">
        <v>0</v>
      </c>
      <c r="M51">
        <v>0</v>
      </c>
      <c r="N51">
        <v>2750</v>
      </c>
    </row>
    <row r="52" spans="1:14" x14ac:dyDescent="0.25">
      <c r="A52">
        <v>0.704789</v>
      </c>
      <c r="B52" s="1">
        <f>DATE(2010,5,1) + TIME(16,54,53)</f>
        <v>40299.704780092594</v>
      </c>
      <c r="C52">
        <v>80</v>
      </c>
      <c r="D52">
        <v>54.994205475000001</v>
      </c>
      <c r="E52">
        <v>60</v>
      </c>
      <c r="F52">
        <v>14.992289543</v>
      </c>
      <c r="G52">
        <v>1431.1802978999999</v>
      </c>
      <c r="H52">
        <v>1409.9888916</v>
      </c>
      <c r="I52">
        <v>1238.4229736</v>
      </c>
      <c r="J52">
        <v>1193.2344971</v>
      </c>
      <c r="K52">
        <v>2750</v>
      </c>
      <c r="L52">
        <v>0</v>
      </c>
      <c r="M52">
        <v>0</v>
      </c>
      <c r="N52">
        <v>2750</v>
      </c>
    </row>
    <row r="53" spans="1:14" x14ac:dyDescent="0.25">
      <c r="A53">
        <v>0.73269799999999996</v>
      </c>
      <c r="B53" s="1">
        <f>DATE(2010,5,1) + TIME(17,35,5)</f>
        <v>40299.73269675926</v>
      </c>
      <c r="C53">
        <v>80</v>
      </c>
      <c r="D53">
        <v>55.958168030000003</v>
      </c>
      <c r="E53">
        <v>60</v>
      </c>
      <c r="F53">
        <v>14.992333412000001</v>
      </c>
      <c r="G53">
        <v>1430.7249756000001</v>
      </c>
      <c r="H53">
        <v>1409.8039550999999</v>
      </c>
      <c r="I53">
        <v>1238.4237060999999</v>
      </c>
      <c r="J53">
        <v>1193.2351074000001</v>
      </c>
      <c r="K53">
        <v>2750</v>
      </c>
      <c r="L53">
        <v>0</v>
      </c>
      <c r="M53">
        <v>0</v>
      </c>
      <c r="N53">
        <v>2750</v>
      </c>
    </row>
    <row r="54" spans="1:14" x14ac:dyDescent="0.25">
      <c r="A54">
        <v>0.76165099999999997</v>
      </c>
      <c r="B54" s="1">
        <f>DATE(2010,5,1) + TIME(18,16,46)</f>
        <v>40299.761643518519</v>
      </c>
      <c r="C54">
        <v>80</v>
      </c>
      <c r="D54">
        <v>56.920646667</v>
      </c>
      <c r="E54">
        <v>60</v>
      </c>
      <c r="F54">
        <v>14.992376328000001</v>
      </c>
      <c r="G54">
        <v>1430.2780762</v>
      </c>
      <c r="H54">
        <v>1409.6196289</v>
      </c>
      <c r="I54">
        <v>1238.4243164</v>
      </c>
      <c r="J54">
        <v>1193.2357178</v>
      </c>
      <c r="K54">
        <v>2750</v>
      </c>
      <c r="L54">
        <v>0</v>
      </c>
      <c r="M54">
        <v>0</v>
      </c>
      <c r="N54">
        <v>2750</v>
      </c>
    </row>
    <row r="55" spans="1:14" x14ac:dyDescent="0.25">
      <c r="A55">
        <v>0.79173199999999999</v>
      </c>
      <c r="B55" s="1">
        <f>DATE(2010,5,1) + TIME(19,0,5)</f>
        <v>40299.791724537034</v>
      </c>
      <c r="C55">
        <v>80</v>
      </c>
      <c r="D55">
        <v>57.881523131999998</v>
      </c>
      <c r="E55">
        <v>60</v>
      </c>
      <c r="F55">
        <v>14.992420197</v>
      </c>
      <c r="G55">
        <v>1429.8391113</v>
      </c>
      <c r="H55">
        <v>1409.4355469</v>
      </c>
      <c r="I55">
        <v>1238.4250488</v>
      </c>
      <c r="J55">
        <v>1193.2363281</v>
      </c>
      <c r="K55">
        <v>2750</v>
      </c>
      <c r="L55">
        <v>0</v>
      </c>
      <c r="M55">
        <v>0</v>
      </c>
      <c r="N55">
        <v>2750</v>
      </c>
    </row>
    <row r="56" spans="1:14" x14ac:dyDescent="0.25">
      <c r="A56">
        <v>0.82303800000000005</v>
      </c>
      <c r="B56" s="1">
        <f>DATE(2010,5,1) + TIME(19,45,10)</f>
        <v>40299.82303240741</v>
      </c>
      <c r="C56">
        <v>80</v>
      </c>
      <c r="D56">
        <v>58.840660094999997</v>
      </c>
      <c r="E56">
        <v>60</v>
      </c>
      <c r="F56">
        <v>14.992465019000001</v>
      </c>
      <c r="G56">
        <v>1429.4072266000001</v>
      </c>
      <c r="H56">
        <v>1409.2512207</v>
      </c>
      <c r="I56">
        <v>1238.4257812000001</v>
      </c>
      <c r="J56">
        <v>1193.2369385</v>
      </c>
      <c r="K56">
        <v>2750</v>
      </c>
      <c r="L56">
        <v>0</v>
      </c>
      <c r="M56">
        <v>0</v>
      </c>
      <c r="N56">
        <v>2750</v>
      </c>
    </row>
    <row r="57" spans="1:14" x14ac:dyDescent="0.25">
      <c r="A57">
        <v>0.85567800000000005</v>
      </c>
      <c r="B57" s="1">
        <f>DATE(2010,5,1) + TIME(20,32,10)</f>
        <v>40299.855671296296</v>
      </c>
      <c r="C57">
        <v>80</v>
      </c>
      <c r="D57">
        <v>59.797916411999999</v>
      </c>
      <c r="E57">
        <v>60</v>
      </c>
      <c r="F57">
        <v>14.992509842</v>
      </c>
      <c r="G57">
        <v>1428.9820557</v>
      </c>
      <c r="H57">
        <v>1409.0664062000001</v>
      </c>
      <c r="I57">
        <v>1238.4265137</v>
      </c>
      <c r="J57">
        <v>1193.2375488</v>
      </c>
      <c r="K57">
        <v>2750</v>
      </c>
      <c r="L57">
        <v>0</v>
      </c>
      <c r="M57">
        <v>0</v>
      </c>
      <c r="N57">
        <v>2750</v>
      </c>
    </row>
    <row r="58" spans="1:14" x14ac:dyDescent="0.25">
      <c r="A58">
        <v>0.88977499999999998</v>
      </c>
      <c r="B58" s="1">
        <f>DATE(2010,5,1) + TIME(21,21,16)</f>
        <v>40299.889768518522</v>
      </c>
      <c r="C58">
        <v>80</v>
      </c>
      <c r="D58">
        <v>60.752567290999998</v>
      </c>
      <c r="E58">
        <v>60</v>
      </c>
      <c r="F58">
        <v>14.992555618000001</v>
      </c>
      <c r="G58">
        <v>1428.5629882999999</v>
      </c>
      <c r="H58">
        <v>1408.8804932</v>
      </c>
      <c r="I58">
        <v>1238.4272461</v>
      </c>
      <c r="J58">
        <v>1193.2381591999999</v>
      </c>
      <c r="K58">
        <v>2750</v>
      </c>
      <c r="L58">
        <v>0</v>
      </c>
      <c r="M58">
        <v>0</v>
      </c>
      <c r="N58">
        <v>2750</v>
      </c>
    </row>
    <row r="59" spans="1:14" x14ac:dyDescent="0.25">
      <c r="A59">
        <v>0.92549199999999998</v>
      </c>
      <c r="B59" s="1">
        <f>DATE(2010,5,1) + TIME(22,12,42)</f>
        <v>40299.925486111111</v>
      </c>
      <c r="C59">
        <v>80</v>
      </c>
      <c r="D59">
        <v>61.705318450999997</v>
      </c>
      <c r="E59">
        <v>60</v>
      </c>
      <c r="F59">
        <v>14.992602348</v>
      </c>
      <c r="G59">
        <v>1428.1489257999999</v>
      </c>
      <c r="H59">
        <v>1408.6931152</v>
      </c>
      <c r="I59">
        <v>1238.4279785000001</v>
      </c>
      <c r="J59">
        <v>1193.2388916</v>
      </c>
      <c r="K59">
        <v>2750</v>
      </c>
      <c r="L59">
        <v>0</v>
      </c>
      <c r="M59">
        <v>0</v>
      </c>
      <c r="N59">
        <v>2750</v>
      </c>
    </row>
    <row r="60" spans="1:14" x14ac:dyDescent="0.25">
      <c r="A60">
        <v>0.96297999999999995</v>
      </c>
      <c r="B60" s="1">
        <f>DATE(2010,5,1) + TIME(23,6,41)</f>
        <v>40299.96297453704</v>
      </c>
      <c r="C60">
        <v>80</v>
      </c>
      <c r="D60">
        <v>62.655735016000001</v>
      </c>
      <c r="E60">
        <v>60</v>
      </c>
      <c r="F60">
        <v>14.992649077999999</v>
      </c>
      <c r="G60">
        <v>1427.739624</v>
      </c>
      <c r="H60">
        <v>1408.5037841999999</v>
      </c>
      <c r="I60">
        <v>1238.4287108999999</v>
      </c>
      <c r="J60">
        <v>1193.2395019999999</v>
      </c>
      <c r="K60">
        <v>2750</v>
      </c>
      <c r="L60">
        <v>0</v>
      </c>
      <c r="M60">
        <v>0</v>
      </c>
      <c r="N60">
        <v>2750</v>
      </c>
    </row>
    <row r="61" spans="1:14" x14ac:dyDescent="0.25">
      <c r="A61">
        <v>1.002424</v>
      </c>
      <c r="B61" s="1">
        <f>DATE(2010,5,2) + TIME(0,3,29)</f>
        <v>40300.002418981479</v>
      </c>
      <c r="C61">
        <v>80</v>
      </c>
      <c r="D61">
        <v>63.603431702000002</v>
      </c>
      <c r="E61">
        <v>60</v>
      </c>
      <c r="F61">
        <v>14.992696762</v>
      </c>
      <c r="G61">
        <v>1427.3342285000001</v>
      </c>
      <c r="H61">
        <v>1408.3120117000001</v>
      </c>
      <c r="I61">
        <v>1238.4295654</v>
      </c>
      <c r="J61">
        <v>1193.2402344</v>
      </c>
      <c r="K61">
        <v>2750</v>
      </c>
      <c r="L61">
        <v>0</v>
      </c>
      <c r="M61">
        <v>0</v>
      </c>
      <c r="N61">
        <v>2750</v>
      </c>
    </row>
    <row r="62" spans="1:14" x14ac:dyDescent="0.25">
      <c r="A62">
        <v>1.044046</v>
      </c>
      <c r="B62" s="1">
        <f>DATE(2010,5,2) + TIME(1,3,25)</f>
        <v>40300.044039351851</v>
      </c>
      <c r="C62">
        <v>80</v>
      </c>
      <c r="D62">
        <v>64.548110961999996</v>
      </c>
      <c r="E62">
        <v>60</v>
      </c>
      <c r="F62">
        <v>14.992745399</v>
      </c>
      <c r="G62">
        <v>1426.9321289</v>
      </c>
      <c r="H62">
        <v>1408.1170654</v>
      </c>
      <c r="I62">
        <v>1238.4304199000001</v>
      </c>
      <c r="J62">
        <v>1193.2409668</v>
      </c>
      <c r="K62">
        <v>2750</v>
      </c>
      <c r="L62">
        <v>0</v>
      </c>
      <c r="M62">
        <v>0</v>
      </c>
      <c r="N62">
        <v>2750</v>
      </c>
    </row>
    <row r="63" spans="1:14" x14ac:dyDescent="0.25">
      <c r="A63">
        <v>1.088104</v>
      </c>
      <c r="B63" s="1">
        <f>DATE(2010,5,2) + TIME(2,6,52)</f>
        <v>40300.088101851848</v>
      </c>
      <c r="C63">
        <v>80</v>
      </c>
      <c r="D63">
        <v>65.489555358999993</v>
      </c>
      <c r="E63">
        <v>60</v>
      </c>
      <c r="F63">
        <v>14.992794991</v>
      </c>
      <c r="G63">
        <v>1426.5322266000001</v>
      </c>
      <c r="H63">
        <v>1407.918457</v>
      </c>
      <c r="I63">
        <v>1238.4312743999999</v>
      </c>
      <c r="J63">
        <v>1193.2416992000001</v>
      </c>
      <c r="K63">
        <v>2750</v>
      </c>
      <c r="L63">
        <v>0</v>
      </c>
      <c r="M63">
        <v>0</v>
      </c>
      <c r="N63">
        <v>2750</v>
      </c>
    </row>
    <row r="64" spans="1:14" x14ac:dyDescent="0.25">
      <c r="A64">
        <v>1.1349020000000001</v>
      </c>
      <c r="B64" s="1">
        <f>DATE(2010,5,2) + TIME(3,14,15)</f>
        <v>40300.134895833333</v>
      </c>
      <c r="C64">
        <v>80</v>
      </c>
      <c r="D64">
        <v>66.427261353000006</v>
      </c>
      <c r="E64">
        <v>60</v>
      </c>
      <c r="F64">
        <v>14.992846489</v>
      </c>
      <c r="G64">
        <v>1426.1340332</v>
      </c>
      <c r="H64">
        <v>1407.715332</v>
      </c>
      <c r="I64">
        <v>1238.432251</v>
      </c>
      <c r="J64">
        <v>1193.2425536999999</v>
      </c>
      <c r="K64">
        <v>2750</v>
      </c>
      <c r="L64">
        <v>0</v>
      </c>
      <c r="M64">
        <v>0</v>
      </c>
      <c r="N64">
        <v>2750</v>
      </c>
    </row>
    <row r="65" spans="1:14" x14ac:dyDescent="0.25">
      <c r="A65">
        <v>1.1597500000000001</v>
      </c>
      <c r="B65" s="1">
        <f>DATE(2010,5,2) + TIME(3,50,2)</f>
        <v>40300.159745370373</v>
      </c>
      <c r="C65">
        <v>80</v>
      </c>
      <c r="D65">
        <v>66.908843993999994</v>
      </c>
      <c r="E65">
        <v>60</v>
      </c>
      <c r="F65">
        <v>14.992873191999999</v>
      </c>
      <c r="G65">
        <v>1425.8983154</v>
      </c>
      <c r="H65">
        <v>1407.5518798999999</v>
      </c>
      <c r="I65">
        <v>1238.4329834</v>
      </c>
      <c r="J65">
        <v>1193.2432861</v>
      </c>
      <c r="K65">
        <v>2750</v>
      </c>
      <c r="L65">
        <v>0</v>
      </c>
      <c r="M65">
        <v>0</v>
      </c>
      <c r="N65">
        <v>2750</v>
      </c>
    </row>
    <row r="66" spans="1:14" x14ac:dyDescent="0.25">
      <c r="A66">
        <v>1.184598</v>
      </c>
      <c r="B66" s="1">
        <f>DATE(2010,5,2) + TIME(4,25,49)</f>
        <v>40300.184594907405</v>
      </c>
      <c r="C66">
        <v>80</v>
      </c>
      <c r="D66">
        <v>67.373870850000003</v>
      </c>
      <c r="E66">
        <v>60</v>
      </c>
      <c r="F66">
        <v>14.992898941</v>
      </c>
      <c r="G66">
        <v>1425.697876</v>
      </c>
      <c r="H66">
        <v>1407.4449463000001</v>
      </c>
      <c r="I66">
        <v>1238.4337158000001</v>
      </c>
      <c r="J66">
        <v>1193.2438964999999</v>
      </c>
      <c r="K66">
        <v>2750</v>
      </c>
      <c r="L66">
        <v>0</v>
      </c>
      <c r="M66">
        <v>0</v>
      </c>
      <c r="N66">
        <v>2750</v>
      </c>
    </row>
    <row r="67" spans="1:14" x14ac:dyDescent="0.25">
      <c r="A67">
        <v>1.209446</v>
      </c>
      <c r="B67" s="1">
        <f>DATE(2010,5,2) + TIME(5,1,36)</f>
        <v>40300.209444444445</v>
      </c>
      <c r="C67">
        <v>80</v>
      </c>
      <c r="D67">
        <v>67.822868346999996</v>
      </c>
      <c r="E67">
        <v>60</v>
      </c>
      <c r="F67">
        <v>14.992924690000001</v>
      </c>
      <c r="G67">
        <v>1425.5046387</v>
      </c>
      <c r="H67">
        <v>1407.3404541</v>
      </c>
      <c r="I67">
        <v>1238.4343262</v>
      </c>
      <c r="J67">
        <v>1193.2445068</v>
      </c>
      <c r="K67">
        <v>2750</v>
      </c>
      <c r="L67">
        <v>0</v>
      </c>
      <c r="M67">
        <v>0</v>
      </c>
      <c r="N67">
        <v>2750</v>
      </c>
    </row>
    <row r="68" spans="1:14" x14ac:dyDescent="0.25">
      <c r="A68">
        <v>1.234294</v>
      </c>
      <c r="B68" s="1">
        <f>DATE(2010,5,2) + TIME(5,37,23)</f>
        <v>40300.234293981484</v>
      </c>
      <c r="C68">
        <v>80</v>
      </c>
      <c r="D68">
        <v>68.256347656000003</v>
      </c>
      <c r="E68">
        <v>60</v>
      </c>
      <c r="F68">
        <v>14.992949486000001</v>
      </c>
      <c r="G68">
        <v>1425.3172606999999</v>
      </c>
      <c r="H68">
        <v>1407.2376709</v>
      </c>
      <c r="I68">
        <v>1238.4349365</v>
      </c>
      <c r="J68">
        <v>1193.2449951000001</v>
      </c>
      <c r="K68">
        <v>2750</v>
      </c>
      <c r="L68">
        <v>0</v>
      </c>
      <c r="M68">
        <v>0</v>
      </c>
      <c r="N68">
        <v>2750</v>
      </c>
    </row>
    <row r="69" spans="1:14" x14ac:dyDescent="0.25">
      <c r="A69">
        <v>1.259142</v>
      </c>
      <c r="B69" s="1">
        <f>DATE(2010,5,2) + TIME(6,13,9)</f>
        <v>40300.259131944447</v>
      </c>
      <c r="C69">
        <v>80</v>
      </c>
      <c r="D69">
        <v>68.674797057999996</v>
      </c>
      <c r="E69">
        <v>60</v>
      </c>
      <c r="F69">
        <v>14.992974281</v>
      </c>
      <c r="G69">
        <v>1425.1354980000001</v>
      </c>
      <c r="H69">
        <v>1407.1364745999999</v>
      </c>
      <c r="I69">
        <v>1238.4354248</v>
      </c>
      <c r="J69">
        <v>1193.2454834</v>
      </c>
      <c r="K69">
        <v>2750</v>
      </c>
      <c r="L69">
        <v>0</v>
      </c>
      <c r="M69">
        <v>0</v>
      </c>
      <c r="N69">
        <v>2750</v>
      </c>
    </row>
    <row r="70" spans="1:14" x14ac:dyDescent="0.25">
      <c r="A70">
        <v>1.28399</v>
      </c>
      <c r="B70" s="1">
        <f>DATE(2010,5,2) + TIME(6,48,56)</f>
        <v>40300.28398148148</v>
      </c>
      <c r="C70">
        <v>80</v>
      </c>
      <c r="D70">
        <v>69.078712463000002</v>
      </c>
      <c r="E70">
        <v>60</v>
      </c>
      <c r="F70">
        <v>14.992999077</v>
      </c>
      <c r="G70">
        <v>1424.9589844</v>
      </c>
      <c r="H70">
        <v>1407.0368652</v>
      </c>
      <c r="I70">
        <v>1238.4360352000001</v>
      </c>
      <c r="J70">
        <v>1193.2459716999999</v>
      </c>
      <c r="K70">
        <v>2750</v>
      </c>
      <c r="L70">
        <v>0</v>
      </c>
      <c r="M70">
        <v>0</v>
      </c>
      <c r="N70">
        <v>2750</v>
      </c>
    </row>
    <row r="71" spans="1:14" x14ac:dyDescent="0.25">
      <c r="A71">
        <v>1.3088379999999999</v>
      </c>
      <c r="B71" s="1">
        <f>DATE(2010,5,2) + TIME(7,24,43)</f>
        <v>40300.308831018519</v>
      </c>
      <c r="C71">
        <v>80</v>
      </c>
      <c r="D71">
        <v>69.468566894999995</v>
      </c>
      <c r="E71">
        <v>60</v>
      </c>
      <c r="F71">
        <v>14.993021965000001</v>
      </c>
      <c r="G71">
        <v>1424.7873535000001</v>
      </c>
      <c r="H71">
        <v>1406.9387207</v>
      </c>
      <c r="I71">
        <v>1238.4365233999999</v>
      </c>
      <c r="J71">
        <v>1193.2464600000001</v>
      </c>
      <c r="K71">
        <v>2750</v>
      </c>
      <c r="L71">
        <v>0</v>
      </c>
      <c r="M71">
        <v>0</v>
      </c>
      <c r="N71">
        <v>2750</v>
      </c>
    </row>
    <row r="72" spans="1:14" x14ac:dyDescent="0.25">
      <c r="A72">
        <v>1.3585339999999999</v>
      </c>
      <c r="B72" s="1">
        <f>DATE(2010,5,2) + TIME(8,36,17)</f>
        <v>40300.358530092592</v>
      </c>
      <c r="C72">
        <v>80</v>
      </c>
      <c r="D72">
        <v>70.194480896000002</v>
      </c>
      <c r="E72">
        <v>60</v>
      </c>
      <c r="F72">
        <v>14.993067741000001</v>
      </c>
      <c r="G72">
        <v>1424.5031738</v>
      </c>
      <c r="H72">
        <v>1406.8111572</v>
      </c>
      <c r="I72">
        <v>1238.4372559000001</v>
      </c>
      <c r="J72">
        <v>1193.2470702999999</v>
      </c>
      <c r="K72">
        <v>2750</v>
      </c>
      <c r="L72">
        <v>0</v>
      </c>
      <c r="M72">
        <v>0</v>
      </c>
      <c r="N72">
        <v>2750</v>
      </c>
    </row>
    <row r="73" spans="1:14" x14ac:dyDescent="0.25">
      <c r="A73">
        <v>1.4082460000000001</v>
      </c>
      <c r="B73" s="1">
        <f>DATE(2010,5,2) + TIME(9,47,52)</f>
        <v>40300.40824074074</v>
      </c>
      <c r="C73">
        <v>80</v>
      </c>
      <c r="D73">
        <v>70.871109008999994</v>
      </c>
      <c r="E73">
        <v>60</v>
      </c>
      <c r="F73">
        <v>14.993110657000001</v>
      </c>
      <c r="G73">
        <v>1424.1945800999999</v>
      </c>
      <c r="H73">
        <v>1406.6242675999999</v>
      </c>
      <c r="I73">
        <v>1238.4382324000001</v>
      </c>
      <c r="J73">
        <v>1193.2479248</v>
      </c>
      <c r="K73">
        <v>2750</v>
      </c>
      <c r="L73">
        <v>0</v>
      </c>
      <c r="M73">
        <v>0</v>
      </c>
      <c r="N73">
        <v>2750</v>
      </c>
    </row>
    <row r="74" spans="1:14" x14ac:dyDescent="0.25">
      <c r="A74">
        <v>1.4582520000000001</v>
      </c>
      <c r="B74" s="1">
        <f>DATE(2010,5,2) + TIME(10,59,52)</f>
        <v>40300.458240740743</v>
      </c>
      <c r="C74">
        <v>80</v>
      </c>
      <c r="D74">
        <v>71.505195618000002</v>
      </c>
      <c r="E74">
        <v>60</v>
      </c>
      <c r="F74">
        <v>14.993153572000001</v>
      </c>
      <c r="G74">
        <v>1423.8992920000001</v>
      </c>
      <c r="H74">
        <v>1406.4410399999999</v>
      </c>
      <c r="I74">
        <v>1238.4393310999999</v>
      </c>
      <c r="J74">
        <v>1193.2490233999999</v>
      </c>
      <c r="K74">
        <v>2750</v>
      </c>
      <c r="L74">
        <v>0</v>
      </c>
      <c r="M74">
        <v>0</v>
      </c>
      <c r="N74">
        <v>2750</v>
      </c>
    </row>
    <row r="75" spans="1:14" x14ac:dyDescent="0.25">
      <c r="A75">
        <v>1.5086200000000001</v>
      </c>
      <c r="B75" s="1">
        <f>DATE(2010,5,2) + TIME(12,12,24)</f>
        <v>40300.508611111109</v>
      </c>
      <c r="C75">
        <v>80</v>
      </c>
      <c r="D75">
        <v>72.099739075000002</v>
      </c>
      <c r="E75">
        <v>60</v>
      </c>
      <c r="F75">
        <v>14.993194580000001</v>
      </c>
      <c r="G75">
        <v>1423.6162108999999</v>
      </c>
      <c r="H75">
        <v>1406.2612305</v>
      </c>
      <c r="I75">
        <v>1238.4404297000001</v>
      </c>
      <c r="J75">
        <v>1193.25</v>
      </c>
      <c r="K75">
        <v>2750</v>
      </c>
      <c r="L75">
        <v>0</v>
      </c>
      <c r="M75">
        <v>0</v>
      </c>
      <c r="N75">
        <v>2750</v>
      </c>
    </row>
    <row r="76" spans="1:14" x14ac:dyDescent="0.25">
      <c r="A76">
        <v>1.559423</v>
      </c>
      <c r="B76" s="1">
        <f>DATE(2010,5,2) + TIME(13,25,34)</f>
        <v>40300.559421296297</v>
      </c>
      <c r="C76">
        <v>80</v>
      </c>
      <c r="D76">
        <v>72.657493591000005</v>
      </c>
      <c r="E76">
        <v>60</v>
      </c>
      <c r="F76">
        <v>14.993234634</v>
      </c>
      <c r="G76">
        <v>1423.3439940999999</v>
      </c>
      <c r="H76">
        <v>1406.0843506000001</v>
      </c>
      <c r="I76">
        <v>1238.4415283000001</v>
      </c>
      <c r="J76">
        <v>1193.2509766000001</v>
      </c>
      <c r="K76">
        <v>2750</v>
      </c>
      <c r="L76">
        <v>0</v>
      </c>
      <c r="M76">
        <v>0</v>
      </c>
      <c r="N76">
        <v>2750</v>
      </c>
    </row>
    <row r="77" spans="1:14" x14ac:dyDescent="0.25">
      <c r="A77">
        <v>1.610733</v>
      </c>
      <c r="B77" s="1">
        <f>DATE(2010,5,2) + TIME(14,39,27)</f>
        <v>40300.610729166663</v>
      </c>
      <c r="C77">
        <v>80</v>
      </c>
      <c r="D77">
        <v>73.180923461999996</v>
      </c>
      <c r="E77">
        <v>60</v>
      </c>
      <c r="F77">
        <v>14.993273735000001</v>
      </c>
      <c r="G77">
        <v>1423.0816649999999</v>
      </c>
      <c r="H77">
        <v>1405.9099120999999</v>
      </c>
      <c r="I77">
        <v>1238.4426269999999</v>
      </c>
      <c r="J77">
        <v>1193.2520752</v>
      </c>
      <c r="K77">
        <v>2750</v>
      </c>
      <c r="L77">
        <v>0</v>
      </c>
      <c r="M77">
        <v>0</v>
      </c>
      <c r="N77">
        <v>2750</v>
      </c>
    </row>
    <row r="78" spans="1:14" x14ac:dyDescent="0.25">
      <c r="A78">
        <v>1.66262</v>
      </c>
      <c r="B78" s="1">
        <f>DATE(2010,5,2) + TIME(15,54,10)</f>
        <v>40300.662615740737</v>
      </c>
      <c r="C78">
        <v>80</v>
      </c>
      <c r="D78">
        <v>73.672264099000003</v>
      </c>
      <c r="E78">
        <v>60</v>
      </c>
      <c r="F78">
        <v>14.993311882</v>
      </c>
      <c r="G78">
        <v>1422.8280029</v>
      </c>
      <c r="H78">
        <v>1405.7375488</v>
      </c>
      <c r="I78">
        <v>1238.4437256000001</v>
      </c>
      <c r="J78">
        <v>1193.2530518000001</v>
      </c>
      <c r="K78">
        <v>2750</v>
      </c>
      <c r="L78">
        <v>0</v>
      </c>
      <c r="M78">
        <v>0</v>
      </c>
      <c r="N78">
        <v>2750</v>
      </c>
    </row>
    <row r="79" spans="1:14" x14ac:dyDescent="0.25">
      <c r="A79">
        <v>1.7151479999999999</v>
      </c>
      <c r="B79" s="1">
        <f>DATE(2010,5,2) + TIME(17,9,48)</f>
        <v>40300.715138888889</v>
      </c>
      <c r="C79">
        <v>80</v>
      </c>
      <c r="D79">
        <v>74.133453368999994</v>
      </c>
      <c r="E79">
        <v>60</v>
      </c>
      <c r="F79">
        <v>14.993349074999999</v>
      </c>
      <c r="G79">
        <v>1422.5822754000001</v>
      </c>
      <c r="H79">
        <v>1405.5668945</v>
      </c>
      <c r="I79">
        <v>1238.4448242000001</v>
      </c>
      <c r="J79">
        <v>1193.2541504000001</v>
      </c>
      <c r="K79">
        <v>2750</v>
      </c>
      <c r="L79">
        <v>0</v>
      </c>
      <c r="M79">
        <v>0</v>
      </c>
      <c r="N79">
        <v>2750</v>
      </c>
    </row>
    <row r="80" spans="1:14" x14ac:dyDescent="0.25">
      <c r="A80">
        <v>1.7684</v>
      </c>
      <c r="B80" s="1">
        <f>DATE(2010,5,2) + TIME(18,26,29)</f>
        <v>40300.768391203703</v>
      </c>
      <c r="C80">
        <v>80</v>
      </c>
      <c r="D80">
        <v>74.566444396999998</v>
      </c>
      <c r="E80">
        <v>60</v>
      </c>
      <c r="F80">
        <v>14.993386269</v>
      </c>
      <c r="G80">
        <v>1422.3435059000001</v>
      </c>
      <c r="H80">
        <v>1405.3978271000001</v>
      </c>
      <c r="I80">
        <v>1238.4460449000001</v>
      </c>
      <c r="J80">
        <v>1193.255249</v>
      </c>
      <c r="K80">
        <v>2750</v>
      </c>
      <c r="L80">
        <v>0</v>
      </c>
      <c r="M80">
        <v>0</v>
      </c>
      <c r="N80">
        <v>2750</v>
      </c>
    </row>
    <row r="81" spans="1:14" x14ac:dyDescent="0.25">
      <c r="A81">
        <v>1.8224530000000001</v>
      </c>
      <c r="B81" s="1">
        <f>DATE(2010,5,2) + TIME(19,44,19)</f>
        <v>40300.822442129633</v>
      </c>
      <c r="C81">
        <v>80</v>
      </c>
      <c r="D81">
        <v>74.972908020000006</v>
      </c>
      <c r="E81">
        <v>60</v>
      </c>
      <c r="F81">
        <v>14.993421554999999</v>
      </c>
      <c r="G81">
        <v>1422.1110839999999</v>
      </c>
      <c r="H81">
        <v>1405.2298584</v>
      </c>
      <c r="I81">
        <v>1238.4471435999999</v>
      </c>
      <c r="J81">
        <v>1193.2563477000001</v>
      </c>
      <c r="K81">
        <v>2750</v>
      </c>
      <c r="L81">
        <v>0</v>
      </c>
      <c r="M81">
        <v>0</v>
      </c>
      <c r="N81">
        <v>2750</v>
      </c>
    </row>
    <row r="82" spans="1:14" x14ac:dyDescent="0.25">
      <c r="A82">
        <v>1.877386</v>
      </c>
      <c r="B82" s="1">
        <f>DATE(2010,5,2) + TIME(21,3,26)</f>
        <v>40300.877384259256</v>
      </c>
      <c r="C82">
        <v>80</v>
      </c>
      <c r="D82">
        <v>75.354133606000005</v>
      </c>
      <c r="E82">
        <v>60</v>
      </c>
      <c r="F82">
        <v>14.993456841</v>
      </c>
      <c r="G82">
        <v>1421.8842772999999</v>
      </c>
      <c r="H82">
        <v>1405.0627440999999</v>
      </c>
      <c r="I82">
        <v>1238.4482422000001</v>
      </c>
      <c r="J82">
        <v>1193.2574463000001</v>
      </c>
      <c r="K82">
        <v>2750</v>
      </c>
      <c r="L82">
        <v>0</v>
      </c>
      <c r="M82">
        <v>0</v>
      </c>
      <c r="N82">
        <v>2750</v>
      </c>
    </row>
    <row r="83" spans="1:14" x14ac:dyDescent="0.25">
      <c r="A83">
        <v>1.933281</v>
      </c>
      <c r="B83" s="1">
        <f>DATE(2010,5,2) + TIME(22,23,55)</f>
        <v>40300.933275462965</v>
      </c>
      <c r="C83">
        <v>80</v>
      </c>
      <c r="D83">
        <v>75.711791992000002</v>
      </c>
      <c r="E83">
        <v>60</v>
      </c>
      <c r="F83">
        <v>14.993492126</v>
      </c>
      <c r="G83">
        <v>1421.6624756000001</v>
      </c>
      <c r="H83">
        <v>1404.8962402</v>
      </c>
      <c r="I83">
        <v>1238.4494629000001</v>
      </c>
      <c r="J83">
        <v>1193.2585449000001</v>
      </c>
      <c r="K83">
        <v>2750</v>
      </c>
      <c r="L83">
        <v>0</v>
      </c>
      <c r="M83">
        <v>0</v>
      </c>
      <c r="N83">
        <v>2750</v>
      </c>
    </row>
    <row r="84" spans="1:14" x14ac:dyDescent="0.25">
      <c r="A84">
        <v>1.9902249999999999</v>
      </c>
      <c r="B84" s="1">
        <f>DATE(2010,5,2) + TIME(23,45,55)</f>
        <v>40300.990219907406</v>
      </c>
      <c r="C84">
        <v>80</v>
      </c>
      <c r="D84">
        <v>76.047210692999997</v>
      </c>
      <c r="E84">
        <v>60</v>
      </c>
      <c r="F84">
        <v>14.993526459</v>
      </c>
      <c r="G84">
        <v>1421.4450684000001</v>
      </c>
      <c r="H84">
        <v>1404.7301024999999</v>
      </c>
      <c r="I84">
        <v>1238.4506836</v>
      </c>
      <c r="J84">
        <v>1193.2596435999999</v>
      </c>
      <c r="K84">
        <v>2750</v>
      </c>
      <c r="L84">
        <v>0</v>
      </c>
      <c r="M84">
        <v>0</v>
      </c>
      <c r="N84">
        <v>2750</v>
      </c>
    </row>
    <row r="85" spans="1:14" x14ac:dyDescent="0.25">
      <c r="A85">
        <v>2.0483099999999999</v>
      </c>
      <c r="B85" s="1">
        <f>DATE(2010,5,3) + TIME(1,9,33)</f>
        <v>40301.048298611109</v>
      </c>
      <c r="C85">
        <v>80</v>
      </c>
      <c r="D85">
        <v>76.361610412999994</v>
      </c>
      <c r="E85">
        <v>60</v>
      </c>
      <c r="F85">
        <v>14.993559836999999</v>
      </c>
      <c r="G85">
        <v>1421.2316894999999</v>
      </c>
      <c r="H85">
        <v>1404.5642089999999</v>
      </c>
      <c r="I85">
        <v>1238.4517822</v>
      </c>
      <c r="J85">
        <v>1193.2607422000001</v>
      </c>
      <c r="K85">
        <v>2750</v>
      </c>
      <c r="L85">
        <v>0</v>
      </c>
      <c r="M85">
        <v>0</v>
      </c>
      <c r="N85">
        <v>2750</v>
      </c>
    </row>
    <row r="86" spans="1:14" x14ac:dyDescent="0.25">
      <c r="A86">
        <v>2.1076329999999999</v>
      </c>
      <c r="B86" s="1">
        <f>DATE(2010,5,3) + TIME(2,34,59)</f>
        <v>40301.107627314814</v>
      </c>
      <c r="C86">
        <v>80</v>
      </c>
      <c r="D86">
        <v>76.656127929999997</v>
      </c>
      <c r="E86">
        <v>60</v>
      </c>
      <c r="F86">
        <v>14.993593216000001</v>
      </c>
      <c r="G86">
        <v>1421.0217285000001</v>
      </c>
      <c r="H86">
        <v>1404.3981934000001</v>
      </c>
      <c r="I86">
        <v>1238.4530029</v>
      </c>
      <c r="J86">
        <v>1193.2618408000001</v>
      </c>
      <c r="K86">
        <v>2750</v>
      </c>
      <c r="L86">
        <v>0</v>
      </c>
      <c r="M86">
        <v>0</v>
      </c>
      <c r="N86">
        <v>2750</v>
      </c>
    </row>
    <row r="87" spans="1:14" x14ac:dyDescent="0.25">
      <c r="A87">
        <v>2.1682990000000002</v>
      </c>
      <c r="B87" s="1">
        <f>DATE(2010,5,3) + TIME(4,2,21)</f>
        <v>40301.168298611112</v>
      </c>
      <c r="C87">
        <v>80</v>
      </c>
      <c r="D87">
        <v>76.931808472</v>
      </c>
      <c r="E87">
        <v>60</v>
      </c>
      <c r="F87">
        <v>14.993626595</v>
      </c>
      <c r="G87">
        <v>1420.8146973</v>
      </c>
      <c r="H87">
        <v>1404.2319336</v>
      </c>
      <c r="I87">
        <v>1238.4542236</v>
      </c>
      <c r="J87">
        <v>1193.2630615</v>
      </c>
      <c r="K87">
        <v>2750</v>
      </c>
      <c r="L87">
        <v>0</v>
      </c>
      <c r="M87">
        <v>0</v>
      </c>
      <c r="N87">
        <v>2750</v>
      </c>
    </row>
    <row r="88" spans="1:14" x14ac:dyDescent="0.25">
      <c r="A88">
        <v>2.2304189999999999</v>
      </c>
      <c r="B88" s="1">
        <f>DATE(2010,5,3) + TIME(5,31,48)</f>
        <v>40301.230416666665</v>
      </c>
      <c r="C88">
        <v>80</v>
      </c>
      <c r="D88">
        <v>77.189643860000004</v>
      </c>
      <c r="E88">
        <v>60</v>
      </c>
      <c r="F88">
        <v>14.993659973</v>
      </c>
      <c r="G88">
        <v>1420.6102295000001</v>
      </c>
      <c r="H88">
        <v>1404.0650635</v>
      </c>
      <c r="I88">
        <v>1238.4554443</v>
      </c>
      <c r="J88">
        <v>1193.2641602000001</v>
      </c>
      <c r="K88">
        <v>2750</v>
      </c>
      <c r="L88">
        <v>0</v>
      </c>
      <c r="M88">
        <v>0</v>
      </c>
      <c r="N88">
        <v>2750</v>
      </c>
    </row>
    <row r="89" spans="1:14" x14ac:dyDescent="0.25">
      <c r="A89">
        <v>2.2941400000000001</v>
      </c>
      <c r="B89" s="1">
        <f>DATE(2010,5,3) + TIME(7,3,33)</f>
        <v>40301.294131944444</v>
      </c>
      <c r="C89">
        <v>80</v>
      </c>
      <c r="D89">
        <v>77.430641174000002</v>
      </c>
      <c r="E89">
        <v>60</v>
      </c>
      <c r="F89">
        <v>14.993692398</v>
      </c>
      <c r="G89">
        <v>1420.4078368999999</v>
      </c>
      <c r="H89">
        <v>1403.8975829999999</v>
      </c>
      <c r="I89">
        <v>1238.4566649999999</v>
      </c>
      <c r="J89">
        <v>1193.2653809000001</v>
      </c>
      <c r="K89">
        <v>2750</v>
      </c>
      <c r="L89">
        <v>0</v>
      </c>
      <c r="M89">
        <v>0</v>
      </c>
      <c r="N89">
        <v>2750</v>
      </c>
    </row>
    <row r="90" spans="1:14" x14ac:dyDescent="0.25">
      <c r="A90">
        <v>2.3595739999999998</v>
      </c>
      <c r="B90" s="1">
        <f>DATE(2010,5,3) + TIME(8,37,47)</f>
        <v>40301.359571759262</v>
      </c>
      <c r="C90">
        <v>80</v>
      </c>
      <c r="D90">
        <v>77.655570983999993</v>
      </c>
      <c r="E90">
        <v>60</v>
      </c>
      <c r="F90">
        <v>14.993724823000001</v>
      </c>
      <c r="G90">
        <v>1420.2071533000001</v>
      </c>
      <c r="H90">
        <v>1403.729126</v>
      </c>
      <c r="I90">
        <v>1238.4578856999999</v>
      </c>
      <c r="J90">
        <v>1193.2666016000001</v>
      </c>
      <c r="K90">
        <v>2750</v>
      </c>
      <c r="L90">
        <v>0</v>
      </c>
      <c r="M90">
        <v>0</v>
      </c>
      <c r="N90">
        <v>2750</v>
      </c>
    </row>
    <row r="91" spans="1:14" x14ac:dyDescent="0.25">
      <c r="A91">
        <v>2.42686</v>
      </c>
      <c r="B91" s="1">
        <f>DATE(2010,5,3) + TIME(10,14,40)</f>
        <v>40301.426851851851</v>
      </c>
      <c r="C91">
        <v>80</v>
      </c>
      <c r="D91">
        <v>77.865249633999994</v>
      </c>
      <c r="E91">
        <v>60</v>
      </c>
      <c r="F91">
        <v>14.993757248</v>
      </c>
      <c r="G91">
        <v>1420.0078125</v>
      </c>
      <c r="H91">
        <v>1403.5594481999999</v>
      </c>
      <c r="I91">
        <v>1238.4592285000001</v>
      </c>
      <c r="J91">
        <v>1193.2678223</v>
      </c>
      <c r="K91">
        <v>2750</v>
      </c>
      <c r="L91">
        <v>0</v>
      </c>
      <c r="M91">
        <v>0</v>
      </c>
      <c r="N91">
        <v>2750</v>
      </c>
    </row>
    <row r="92" spans="1:14" x14ac:dyDescent="0.25">
      <c r="A92">
        <v>2.4961570000000002</v>
      </c>
      <c r="B92" s="1">
        <f>DATE(2010,5,3) + TIME(11,54,27)</f>
        <v>40301.496145833335</v>
      </c>
      <c r="C92">
        <v>80</v>
      </c>
      <c r="D92">
        <v>78.060424804999997</v>
      </c>
      <c r="E92">
        <v>60</v>
      </c>
      <c r="F92">
        <v>14.993788718999999</v>
      </c>
      <c r="G92">
        <v>1419.8094481999999</v>
      </c>
      <c r="H92">
        <v>1403.3885498</v>
      </c>
      <c r="I92">
        <v>1238.4604492000001</v>
      </c>
      <c r="J92">
        <v>1193.269043</v>
      </c>
      <c r="K92">
        <v>2750</v>
      </c>
      <c r="L92">
        <v>0</v>
      </c>
      <c r="M92">
        <v>0</v>
      </c>
      <c r="N92">
        <v>2750</v>
      </c>
    </row>
    <row r="93" spans="1:14" x14ac:dyDescent="0.25">
      <c r="A93">
        <v>2.5676369999999999</v>
      </c>
      <c r="B93" s="1">
        <f>DATE(2010,5,3) + TIME(13,37,23)</f>
        <v>40301.567627314813</v>
      </c>
      <c r="C93">
        <v>80</v>
      </c>
      <c r="D93">
        <v>78.241836547999995</v>
      </c>
      <c r="E93">
        <v>60</v>
      </c>
      <c r="F93">
        <v>14.993821144</v>
      </c>
      <c r="G93">
        <v>1419.6116943</v>
      </c>
      <c r="H93">
        <v>1403.2159423999999</v>
      </c>
      <c r="I93">
        <v>1238.4617920000001</v>
      </c>
      <c r="J93">
        <v>1193.2703856999999</v>
      </c>
      <c r="K93">
        <v>2750</v>
      </c>
      <c r="L93">
        <v>0</v>
      </c>
      <c r="M93">
        <v>0</v>
      </c>
      <c r="N93">
        <v>2750</v>
      </c>
    </row>
    <row r="94" spans="1:14" x14ac:dyDescent="0.25">
      <c r="A94">
        <v>2.641492</v>
      </c>
      <c r="B94" s="1">
        <f>DATE(2010,5,3) + TIME(15,23,44)</f>
        <v>40301.641481481478</v>
      </c>
      <c r="C94">
        <v>80</v>
      </c>
      <c r="D94">
        <v>78.410163878999995</v>
      </c>
      <c r="E94">
        <v>60</v>
      </c>
      <c r="F94">
        <v>14.993853569000001</v>
      </c>
      <c r="G94">
        <v>1419.4141846</v>
      </c>
      <c r="H94">
        <v>1403.041626</v>
      </c>
      <c r="I94">
        <v>1238.4631348</v>
      </c>
      <c r="J94">
        <v>1193.2716064000001</v>
      </c>
      <c r="K94">
        <v>2750</v>
      </c>
      <c r="L94">
        <v>0</v>
      </c>
      <c r="M94">
        <v>0</v>
      </c>
      <c r="N94">
        <v>2750</v>
      </c>
    </row>
    <row r="95" spans="1:14" x14ac:dyDescent="0.25">
      <c r="A95">
        <v>2.7179340000000001</v>
      </c>
      <c r="B95" s="1">
        <f>DATE(2010,5,3) + TIME(17,13,49)</f>
        <v>40301.717928240738</v>
      </c>
      <c r="C95">
        <v>80</v>
      </c>
      <c r="D95">
        <v>78.566055297999995</v>
      </c>
      <c r="E95">
        <v>60</v>
      </c>
      <c r="F95">
        <v>14.993885993999999</v>
      </c>
      <c r="G95">
        <v>1419.2166748</v>
      </c>
      <c r="H95">
        <v>1402.8652344</v>
      </c>
      <c r="I95">
        <v>1238.4644774999999</v>
      </c>
      <c r="J95">
        <v>1193.2729492000001</v>
      </c>
      <c r="K95">
        <v>2750</v>
      </c>
      <c r="L95">
        <v>0</v>
      </c>
      <c r="M95">
        <v>0</v>
      </c>
      <c r="N95">
        <v>2750</v>
      </c>
    </row>
    <row r="96" spans="1:14" x14ac:dyDescent="0.25">
      <c r="A96">
        <v>2.7969909999999998</v>
      </c>
      <c r="B96" s="1">
        <f>DATE(2010,5,3) + TIME(19,7,40)</f>
        <v>40301.796990740739</v>
      </c>
      <c r="C96">
        <v>80</v>
      </c>
      <c r="D96">
        <v>78.709800720000004</v>
      </c>
      <c r="E96">
        <v>60</v>
      </c>
      <c r="F96">
        <v>14.993918419</v>
      </c>
      <c r="G96">
        <v>1419.0185547000001</v>
      </c>
      <c r="H96">
        <v>1402.6865233999999</v>
      </c>
      <c r="I96">
        <v>1238.4659423999999</v>
      </c>
      <c r="J96">
        <v>1193.2744141000001</v>
      </c>
      <c r="K96">
        <v>2750</v>
      </c>
      <c r="L96">
        <v>0</v>
      </c>
      <c r="M96">
        <v>0</v>
      </c>
      <c r="N96">
        <v>2750</v>
      </c>
    </row>
    <row r="97" spans="1:14" x14ac:dyDescent="0.25">
      <c r="A97">
        <v>2.8785249999999998</v>
      </c>
      <c r="B97" s="1">
        <f>DATE(2010,5,3) + TIME(21,5,4)</f>
        <v>40301.878518518519</v>
      </c>
      <c r="C97">
        <v>80</v>
      </c>
      <c r="D97">
        <v>78.841522217000005</v>
      </c>
      <c r="E97">
        <v>60</v>
      </c>
      <c r="F97">
        <v>14.993950844</v>
      </c>
      <c r="G97">
        <v>1418.8203125</v>
      </c>
      <c r="H97">
        <v>1402.5056152</v>
      </c>
      <c r="I97">
        <v>1238.4674072</v>
      </c>
      <c r="J97">
        <v>1193.2757568</v>
      </c>
      <c r="K97">
        <v>2750</v>
      </c>
      <c r="L97">
        <v>0</v>
      </c>
      <c r="M97">
        <v>0</v>
      </c>
      <c r="N97">
        <v>2750</v>
      </c>
    </row>
    <row r="98" spans="1:14" x14ac:dyDescent="0.25">
      <c r="A98">
        <v>2.9627620000000001</v>
      </c>
      <c r="B98" s="1">
        <f>DATE(2010,5,3) + TIME(23,6,22)</f>
        <v>40301.962754629632</v>
      </c>
      <c r="C98">
        <v>80</v>
      </c>
      <c r="D98">
        <v>78.961997986</v>
      </c>
      <c r="E98">
        <v>60</v>
      </c>
      <c r="F98">
        <v>14.993983268999999</v>
      </c>
      <c r="G98">
        <v>1418.6220702999999</v>
      </c>
      <c r="H98">
        <v>1402.3232422000001</v>
      </c>
      <c r="I98">
        <v>1238.4688721</v>
      </c>
      <c r="J98">
        <v>1193.2772216999999</v>
      </c>
      <c r="K98">
        <v>2750</v>
      </c>
      <c r="L98">
        <v>0</v>
      </c>
      <c r="M98">
        <v>0</v>
      </c>
      <c r="N98">
        <v>2750</v>
      </c>
    </row>
    <row r="99" spans="1:14" x14ac:dyDescent="0.25">
      <c r="A99">
        <v>3.049823</v>
      </c>
      <c r="B99" s="1">
        <f>DATE(2010,5,4) + TIME(1,11,44)</f>
        <v>40302.049814814818</v>
      </c>
      <c r="C99">
        <v>80</v>
      </c>
      <c r="D99">
        <v>79.071807860999996</v>
      </c>
      <c r="E99">
        <v>60</v>
      </c>
      <c r="F99">
        <v>14.994014740000001</v>
      </c>
      <c r="G99">
        <v>1418.4235839999999</v>
      </c>
      <c r="H99">
        <v>1402.1389160000001</v>
      </c>
      <c r="I99">
        <v>1238.4703368999999</v>
      </c>
      <c r="J99">
        <v>1193.2786865</v>
      </c>
      <c r="K99">
        <v>2750</v>
      </c>
      <c r="L99">
        <v>0</v>
      </c>
      <c r="M99">
        <v>0</v>
      </c>
      <c r="N99">
        <v>2750</v>
      </c>
    </row>
    <row r="100" spans="1:14" x14ac:dyDescent="0.25">
      <c r="A100">
        <v>3.1399439999999998</v>
      </c>
      <c r="B100" s="1">
        <f>DATE(2010,5,4) + TIME(3,21,31)</f>
        <v>40302.13994212963</v>
      </c>
      <c r="C100">
        <v>80</v>
      </c>
      <c r="D100">
        <v>79.171638489000003</v>
      </c>
      <c r="E100">
        <v>60</v>
      </c>
      <c r="F100">
        <v>14.994048119</v>
      </c>
      <c r="G100">
        <v>1418.2246094</v>
      </c>
      <c r="H100">
        <v>1401.9526367000001</v>
      </c>
      <c r="I100">
        <v>1238.4718018000001</v>
      </c>
      <c r="J100">
        <v>1193.2801514</v>
      </c>
      <c r="K100">
        <v>2750</v>
      </c>
      <c r="L100">
        <v>0</v>
      </c>
      <c r="M100">
        <v>0</v>
      </c>
      <c r="N100">
        <v>2750</v>
      </c>
    </row>
    <row r="101" spans="1:14" x14ac:dyDescent="0.25">
      <c r="A101">
        <v>3.2333989999999999</v>
      </c>
      <c r="B101" s="1">
        <f>DATE(2010,5,4) + TIME(5,36,5)</f>
        <v>40302.233391203707</v>
      </c>
      <c r="C101">
        <v>80</v>
      </c>
      <c r="D101">
        <v>79.262161254999995</v>
      </c>
      <c r="E101">
        <v>60</v>
      </c>
      <c r="F101">
        <v>14.994080543999999</v>
      </c>
      <c r="G101">
        <v>1418.0249022999999</v>
      </c>
      <c r="H101">
        <v>1401.7644043</v>
      </c>
      <c r="I101">
        <v>1238.4733887</v>
      </c>
      <c r="J101">
        <v>1193.2817382999999</v>
      </c>
      <c r="K101">
        <v>2750</v>
      </c>
      <c r="L101">
        <v>0</v>
      </c>
      <c r="M101">
        <v>0</v>
      </c>
      <c r="N101">
        <v>2750</v>
      </c>
    </row>
    <row r="102" spans="1:14" x14ac:dyDescent="0.25">
      <c r="A102">
        <v>3.3304990000000001</v>
      </c>
      <c r="B102" s="1">
        <f>DATE(2010,5,4) + TIME(7,55,55)</f>
        <v>40302.330497685187</v>
      </c>
      <c r="C102">
        <v>80</v>
      </c>
      <c r="D102">
        <v>79.344017029</v>
      </c>
      <c r="E102">
        <v>60</v>
      </c>
      <c r="F102">
        <v>14.994112968</v>
      </c>
      <c r="G102">
        <v>1417.8239745999999</v>
      </c>
      <c r="H102">
        <v>1401.5736084</v>
      </c>
      <c r="I102">
        <v>1238.4750977000001</v>
      </c>
      <c r="J102">
        <v>1193.2833252</v>
      </c>
      <c r="K102">
        <v>2750</v>
      </c>
      <c r="L102">
        <v>0</v>
      </c>
      <c r="M102">
        <v>0</v>
      </c>
      <c r="N102">
        <v>2750</v>
      </c>
    </row>
    <row r="103" spans="1:14" x14ac:dyDescent="0.25">
      <c r="A103">
        <v>3.431495</v>
      </c>
      <c r="B103" s="1">
        <f>DATE(2010,5,4) + TIME(10,21,21)</f>
        <v>40302.431493055556</v>
      </c>
      <c r="C103">
        <v>80</v>
      </c>
      <c r="D103">
        <v>79.417732239000003</v>
      </c>
      <c r="E103">
        <v>60</v>
      </c>
      <c r="F103">
        <v>14.994146346999999</v>
      </c>
      <c r="G103">
        <v>1417.621582</v>
      </c>
      <c r="H103">
        <v>1401.380249</v>
      </c>
      <c r="I103">
        <v>1238.4766846</v>
      </c>
      <c r="J103">
        <v>1193.2849120999999</v>
      </c>
      <c r="K103">
        <v>2750</v>
      </c>
      <c r="L103">
        <v>0</v>
      </c>
      <c r="M103">
        <v>0</v>
      </c>
      <c r="N103">
        <v>2750</v>
      </c>
    </row>
    <row r="104" spans="1:14" x14ac:dyDescent="0.25">
      <c r="A104">
        <v>3.53566</v>
      </c>
      <c r="B104" s="1">
        <f>DATE(2010,5,4) + TIME(12,51,21)</f>
        <v>40302.53565972222</v>
      </c>
      <c r="C104">
        <v>80</v>
      </c>
      <c r="D104">
        <v>79.483314514</v>
      </c>
      <c r="E104">
        <v>60</v>
      </c>
      <c r="F104">
        <v>14.994179726</v>
      </c>
      <c r="G104">
        <v>1417.4174805</v>
      </c>
      <c r="H104">
        <v>1401.1839600000001</v>
      </c>
      <c r="I104">
        <v>1238.4783935999999</v>
      </c>
      <c r="J104">
        <v>1193.2866211</v>
      </c>
      <c r="K104">
        <v>2750</v>
      </c>
      <c r="L104">
        <v>0</v>
      </c>
      <c r="M104">
        <v>0</v>
      </c>
      <c r="N104">
        <v>2750</v>
      </c>
    </row>
    <row r="105" spans="1:14" x14ac:dyDescent="0.25">
      <c r="A105">
        <v>3.6400030000000001</v>
      </c>
      <c r="B105" s="1">
        <f>DATE(2010,5,4) + TIME(15,21,36)</f>
        <v>40302.639999999999</v>
      </c>
      <c r="C105">
        <v>80</v>
      </c>
      <c r="D105">
        <v>79.539970397999994</v>
      </c>
      <c r="E105">
        <v>60</v>
      </c>
      <c r="F105">
        <v>14.994212150999999</v>
      </c>
      <c r="G105">
        <v>1417.2137451000001</v>
      </c>
      <c r="H105">
        <v>1400.9868164</v>
      </c>
      <c r="I105">
        <v>1238.4801024999999</v>
      </c>
      <c r="J105">
        <v>1193.2883300999999</v>
      </c>
      <c r="K105">
        <v>2750</v>
      </c>
      <c r="L105">
        <v>0</v>
      </c>
      <c r="M105">
        <v>0</v>
      </c>
      <c r="N105">
        <v>2750</v>
      </c>
    </row>
    <row r="106" spans="1:14" x14ac:dyDescent="0.25">
      <c r="A106">
        <v>3.7447249999999999</v>
      </c>
      <c r="B106" s="1">
        <f>DATE(2010,5,4) + TIME(17,52,24)</f>
        <v>40302.744722222225</v>
      </c>
      <c r="C106">
        <v>80</v>
      </c>
      <c r="D106">
        <v>79.589004517000006</v>
      </c>
      <c r="E106">
        <v>60</v>
      </c>
      <c r="F106">
        <v>14.994243622000001</v>
      </c>
      <c r="G106">
        <v>1417.0153809000001</v>
      </c>
      <c r="H106">
        <v>1400.7939452999999</v>
      </c>
      <c r="I106">
        <v>1238.4818115</v>
      </c>
      <c r="J106">
        <v>1193.2900391000001</v>
      </c>
      <c r="K106">
        <v>2750</v>
      </c>
      <c r="L106">
        <v>0</v>
      </c>
      <c r="M106">
        <v>0</v>
      </c>
      <c r="N106">
        <v>2750</v>
      </c>
    </row>
    <row r="107" spans="1:14" x14ac:dyDescent="0.25">
      <c r="A107">
        <v>3.850015</v>
      </c>
      <c r="B107" s="1">
        <f>DATE(2010,5,4) + TIME(20,24,1)</f>
        <v>40302.850011574075</v>
      </c>
      <c r="C107">
        <v>80</v>
      </c>
      <c r="D107">
        <v>79.631500243999994</v>
      </c>
      <c r="E107">
        <v>60</v>
      </c>
      <c r="F107">
        <v>14.994275093000001</v>
      </c>
      <c r="G107">
        <v>1416.8217772999999</v>
      </c>
      <c r="H107">
        <v>1400.6052245999999</v>
      </c>
      <c r="I107">
        <v>1238.4835204999999</v>
      </c>
      <c r="J107">
        <v>1193.2917480000001</v>
      </c>
      <c r="K107">
        <v>2750</v>
      </c>
      <c r="L107">
        <v>0</v>
      </c>
      <c r="M107">
        <v>0</v>
      </c>
      <c r="N107">
        <v>2750</v>
      </c>
    </row>
    <row r="108" spans="1:14" x14ac:dyDescent="0.25">
      <c r="A108">
        <v>3.9559980000000001</v>
      </c>
      <c r="B108" s="1">
        <f>DATE(2010,5,4) + TIME(22,56,38)</f>
        <v>40302.955995370372</v>
      </c>
      <c r="C108">
        <v>80</v>
      </c>
      <c r="D108">
        <v>79.668350219999994</v>
      </c>
      <c r="E108">
        <v>60</v>
      </c>
      <c r="F108">
        <v>14.994305611</v>
      </c>
      <c r="G108">
        <v>1416.6324463000001</v>
      </c>
      <c r="H108">
        <v>1400.4199219</v>
      </c>
      <c r="I108">
        <v>1238.4852295000001</v>
      </c>
      <c r="J108">
        <v>1193.2933350000001</v>
      </c>
      <c r="K108">
        <v>2750</v>
      </c>
      <c r="L108">
        <v>0</v>
      </c>
      <c r="M108">
        <v>0</v>
      </c>
      <c r="N108">
        <v>2750</v>
      </c>
    </row>
    <row r="109" spans="1:14" x14ac:dyDescent="0.25">
      <c r="A109">
        <v>4.0625400000000003</v>
      </c>
      <c r="B109" s="1">
        <f>DATE(2010,5,5) + TIME(1,30,3)</f>
        <v>40303.062534722223</v>
      </c>
      <c r="C109">
        <v>80</v>
      </c>
      <c r="D109">
        <v>79.700256347999996</v>
      </c>
      <c r="E109">
        <v>60</v>
      </c>
      <c r="F109">
        <v>14.994335175</v>
      </c>
      <c r="G109">
        <v>1416.4470214999999</v>
      </c>
      <c r="H109">
        <v>1400.2379149999999</v>
      </c>
      <c r="I109">
        <v>1238.4869385</v>
      </c>
      <c r="J109">
        <v>1193.2950439000001</v>
      </c>
      <c r="K109">
        <v>2750</v>
      </c>
      <c r="L109">
        <v>0</v>
      </c>
      <c r="M109">
        <v>0</v>
      </c>
      <c r="N109">
        <v>2750</v>
      </c>
    </row>
    <row r="110" spans="1:14" x14ac:dyDescent="0.25">
      <c r="A110">
        <v>4.1697870000000004</v>
      </c>
      <c r="B110" s="1">
        <f>DATE(2010,5,5) + TIME(4,4,29)</f>
        <v>40303.16978009259</v>
      </c>
      <c r="C110">
        <v>80</v>
      </c>
      <c r="D110">
        <v>79.727905273000005</v>
      </c>
      <c r="E110">
        <v>60</v>
      </c>
      <c r="F110">
        <v>14.994364738</v>
      </c>
      <c r="G110">
        <v>1416.2652588000001</v>
      </c>
      <c r="H110">
        <v>1400.0592041</v>
      </c>
      <c r="I110">
        <v>1238.4886475000001</v>
      </c>
      <c r="J110">
        <v>1193.2967529</v>
      </c>
      <c r="K110">
        <v>2750</v>
      </c>
      <c r="L110">
        <v>0</v>
      </c>
      <c r="M110">
        <v>0</v>
      </c>
      <c r="N110">
        <v>2750</v>
      </c>
    </row>
    <row r="111" spans="1:14" x14ac:dyDescent="0.25">
      <c r="A111">
        <v>4.2778879999999999</v>
      </c>
      <c r="B111" s="1">
        <f>DATE(2010,5,5) + TIME(6,40,9)</f>
        <v>40303.277881944443</v>
      </c>
      <c r="C111">
        <v>80</v>
      </c>
      <c r="D111">
        <v>79.751884459999999</v>
      </c>
      <c r="E111">
        <v>60</v>
      </c>
      <c r="F111">
        <v>14.994394302</v>
      </c>
      <c r="G111">
        <v>1416.0869141000001</v>
      </c>
      <c r="H111">
        <v>1399.8834228999999</v>
      </c>
      <c r="I111">
        <v>1238.4903564000001</v>
      </c>
      <c r="J111">
        <v>1193.2984618999999</v>
      </c>
      <c r="K111">
        <v>2750</v>
      </c>
      <c r="L111">
        <v>0</v>
      </c>
      <c r="M111">
        <v>0</v>
      </c>
      <c r="N111">
        <v>2750</v>
      </c>
    </row>
    <row r="112" spans="1:14" x14ac:dyDescent="0.25">
      <c r="A112">
        <v>4.3870069999999997</v>
      </c>
      <c r="B112" s="1">
        <f>DATE(2010,5,5) + TIME(9,17,17)</f>
        <v>40303.387002314812</v>
      </c>
      <c r="C112">
        <v>80</v>
      </c>
      <c r="D112">
        <v>79.772697449000006</v>
      </c>
      <c r="E112">
        <v>60</v>
      </c>
      <c r="F112">
        <v>14.994422912999999</v>
      </c>
      <c r="G112">
        <v>1415.9116211</v>
      </c>
      <c r="H112">
        <v>1399.7103271000001</v>
      </c>
      <c r="I112">
        <v>1238.4921875</v>
      </c>
      <c r="J112">
        <v>1193.3001709</v>
      </c>
      <c r="K112">
        <v>2750</v>
      </c>
      <c r="L112">
        <v>0</v>
      </c>
      <c r="M112">
        <v>0</v>
      </c>
      <c r="N112">
        <v>2750</v>
      </c>
    </row>
    <row r="113" spans="1:14" x14ac:dyDescent="0.25">
      <c r="A113">
        <v>4.4972969999999997</v>
      </c>
      <c r="B113" s="1">
        <f>DATE(2010,5,5) + TIME(11,56,6)</f>
        <v>40303.497291666667</v>
      </c>
      <c r="C113">
        <v>80</v>
      </c>
      <c r="D113">
        <v>79.790771484000004</v>
      </c>
      <c r="E113">
        <v>60</v>
      </c>
      <c r="F113">
        <v>14.994451523</v>
      </c>
      <c r="G113">
        <v>1415.7388916</v>
      </c>
      <c r="H113">
        <v>1399.5395507999999</v>
      </c>
      <c r="I113">
        <v>1238.4938964999999</v>
      </c>
      <c r="J113">
        <v>1193.3018798999999</v>
      </c>
      <c r="K113">
        <v>2750</v>
      </c>
      <c r="L113">
        <v>0</v>
      </c>
      <c r="M113">
        <v>0</v>
      </c>
      <c r="N113">
        <v>2750</v>
      </c>
    </row>
    <row r="114" spans="1:14" x14ac:dyDescent="0.25">
      <c r="A114">
        <v>4.6089140000000004</v>
      </c>
      <c r="B114" s="1">
        <f>DATE(2010,5,5) + TIME(14,36,50)</f>
        <v>40303.608912037038</v>
      </c>
      <c r="C114">
        <v>80</v>
      </c>
      <c r="D114">
        <v>79.806472778</v>
      </c>
      <c r="E114">
        <v>60</v>
      </c>
      <c r="F114">
        <v>14.994479179000001</v>
      </c>
      <c r="G114">
        <v>1415.5684814000001</v>
      </c>
      <c r="H114">
        <v>1399.3707274999999</v>
      </c>
      <c r="I114">
        <v>1238.4956055</v>
      </c>
      <c r="J114">
        <v>1193.3035889</v>
      </c>
      <c r="K114">
        <v>2750</v>
      </c>
      <c r="L114">
        <v>0</v>
      </c>
      <c r="M114">
        <v>0</v>
      </c>
      <c r="N114">
        <v>2750</v>
      </c>
    </row>
    <row r="115" spans="1:14" x14ac:dyDescent="0.25">
      <c r="A115">
        <v>4.7220170000000001</v>
      </c>
      <c r="B115" s="1">
        <f>DATE(2010,5,5) + TIME(17,19,42)</f>
        <v>40303.722013888888</v>
      </c>
      <c r="C115">
        <v>80</v>
      </c>
      <c r="D115">
        <v>79.820121764999996</v>
      </c>
      <c r="E115">
        <v>60</v>
      </c>
      <c r="F115">
        <v>14.994506835999999</v>
      </c>
      <c r="G115">
        <v>1415.4000243999999</v>
      </c>
      <c r="H115">
        <v>1399.2037353999999</v>
      </c>
      <c r="I115">
        <v>1238.4973144999999</v>
      </c>
      <c r="J115">
        <v>1193.3052978999999</v>
      </c>
      <c r="K115">
        <v>2750</v>
      </c>
      <c r="L115">
        <v>0</v>
      </c>
      <c r="M115">
        <v>0</v>
      </c>
      <c r="N115">
        <v>2750</v>
      </c>
    </row>
    <row r="116" spans="1:14" x14ac:dyDescent="0.25">
      <c r="A116">
        <v>4.8367740000000001</v>
      </c>
      <c r="B116" s="1">
        <f>DATE(2010,5,5) + TIME(20,4,57)</f>
        <v>40303.836770833332</v>
      </c>
      <c r="C116">
        <v>80</v>
      </c>
      <c r="D116">
        <v>79.831985474000007</v>
      </c>
      <c r="E116">
        <v>60</v>
      </c>
      <c r="F116">
        <v>14.994534492</v>
      </c>
      <c r="G116">
        <v>1415.2332764</v>
      </c>
      <c r="H116">
        <v>1399.0383300999999</v>
      </c>
      <c r="I116">
        <v>1238.4991454999999</v>
      </c>
      <c r="J116">
        <v>1193.3070068</v>
      </c>
      <c r="K116">
        <v>2750</v>
      </c>
      <c r="L116">
        <v>0</v>
      </c>
      <c r="M116">
        <v>0</v>
      </c>
      <c r="N116">
        <v>2750</v>
      </c>
    </row>
    <row r="117" spans="1:14" x14ac:dyDescent="0.25">
      <c r="A117">
        <v>4.9533550000000002</v>
      </c>
      <c r="B117" s="1">
        <f>DATE(2010,5,5) + TIME(22,52,49)</f>
        <v>40303.953344907408</v>
      </c>
      <c r="C117">
        <v>80</v>
      </c>
      <c r="D117">
        <v>79.842292786000002</v>
      </c>
      <c r="E117">
        <v>60</v>
      </c>
      <c r="F117">
        <v>14.994562149</v>
      </c>
      <c r="G117">
        <v>1415.0678711</v>
      </c>
      <c r="H117">
        <v>1398.8740233999999</v>
      </c>
      <c r="I117">
        <v>1238.5009766000001</v>
      </c>
      <c r="J117">
        <v>1193.3088379000001</v>
      </c>
      <c r="K117">
        <v>2750</v>
      </c>
      <c r="L117">
        <v>0</v>
      </c>
      <c r="M117">
        <v>0</v>
      </c>
      <c r="N117">
        <v>2750</v>
      </c>
    </row>
    <row r="118" spans="1:14" x14ac:dyDescent="0.25">
      <c r="A118">
        <v>5.0719440000000002</v>
      </c>
      <c r="B118" s="1">
        <f>DATE(2010,5,6) + TIME(1,43,35)</f>
        <v>40304.071932870371</v>
      </c>
      <c r="C118">
        <v>80</v>
      </c>
      <c r="D118">
        <v>79.851257324000002</v>
      </c>
      <c r="E118">
        <v>60</v>
      </c>
      <c r="F118">
        <v>14.994589806</v>
      </c>
      <c r="G118">
        <v>1414.9036865</v>
      </c>
      <c r="H118">
        <v>1398.7108154</v>
      </c>
      <c r="I118">
        <v>1238.5026855000001</v>
      </c>
      <c r="J118">
        <v>1193.3106689000001</v>
      </c>
      <c r="K118">
        <v>2750</v>
      </c>
      <c r="L118">
        <v>0</v>
      </c>
      <c r="M118">
        <v>0</v>
      </c>
      <c r="N118">
        <v>2750</v>
      </c>
    </row>
    <row r="119" spans="1:14" x14ac:dyDescent="0.25">
      <c r="A119">
        <v>5.1927339999999997</v>
      </c>
      <c r="B119" s="1">
        <f>DATE(2010,5,6) + TIME(4,37,32)</f>
        <v>40304.192731481482</v>
      </c>
      <c r="C119">
        <v>80</v>
      </c>
      <c r="D119">
        <v>79.859054564999994</v>
      </c>
      <c r="E119">
        <v>60</v>
      </c>
      <c r="F119">
        <v>14.994616508</v>
      </c>
      <c r="G119">
        <v>1414.7402344</v>
      </c>
      <c r="H119">
        <v>1398.5484618999999</v>
      </c>
      <c r="I119">
        <v>1238.5046387</v>
      </c>
      <c r="J119">
        <v>1193.3125</v>
      </c>
      <c r="K119">
        <v>2750</v>
      </c>
      <c r="L119">
        <v>0</v>
      </c>
      <c r="M119">
        <v>0</v>
      </c>
      <c r="N119">
        <v>2750</v>
      </c>
    </row>
    <row r="120" spans="1:14" x14ac:dyDescent="0.25">
      <c r="A120">
        <v>5.3159470000000004</v>
      </c>
      <c r="B120" s="1">
        <f>DATE(2010,5,6) + TIME(7,34,57)</f>
        <v>40304.315937500003</v>
      </c>
      <c r="C120">
        <v>80</v>
      </c>
      <c r="D120">
        <v>79.865829468000001</v>
      </c>
      <c r="E120">
        <v>60</v>
      </c>
      <c r="F120">
        <v>14.994644165</v>
      </c>
      <c r="G120">
        <v>1414.5775146000001</v>
      </c>
      <c r="H120">
        <v>1398.3867187999999</v>
      </c>
      <c r="I120">
        <v>1238.5064697</v>
      </c>
      <c r="J120">
        <v>1193.3143310999999</v>
      </c>
      <c r="K120">
        <v>2750</v>
      </c>
      <c r="L120">
        <v>0</v>
      </c>
      <c r="M120">
        <v>0</v>
      </c>
      <c r="N120">
        <v>2750</v>
      </c>
    </row>
    <row r="121" spans="1:14" x14ac:dyDescent="0.25">
      <c r="A121">
        <v>5.4418189999999997</v>
      </c>
      <c r="B121" s="1">
        <f>DATE(2010,5,6) + TIME(10,36,13)</f>
        <v>40304.441817129627</v>
      </c>
      <c r="C121">
        <v>80</v>
      </c>
      <c r="D121">
        <v>79.871726989999999</v>
      </c>
      <c r="E121">
        <v>60</v>
      </c>
      <c r="F121">
        <v>14.994670868</v>
      </c>
      <c r="G121">
        <v>1414.4152832</v>
      </c>
      <c r="H121">
        <v>1398.2252197</v>
      </c>
      <c r="I121">
        <v>1238.5084228999999</v>
      </c>
      <c r="J121">
        <v>1193.3161620999999</v>
      </c>
      <c r="K121">
        <v>2750</v>
      </c>
      <c r="L121">
        <v>0</v>
      </c>
      <c r="M121">
        <v>0</v>
      </c>
      <c r="N121">
        <v>2750</v>
      </c>
    </row>
    <row r="122" spans="1:14" x14ac:dyDescent="0.25">
      <c r="A122">
        <v>5.5703250000000004</v>
      </c>
      <c r="B122" s="1">
        <f>DATE(2010,5,6) + TIME(13,41,16)</f>
        <v>40304.570324074077</v>
      </c>
      <c r="C122">
        <v>80</v>
      </c>
      <c r="D122">
        <v>79.876846313000001</v>
      </c>
      <c r="E122">
        <v>60</v>
      </c>
      <c r="F122">
        <v>14.994697571</v>
      </c>
      <c r="G122">
        <v>1414.2530518000001</v>
      </c>
      <c r="H122">
        <v>1398.0638428</v>
      </c>
      <c r="I122">
        <v>1238.5102539</v>
      </c>
      <c r="J122">
        <v>1193.3181152</v>
      </c>
      <c r="K122">
        <v>2750</v>
      </c>
      <c r="L122">
        <v>0</v>
      </c>
      <c r="M122">
        <v>0</v>
      </c>
      <c r="N122">
        <v>2750</v>
      </c>
    </row>
    <row r="123" spans="1:14" x14ac:dyDescent="0.25">
      <c r="A123">
        <v>5.7016730000000004</v>
      </c>
      <c r="B123" s="1">
        <f>DATE(2010,5,6) + TIME(16,50,24)</f>
        <v>40304.701666666668</v>
      </c>
      <c r="C123">
        <v>80</v>
      </c>
      <c r="D123">
        <v>79.881294249999996</v>
      </c>
      <c r="E123">
        <v>60</v>
      </c>
      <c r="F123">
        <v>14.994725227</v>
      </c>
      <c r="G123">
        <v>1414.0910644999999</v>
      </c>
      <c r="H123">
        <v>1397.9027100000001</v>
      </c>
      <c r="I123">
        <v>1238.5123291</v>
      </c>
      <c r="J123">
        <v>1193.3200684000001</v>
      </c>
      <c r="K123">
        <v>2750</v>
      </c>
      <c r="L123">
        <v>0</v>
      </c>
      <c r="M123">
        <v>0</v>
      </c>
      <c r="N123">
        <v>2750</v>
      </c>
    </row>
    <row r="124" spans="1:14" x14ac:dyDescent="0.25">
      <c r="A124">
        <v>5.8361179999999999</v>
      </c>
      <c r="B124" s="1">
        <f>DATE(2010,5,6) + TIME(20,4,0)</f>
        <v>40304.836111111108</v>
      </c>
      <c r="C124">
        <v>80</v>
      </c>
      <c r="D124">
        <v>79.885154724000003</v>
      </c>
      <c r="E124">
        <v>60</v>
      </c>
      <c r="F124">
        <v>14.99475193</v>
      </c>
      <c r="G124">
        <v>1413.9290771000001</v>
      </c>
      <c r="H124">
        <v>1397.7415771000001</v>
      </c>
      <c r="I124">
        <v>1238.5142822</v>
      </c>
      <c r="J124">
        <v>1193.3220214999999</v>
      </c>
      <c r="K124">
        <v>2750</v>
      </c>
      <c r="L124">
        <v>0</v>
      </c>
      <c r="M124">
        <v>0</v>
      </c>
      <c r="N124">
        <v>2750</v>
      </c>
    </row>
    <row r="125" spans="1:14" x14ac:dyDescent="0.25">
      <c r="A125">
        <v>5.9739360000000001</v>
      </c>
      <c r="B125" s="1">
        <f>DATE(2010,5,6) + TIME(23,22,28)</f>
        <v>40304.973935185182</v>
      </c>
      <c r="C125">
        <v>80</v>
      </c>
      <c r="D125">
        <v>79.888519286999994</v>
      </c>
      <c r="E125">
        <v>60</v>
      </c>
      <c r="F125">
        <v>14.994779587</v>
      </c>
      <c r="G125">
        <v>1413.7668457</v>
      </c>
      <c r="H125">
        <v>1397.5803223</v>
      </c>
      <c r="I125">
        <v>1238.5163574000001</v>
      </c>
      <c r="J125">
        <v>1193.3240966999999</v>
      </c>
      <c r="K125">
        <v>2750</v>
      </c>
      <c r="L125">
        <v>0</v>
      </c>
      <c r="M125">
        <v>0</v>
      </c>
      <c r="N125">
        <v>2750</v>
      </c>
    </row>
    <row r="126" spans="1:14" x14ac:dyDescent="0.25">
      <c r="A126">
        <v>6.1154279999999996</v>
      </c>
      <c r="B126" s="1">
        <f>DATE(2010,5,7) + TIME(2,46,13)</f>
        <v>40305.115428240744</v>
      </c>
      <c r="C126">
        <v>80</v>
      </c>
      <c r="D126">
        <v>79.891441345000004</v>
      </c>
      <c r="E126">
        <v>60</v>
      </c>
      <c r="F126">
        <v>14.994807243</v>
      </c>
      <c r="G126">
        <v>1413.6042480000001</v>
      </c>
      <c r="H126">
        <v>1397.4185791</v>
      </c>
      <c r="I126">
        <v>1238.5184326000001</v>
      </c>
      <c r="J126">
        <v>1193.3261719</v>
      </c>
      <c r="K126">
        <v>2750</v>
      </c>
      <c r="L126">
        <v>0</v>
      </c>
      <c r="M126">
        <v>0</v>
      </c>
      <c r="N126">
        <v>2750</v>
      </c>
    </row>
    <row r="127" spans="1:14" x14ac:dyDescent="0.25">
      <c r="A127">
        <v>6.2609320000000004</v>
      </c>
      <c r="B127" s="1">
        <f>DATE(2010,5,7) + TIME(6,15,44)</f>
        <v>40305.260925925926</v>
      </c>
      <c r="C127">
        <v>80</v>
      </c>
      <c r="D127">
        <v>79.893981933999996</v>
      </c>
      <c r="E127">
        <v>60</v>
      </c>
      <c r="F127">
        <v>14.994834900000001</v>
      </c>
      <c r="G127">
        <v>1413.440918</v>
      </c>
      <c r="H127">
        <v>1397.2562256000001</v>
      </c>
      <c r="I127">
        <v>1238.5206298999999</v>
      </c>
      <c r="J127">
        <v>1193.3282471</v>
      </c>
      <c r="K127">
        <v>2750</v>
      </c>
      <c r="L127">
        <v>0</v>
      </c>
      <c r="M127">
        <v>0</v>
      </c>
      <c r="N127">
        <v>2750</v>
      </c>
    </row>
    <row r="128" spans="1:14" x14ac:dyDescent="0.25">
      <c r="A128">
        <v>6.4107779999999996</v>
      </c>
      <c r="B128" s="1">
        <f>DATE(2010,5,7) + TIME(9,51,31)</f>
        <v>40305.410775462966</v>
      </c>
      <c r="C128">
        <v>80</v>
      </c>
      <c r="D128">
        <v>79.896202087000006</v>
      </c>
      <c r="E128">
        <v>60</v>
      </c>
      <c r="F128">
        <v>14.994862555999999</v>
      </c>
      <c r="G128">
        <v>1413.2766113</v>
      </c>
      <c r="H128">
        <v>1397.0928954999999</v>
      </c>
      <c r="I128">
        <v>1238.5228271000001</v>
      </c>
      <c r="J128">
        <v>1193.3304443</v>
      </c>
      <c r="K128">
        <v>2750</v>
      </c>
      <c r="L128">
        <v>0</v>
      </c>
      <c r="M128">
        <v>0</v>
      </c>
      <c r="N128">
        <v>2750</v>
      </c>
    </row>
    <row r="129" spans="1:14" x14ac:dyDescent="0.25">
      <c r="A129">
        <v>6.5651380000000001</v>
      </c>
      <c r="B129" s="1">
        <f>DATE(2010,5,7) + TIME(13,33,47)</f>
        <v>40305.565127314818</v>
      </c>
      <c r="C129">
        <v>80</v>
      </c>
      <c r="D129">
        <v>79.898139954000001</v>
      </c>
      <c r="E129">
        <v>60</v>
      </c>
      <c r="F129">
        <v>14.994890213</v>
      </c>
      <c r="G129">
        <v>1413.1110839999999</v>
      </c>
      <c r="H129">
        <v>1396.9284668</v>
      </c>
      <c r="I129">
        <v>1238.5251464999999</v>
      </c>
      <c r="J129">
        <v>1193.3326416</v>
      </c>
      <c r="K129">
        <v>2750</v>
      </c>
      <c r="L129">
        <v>0</v>
      </c>
      <c r="M129">
        <v>0</v>
      </c>
      <c r="N129">
        <v>2750</v>
      </c>
    </row>
    <row r="130" spans="1:14" x14ac:dyDescent="0.25">
      <c r="A130">
        <v>6.7241900000000001</v>
      </c>
      <c r="B130" s="1">
        <f>DATE(2010,5,7) + TIME(17,22,49)</f>
        <v>40305.724178240744</v>
      </c>
      <c r="C130">
        <v>80</v>
      </c>
      <c r="D130">
        <v>79.899826050000001</v>
      </c>
      <c r="E130">
        <v>60</v>
      </c>
      <c r="F130">
        <v>14.994918823000001</v>
      </c>
      <c r="G130">
        <v>1412.9444579999999</v>
      </c>
      <c r="H130">
        <v>1396.7629394999999</v>
      </c>
      <c r="I130">
        <v>1238.5274658000001</v>
      </c>
      <c r="J130">
        <v>1193.3349608999999</v>
      </c>
      <c r="K130">
        <v>2750</v>
      </c>
      <c r="L130">
        <v>0</v>
      </c>
      <c r="M130">
        <v>0</v>
      </c>
      <c r="N130">
        <v>2750</v>
      </c>
    </row>
    <row r="131" spans="1:14" x14ac:dyDescent="0.25">
      <c r="A131">
        <v>6.8881220000000001</v>
      </c>
      <c r="B131" s="1">
        <f>DATE(2010,5,7) + TIME(21,18,53)</f>
        <v>40305.888113425928</v>
      </c>
      <c r="C131">
        <v>80</v>
      </c>
      <c r="D131">
        <v>79.901298522999994</v>
      </c>
      <c r="E131">
        <v>60</v>
      </c>
      <c r="F131">
        <v>14.994947433</v>
      </c>
      <c r="G131">
        <v>1412.7764893000001</v>
      </c>
      <c r="H131">
        <v>1396.5961914</v>
      </c>
      <c r="I131">
        <v>1238.5297852000001</v>
      </c>
      <c r="J131">
        <v>1193.3372803</v>
      </c>
      <c r="K131">
        <v>2750</v>
      </c>
      <c r="L131">
        <v>0</v>
      </c>
      <c r="M131">
        <v>0</v>
      </c>
      <c r="N131">
        <v>2750</v>
      </c>
    </row>
    <row r="132" spans="1:14" x14ac:dyDescent="0.25">
      <c r="A132">
        <v>6.9716069999999997</v>
      </c>
      <c r="B132" s="1">
        <f>DATE(2010,5,7) + TIME(23,19,6)</f>
        <v>40305.971597222226</v>
      </c>
      <c r="C132">
        <v>80</v>
      </c>
      <c r="D132">
        <v>79.901977539000001</v>
      </c>
      <c r="E132">
        <v>60</v>
      </c>
      <c r="F132">
        <v>14.994962692</v>
      </c>
      <c r="G132">
        <v>1412.6062012</v>
      </c>
      <c r="H132">
        <v>1396.4261475000001</v>
      </c>
      <c r="I132">
        <v>1238.5318603999999</v>
      </c>
      <c r="J132">
        <v>1193.3393555</v>
      </c>
      <c r="K132">
        <v>2750</v>
      </c>
      <c r="L132">
        <v>0</v>
      </c>
      <c r="M132">
        <v>0</v>
      </c>
      <c r="N132">
        <v>2750</v>
      </c>
    </row>
    <row r="133" spans="1:14" x14ac:dyDescent="0.25">
      <c r="A133">
        <v>7.0550930000000003</v>
      </c>
      <c r="B133" s="1">
        <f>DATE(2010,5,8) + TIME(1,19,20)</f>
        <v>40306.055092592593</v>
      </c>
      <c r="C133">
        <v>80</v>
      </c>
      <c r="D133">
        <v>79.902610779</v>
      </c>
      <c r="E133">
        <v>60</v>
      </c>
      <c r="F133">
        <v>14.994977950999999</v>
      </c>
      <c r="G133">
        <v>1412.5200195</v>
      </c>
      <c r="H133">
        <v>1396.3406981999999</v>
      </c>
      <c r="I133">
        <v>1238.5332031</v>
      </c>
      <c r="J133">
        <v>1193.3405762</v>
      </c>
      <c r="K133">
        <v>2750</v>
      </c>
      <c r="L133">
        <v>0</v>
      </c>
      <c r="M133">
        <v>0</v>
      </c>
      <c r="N133">
        <v>2750</v>
      </c>
    </row>
    <row r="134" spans="1:14" x14ac:dyDescent="0.25">
      <c r="A134">
        <v>7.2220649999999997</v>
      </c>
      <c r="B134" s="1">
        <f>DATE(2010,5,8) + TIME(5,19,46)</f>
        <v>40306.222060185188</v>
      </c>
      <c r="C134">
        <v>80</v>
      </c>
      <c r="D134">
        <v>79.903701781999999</v>
      </c>
      <c r="E134">
        <v>60</v>
      </c>
      <c r="F134">
        <v>14.995005608</v>
      </c>
      <c r="G134">
        <v>1412.4379882999999</v>
      </c>
      <c r="H134">
        <v>1396.260376</v>
      </c>
      <c r="I134">
        <v>1238.5347899999999</v>
      </c>
      <c r="J134">
        <v>1193.3421631000001</v>
      </c>
      <c r="K134">
        <v>2750</v>
      </c>
      <c r="L134">
        <v>0</v>
      </c>
      <c r="M134">
        <v>0</v>
      </c>
      <c r="N134">
        <v>2750</v>
      </c>
    </row>
    <row r="135" spans="1:14" x14ac:dyDescent="0.25">
      <c r="A135">
        <v>7.3891429999999998</v>
      </c>
      <c r="B135" s="1">
        <f>DATE(2010,5,8) + TIME(9,20,21)</f>
        <v>40306.389131944445</v>
      </c>
      <c r="C135">
        <v>80</v>
      </c>
      <c r="D135">
        <v>79.904624939000001</v>
      </c>
      <c r="E135">
        <v>60</v>
      </c>
      <c r="F135">
        <v>14.995032309999999</v>
      </c>
      <c r="G135">
        <v>1412.2739257999999</v>
      </c>
      <c r="H135">
        <v>1396.0977783000001</v>
      </c>
      <c r="I135">
        <v>1238.5372314000001</v>
      </c>
      <c r="J135">
        <v>1193.3446045000001</v>
      </c>
      <c r="K135">
        <v>2750</v>
      </c>
      <c r="L135">
        <v>0</v>
      </c>
      <c r="M135">
        <v>0</v>
      </c>
      <c r="N135">
        <v>2750</v>
      </c>
    </row>
    <row r="136" spans="1:14" x14ac:dyDescent="0.25">
      <c r="A136">
        <v>7.5567080000000004</v>
      </c>
      <c r="B136" s="1">
        <f>DATE(2010,5,8) + TIME(13,21,39)</f>
        <v>40306.556701388887</v>
      </c>
      <c r="C136">
        <v>80</v>
      </c>
      <c r="D136">
        <v>79.905426024999997</v>
      </c>
      <c r="E136">
        <v>60</v>
      </c>
      <c r="F136">
        <v>14.995059013000001</v>
      </c>
      <c r="G136">
        <v>1412.1126709</v>
      </c>
      <c r="H136">
        <v>1395.9379882999999</v>
      </c>
      <c r="I136">
        <v>1238.5396728999999</v>
      </c>
      <c r="J136">
        <v>1193.3470459</v>
      </c>
      <c r="K136">
        <v>2750</v>
      </c>
      <c r="L136">
        <v>0</v>
      </c>
      <c r="M136">
        <v>0</v>
      </c>
      <c r="N136">
        <v>2750</v>
      </c>
    </row>
    <row r="137" spans="1:14" x14ac:dyDescent="0.25">
      <c r="A137">
        <v>7.7249850000000002</v>
      </c>
      <c r="B137" s="1">
        <f>DATE(2010,5,8) + TIME(17,23,58)</f>
        <v>40306.724976851852</v>
      </c>
      <c r="C137">
        <v>80</v>
      </c>
      <c r="D137">
        <v>79.906127929999997</v>
      </c>
      <c r="E137">
        <v>60</v>
      </c>
      <c r="F137">
        <v>14.995085716</v>
      </c>
      <c r="G137">
        <v>1411.9542236</v>
      </c>
      <c r="H137">
        <v>1395.7811279</v>
      </c>
      <c r="I137">
        <v>1238.5422363</v>
      </c>
      <c r="J137">
        <v>1193.3494873</v>
      </c>
      <c r="K137">
        <v>2750</v>
      </c>
      <c r="L137">
        <v>0</v>
      </c>
      <c r="M137">
        <v>0</v>
      </c>
      <c r="N137">
        <v>2750</v>
      </c>
    </row>
    <row r="138" spans="1:14" x14ac:dyDescent="0.25">
      <c r="A138">
        <v>7.8942600000000001</v>
      </c>
      <c r="B138" s="1">
        <f>DATE(2010,5,8) + TIME(21,27,44)</f>
        <v>40306.894259259258</v>
      </c>
      <c r="C138">
        <v>80</v>
      </c>
      <c r="D138">
        <v>79.906738281000003</v>
      </c>
      <c r="E138">
        <v>60</v>
      </c>
      <c r="F138">
        <v>14.995111465000001</v>
      </c>
      <c r="G138">
        <v>1411.7984618999999</v>
      </c>
      <c r="H138">
        <v>1395.6269531</v>
      </c>
      <c r="I138">
        <v>1238.5446777</v>
      </c>
      <c r="J138">
        <v>1193.3519286999999</v>
      </c>
      <c r="K138">
        <v>2750</v>
      </c>
      <c r="L138">
        <v>0</v>
      </c>
      <c r="M138">
        <v>0</v>
      </c>
      <c r="N138">
        <v>2750</v>
      </c>
    </row>
    <row r="139" spans="1:14" x14ac:dyDescent="0.25">
      <c r="A139">
        <v>8.0647880000000001</v>
      </c>
      <c r="B139" s="1">
        <f>DATE(2010,5,9) + TIME(1,33,17)</f>
        <v>40307.064780092594</v>
      </c>
      <c r="C139">
        <v>80</v>
      </c>
      <c r="D139">
        <v>79.907279967999997</v>
      </c>
      <c r="E139">
        <v>60</v>
      </c>
      <c r="F139">
        <v>14.995137215</v>
      </c>
      <c r="G139">
        <v>1411.6450195</v>
      </c>
      <c r="H139">
        <v>1395.4752197</v>
      </c>
      <c r="I139">
        <v>1238.5472411999999</v>
      </c>
      <c r="J139">
        <v>1193.3543701000001</v>
      </c>
      <c r="K139">
        <v>2750</v>
      </c>
      <c r="L139">
        <v>0</v>
      </c>
      <c r="M139">
        <v>0</v>
      </c>
      <c r="N139">
        <v>2750</v>
      </c>
    </row>
    <row r="140" spans="1:14" x14ac:dyDescent="0.25">
      <c r="A140">
        <v>8.2368220000000001</v>
      </c>
      <c r="B140" s="1">
        <f>DATE(2010,5,9) + TIME(5,41,1)</f>
        <v>40307.236817129633</v>
      </c>
      <c r="C140">
        <v>80</v>
      </c>
      <c r="D140">
        <v>79.907760620000005</v>
      </c>
      <c r="E140">
        <v>60</v>
      </c>
      <c r="F140">
        <v>14.995162964</v>
      </c>
      <c r="G140">
        <v>1411.4935303</v>
      </c>
      <c r="H140">
        <v>1395.3254394999999</v>
      </c>
      <c r="I140">
        <v>1238.5496826000001</v>
      </c>
      <c r="J140">
        <v>1193.3569336</v>
      </c>
      <c r="K140">
        <v>2750</v>
      </c>
      <c r="L140">
        <v>0</v>
      </c>
      <c r="M140">
        <v>0</v>
      </c>
      <c r="N140">
        <v>2750</v>
      </c>
    </row>
    <row r="141" spans="1:14" x14ac:dyDescent="0.25">
      <c r="A141">
        <v>8.4106190000000005</v>
      </c>
      <c r="B141" s="1">
        <f>DATE(2010,5,9) + TIME(9,51,17)</f>
        <v>40307.410613425927</v>
      </c>
      <c r="C141">
        <v>80</v>
      </c>
      <c r="D141">
        <v>79.908187866000006</v>
      </c>
      <c r="E141">
        <v>60</v>
      </c>
      <c r="F141">
        <v>14.995188712999999</v>
      </c>
      <c r="G141">
        <v>1411.3438721</v>
      </c>
      <c r="H141">
        <v>1395.1776123</v>
      </c>
      <c r="I141">
        <v>1238.5522461</v>
      </c>
      <c r="J141">
        <v>1193.359375</v>
      </c>
      <c r="K141">
        <v>2750</v>
      </c>
      <c r="L141">
        <v>0</v>
      </c>
      <c r="M141">
        <v>0</v>
      </c>
      <c r="N141">
        <v>2750</v>
      </c>
    </row>
    <row r="142" spans="1:14" x14ac:dyDescent="0.25">
      <c r="A142">
        <v>8.5864399999999996</v>
      </c>
      <c r="B142" s="1">
        <f>DATE(2010,5,9) + TIME(14,4,28)</f>
        <v>40307.586435185185</v>
      </c>
      <c r="C142">
        <v>80</v>
      </c>
      <c r="D142">
        <v>79.908569335999999</v>
      </c>
      <c r="E142">
        <v>60</v>
      </c>
      <c r="F142">
        <v>14.995213508999999</v>
      </c>
      <c r="G142">
        <v>1411.1955565999999</v>
      </c>
      <c r="H142">
        <v>1395.0311279</v>
      </c>
      <c r="I142">
        <v>1238.5548096</v>
      </c>
      <c r="J142">
        <v>1193.3619385</v>
      </c>
      <c r="K142">
        <v>2750</v>
      </c>
      <c r="L142">
        <v>0</v>
      </c>
      <c r="M142">
        <v>0</v>
      </c>
      <c r="N142">
        <v>2750</v>
      </c>
    </row>
    <row r="143" spans="1:14" x14ac:dyDescent="0.25">
      <c r="A143">
        <v>8.7645560000000007</v>
      </c>
      <c r="B143" s="1">
        <f>DATE(2010,5,9) + TIME(18,20,57)</f>
        <v>40307.764548611114</v>
      </c>
      <c r="C143">
        <v>80</v>
      </c>
      <c r="D143">
        <v>79.908920288000004</v>
      </c>
      <c r="E143">
        <v>60</v>
      </c>
      <c r="F143">
        <v>14.995239258</v>
      </c>
      <c r="G143">
        <v>1411.0484618999999</v>
      </c>
      <c r="H143">
        <v>1394.8861084</v>
      </c>
      <c r="I143">
        <v>1238.5573730000001</v>
      </c>
      <c r="J143">
        <v>1193.3645019999999</v>
      </c>
      <c r="K143">
        <v>2750</v>
      </c>
      <c r="L143">
        <v>0</v>
      </c>
      <c r="M143">
        <v>0</v>
      </c>
      <c r="N143">
        <v>2750</v>
      </c>
    </row>
    <row r="144" spans="1:14" x14ac:dyDescent="0.25">
      <c r="A144">
        <v>8.9452479999999994</v>
      </c>
      <c r="B144" s="1">
        <f>DATE(2010,5,9) + TIME(22,41,9)</f>
        <v>40307.945243055554</v>
      </c>
      <c r="C144">
        <v>80</v>
      </c>
      <c r="D144">
        <v>79.909233092999997</v>
      </c>
      <c r="E144">
        <v>60</v>
      </c>
      <c r="F144">
        <v>14.995264053</v>
      </c>
      <c r="G144">
        <v>1410.9024658000001</v>
      </c>
      <c r="H144">
        <v>1394.7419434000001</v>
      </c>
      <c r="I144">
        <v>1238.5600586</v>
      </c>
      <c r="J144">
        <v>1193.3670654</v>
      </c>
      <c r="K144">
        <v>2750</v>
      </c>
      <c r="L144">
        <v>0</v>
      </c>
      <c r="M144">
        <v>0</v>
      </c>
      <c r="N144">
        <v>2750</v>
      </c>
    </row>
    <row r="145" spans="1:14" x14ac:dyDescent="0.25">
      <c r="A145">
        <v>9.1287079999999996</v>
      </c>
      <c r="B145" s="1">
        <f>DATE(2010,5,10) + TIME(3,5,20)</f>
        <v>40308.128703703704</v>
      </c>
      <c r="C145">
        <v>80</v>
      </c>
      <c r="D145">
        <v>79.909515381000006</v>
      </c>
      <c r="E145">
        <v>60</v>
      </c>
      <c r="F145">
        <v>14.995288849</v>
      </c>
      <c r="G145">
        <v>1410.7570800999999</v>
      </c>
      <c r="H145">
        <v>1394.5987548999999</v>
      </c>
      <c r="I145">
        <v>1238.5627440999999</v>
      </c>
      <c r="J145">
        <v>1193.3696289</v>
      </c>
      <c r="K145">
        <v>2750</v>
      </c>
      <c r="L145">
        <v>0</v>
      </c>
      <c r="M145">
        <v>0</v>
      </c>
      <c r="N145">
        <v>2750</v>
      </c>
    </row>
    <row r="146" spans="1:14" x14ac:dyDescent="0.25">
      <c r="A146">
        <v>9.3148280000000003</v>
      </c>
      <c r="B146" s="1">
        <f>DATE(2010,5,10) + TIME(7,33,21)</f>
        <v>40308.314826388887</v>
      </c>
      <c r="C146">
        <v>80</v>
      </c>
      <c r="D146">
        <v>79.909767150999997</v>
      </c>
      <c r="E146">
        <v>60</v>
      </c>
      <c r="F146">
        <v>14.995313643999999</v>
      </c>
      <c r="G146">
        <v>1410.6124268000001</v>
      </c>
      <c r="H146">
        <v>1394.4561768000001</v>
      </c>
      <c r="I146">
        <v>1238.5654297000001</v>
      </c>
      <c r="J146">
        <v>1193.3723144999999</v>
      </c>
      <c r="K146">
        <v>2750</v>
      </c>
      <c r="L146">
        <v>0</v>
      </c>
      <c r="M146">
        <v>0</v>
      </c>
      <c r="N146">
        <v>2750</v>
      </c>
    </row>
    <row r="147" spans="1:14" x14ac:dyDescent="0.25">
      <c r="A147">
        <v>9.5039049999999996</v>
      </c>
      <c r="B147" s="1">
        <f>DATE(2010,5,10) + TIME(12,5,37)</f>
        <v>40308.503900462965</v>
      </c>
      <c r="C147">
        <v>80</v>
      </c>
      <c r="D147">
        <v>79.910003661999994</v>
      </c>
      <c r="E147">
        <v>60</v>
      </c>
      <c r="F147">
        <v>14.995338439999999</v>
      </c>
      <c r="G147">
        <v>1410.4683838000001</v>
      </c>
      <c r="H147">
        <v>1394.3144531</v>
      </c>
      <c r="I147">
        <v>1238.5681152</v>
      </c>
      <c r="J147">
        <v>1193.375</v>
      </c>
      <c r="K147">
        <v>2750</v>
      </c>
      <c r="L147">
        <v>0</v>
      </c>
      <c r="M147">
        <v>0</v>
      </c>
      <c r="N147">
        <v>2750</v>
      </c>
    </row>
    <row r="148" spans="1:14" x14ac:dyDescent="0.25">
      <c r="A148">
        <v>9.6963190000000008</v>
      </c>
      <c r="B148" s="1">
        <f>DATE(2010,5,10) + TIME(16,42,41)</f>
        <v>40308.69630787037</v>
      </c>
      <c r="C148">
        <v>80</v>
      </c>
      <c r="D148">
        <v>79.910217285000002</v>
      </c>
      <c r="E148">
        <v>60</v>
      </c>
      <c r="F148">
        <v>14.995363234999999</v>
      </c>
      <c r="G148">
        <v>1410.3249512</v>
      </c>
      <c r="H148">
        <v>1394.1732178</v>
      </c>
      <c r="I148">
        <v>1238.5709228999999</v>
      </c>
      <c r="J148">
        <v>1193.3776855000001</v>
      </c>
      <c r="K148">
        <v>2750</v>
      </c>
      <c r="L148">
        <v>0</v>
      </c>
      <c r="M148">
        <v>0</v>
      </c>
      <c r="N148">
        <v>2750</v>
      </c>
    </row>
    <row r="149" spans="1:14" x14ac:dyDescent="0.25">
      <c r="A149">
        <v>9.8923590000000008</v>
      </c>
      <c r="B149" s="1">
        <f>DATE(2010,5,10) + TIME(21,24,59)</f>
        <v>40308.89234953704</v>
      </c>
      <c r="C149">
        <v>80</v>
      </c>
      <c r="D149">
        <v>79.910408020000006</v>
      </c>
      <c r="E149">
        <v>60</v>
      </c>
      <c r="F149">
        <v>14.995388030999999</v>
      </c>
      <c r="G149">
        <v>1410.1816406</v>
      </c>
      <c r="H149">
        <v>1394.0323486</v>
      </c>
      <c r="I149">
        <v>1238.5737305</v>
      </c>
      <c r="J149">
        <v>1193.3804932</v>
      </c>
      <c r="K149">
        <v>2750</v>
      </c>
      <c r="L149">
        <v>0</v>
      </c>
      <c r="M149">
        <v>0</v>
      </c>
      <c r="N149">
        <v>2750</v>
      </c>
    </row>
    <row r="150" spans="1:14" x14ac:dyDescent="0.25">
      <c r="A150">
        <v>10.092364999999999</v>
      </c>
      <c r="B150" s="1">
        <f>DATE(2010,5,11) + TIME(2,13,0)</f>
        <v>40309.092361111114</v>
      </c>
      <c r="C150">
        <v>80</v>
      </c>
      <c r="D150">
        <v>79.910591124999996</v>
      </c>
      <c r="E150">
        <v>60</v>
      </c>
      <c r="F150">
        <v>14.995411873</v>
      </c>
      <c r="G150">
        <v>1410.0384521000001</v>
      </c>
      <c r="H150">
        <v>1393.8916016000001</v>
      </c>
      <c r="I150">
        <v>1238.5766602000001</v>
      </c>
      <c r="J150">
        <v>1193.3833007999999</v>
      </c>
      <c r="K150">
        <v>2750</v>
      </c>
      <c r="L150">
        <v>0</v>
      </c>
      <c r="M150">
        <v>0</v>
      </c>
      <c r="N150">
        <v>2750</v>
      </c>
    </row>
    <row r="151" spans="1:14" x14ac:dyDescent="0.25">
      <c r="A151">
        <v>10.296716999999999</v>
      </c>
      <c r="B151" s="1">
        <f>DATE(2010,5,11) + TIME(7,7,16)</f>
        <v>40309.296712962961</v>
      </c>
      <c r="C151">
        <v>80</v>
      </c>
      <c r="D151">
        <v>79.910758971999996</v>
      </c>
      <c r="E151">
        <v>60</v>
      </c>
      <c r="F151">
        <v>14.995436668</v>
      </c>
      <c r="G151">
        <v>1409.8951416</v>
      </c>
      <c r="H151">
        <v>1393.7507324000001</v>
      </c>
      <c r="I151">
        <v>1238.5795897999999</v>
      </c>
      <c r="J151">
        <v>1193.3862305</v>
      </c>
      <c r="K151">
        <v>2750</v>
      </c>
      <c r="L151">
        <v>0</v>
      </c>
      <c r="M151">
        <v>0</v>
      </c>
      <c r="N151">
        <v>2750</v>
      </c>
    </row>
    <row r="152" spans="1:14" x14ac:dyDescent="0.25">
      <c r="A152">
        <v>10.505839</v>
      </c>
      <c r="B152" s="1">
        <f>DATE(2010,5,11) + TIME(12,8,24)</f>
        <v>40309.505833333336</v>
      </c>
      <c r="C152">
        <v>80</v>
      </c>
      <c r="D152">
        <v>79.910911560000002</v>
      </c>
      <c r="E152">
        <v>60</v>
      </c>
      <c r="F152">
        <v>14.995461464</v>
      </c>
      <c r="G152">
        <v>1409.7514647999999</v>
      </c>
      <c r="H152">
        <v>1393.6097411999999</v>
      </c>
      <c r="I152">
        <v>1238.5826416</v>
      </c>
      <c r="J152">
        <v>1193.3891602000001</v>
      </c>
      <c r="K152">
        <v>2750</v>
      </c>
      <c r="L152">
        <v>0</v>
      </c>
      <c r="M152">
        <v>0</v>
      </c>
      <c r="N152">
        <v>2750</v>
      </c>
    </row>
    <row r="153" spans="1:14" x14ac:dyDescent="0.25">
      <c r="A153">
        <v>10.720083000000001</v>
      </c>
      <c r="B153" s="1">
        <f>DATE(2010,5,11) + TIME(17,16,55)</f>
        <v>40309.720081018517</v>
      </c>
      <c r="C153">
        <v>80</v>
      </c>
      <c r="D153">
        <v>79.911048889</v>
      </c>
      <c r="E153">
        <v>60</v>
      </c>
      <c r="F153">
        <v>14.995486259</v>
      </c>
      <c r="G153">
        <v>1409.6072998</v>
      </c>
      <c r="H153">
        <v>1393.4682617000001</v>
      </c>
      <c r="I153">
        <v>1238.5856934000001</v>
      </c>
      <c r="J153">
        <v>1193.3922118999999</v>
      </c>
      <c r="K153">
        <v>2750</v>
      </c>
      <c r="L153">
        <v>0</v>
      </c>
      <c r="M153">
        <v>0</v>
      </c>
      <c r="N153">
        <v>2750</v>
      </c>
    </row>
    <row r="154" spans="1:14" x14ac:dyDescent="0.25">
      <c r="A154">
        <v>10.939515999999999</v>
      </c>
      <c r="B154" s="1">
        <f>DATE(2010,5,11) + TIME(22,32,54)</f>
        <v>40309.939513888887</v>
      </c>
      <c r="C154">
        <v>80</v>
      </c>
      <c r="D154">
        <v>79.911178589000002</v>
      </c>
      <c r="E154">
        <v>60</v>
      </c>
      <c r="F154">
        <v>14.995512009</v>
      </c>
      <c r="G154">
        <v>1409.4624022999999</v>
      </c>
      <c r="H154">
        <v>1393.3261719</v>
      </c>
      <c r="I154">
        <v>1238.5888672000001</v>
      </c>
      <c r="J154">
        <v>1193.3952637</v>
      </c>
      <c r="K154">
        <v>2750</v>
      </c>
      <c r="L154">
        <v>0</v>
      </c>
      <c r="M154">
        <v>0</v>
      </c>
      <c r="N154">
        <v>2750</v>
      </c>
    </row>
    <row r="155" spans="1:14" x14ac:dyDescent="0.25">
      <c r="A155">
        <v>11.164277</v>
      </c>
      <c r="B155" s="1">
        <f>DATE(2010,5,12) + TIME(3,56,33)</f>
        <v>40310.164270833331</v>
      </c>
      <c r="C155">
        <v>80</v>
      </c>
      <c r="D155">
        <v>79.911300659000005</v>
      </c>
      <c r="E155">
        <v>60</v>
      </c>
      <c r="F155">
        <v>14.995536804</v>
      </c>
      <c r="G155">
        <v>1409.3167725000001</v>
      </c>
      <c r="H155">
        <v>1393.1834716999999</v>
      </c>
      <c r="I155">
        <v>1238.5920410000001</v>
      </c>
      <c r="J155">
        <v>1193.3984375</v>
      </c>
      <c r="K155">
        <v>2750</v>
      </c>
      <c r="L155">
        <v>0</v>
      </c>
      <c r="M155">
        <v>0</v>
      </c>
      <c r="N155">
        <v>2750</v>
      </c>
    </row>
    <row r="156" spans="1:14" x14ac:dyDescent="0.25">
      <c r="A156">
        <v>11.39452</v>
      </c>
      <c r="B156" s="1">
        <f>DATE(2010,5,12) + TIME(9,28,6)</f>
        <v>40310.394513888888</v>
      </c>
      <c r="C156">
        <v>80</v>
      </c>
      <c r="D156">
        <v>79.911415099999999</v>
      </c>
      <c r="E156">
        <v>60</v>
      </c>
      <c r="F156">
        <v>14.995562552999999</v>
      </c>
      <c r="G156">
        <v>1409.1706543</v>
      </c>
      <c r="H156">
        <v>1393.0402832</v>
      </c>
      <c r="I156">
        <v>1238.5953368999999</v>
      </c>
      <c r="J156">
        <v>1193.4016113</v>
      </c>
      <c r="K156">
        <v>2750</v>
      </c>
      <c r="L156">
        <v>0</v>
      </c>
      <c r="M156">
        <v>0</v>
      </c>
      <c r="N156">
        <v>2750</v>
      </c>
    </row>
    <row r="157" spans="1:14" x14ac:dyDescent="0.25">
      <c r="A157">
        <v>11.625548</v>
      </c>
      <c r="B157" s="1">
        <f>DATE(2010,5,12) + TIME(15,0,47)</f>
        <v>40310.625543981485</v>
      </c>
      <c r="C157">
        <v>80</v>
      </c>
      <c r="D157">
        <v>79.911514281999999</v>
      </c>
      <c r="E157">
        <v>60</v>
      </c>
      <c r="F157">
        <v>14.995587348999999</v>
      </c>
      <c r="G157">
        <v>1409.0236815999999</v>
      </c>
      <c r="H157">
        <v>1392.8963623</v>
      </c>
      <c r="I157">
        <v>1238.5987548999999</v>
      </c>
      <c r="J157">
        <v>1193.4049072</v>
      </c>
      <c r="K157">
        <v>2750</v>
      </c>
      <c r="L157">
        <v>0</v>
      </c>
      <c r="M157">
        <v>0</v>
      </c>
      <c r="N157">
        <v>2750</v>
      </c>
    </row>
    <row r="158" spans="1:14" x14ac:dyDescent="0.25">
      <c r="A158">
        <v>11.856935</v>
      </c>
      <c r="B158" s="1">
        <f>DATE(2010,5,12) + TIME(20,33,59)</f>
        <v>40310.856932870367</v>
      </c>
      <c r="C158">
        <v>80</v>
      </c>
      <c r="D158">
        <v>79.911605835000003</v>
      </c>
      <c r="E158">
        <v>60</v>
      </c>
      <c r="F158">
        <v>14.995612144000001</v>
      </c>
      <c r="G158">
        <v>1408.8790283000001</v>
      </c>
      <c r="H158">
        <v>1392.7548827999999</v>
      </c>
      <c r="I158">
        <v>1238.6020507999999</v>
      </c>
      <c r="J158">
        <v>1193.4082031</v>
      </c>
      <c r="K158">
        <v>2750</v>
      </c>
      <c r="L158">
        <v>0</v>
      </c>
      <c r="M158">
        <v>0</v>
      </c>
      <c r="N158">
        <v>2750</v>
      </c>
    </row>
    <row r="159" spans="1:14" x14ac:dyDescent="0.25">
      <c r="A159">
        <v>12.089043999999999</v>
      </c>
      <c r="B159" s="1">
        <f>DATE(2010,5,13) + TIME(2,8,13)</f>
        <v>40311.089039351849</v>
      </c>
      <c r="C159">
        <v>80</v>
      </c>
      <c r="D159">
        <v>79.911689757999994</v>
      </c>
      <c r="E159">
        <v>60</v>
      </c>
      <c r="F159">
        <v>14.995635986</v>
      </c>
      <c r="G159">
        <v>1408.7368164</v>
      </c>
      <c r="H159">
        <v>1392.6158447</v>
      </c>
      <c r="I159">
        <v>1238.6054687999999</v>
      </c>
      <c r="J159">
        <v>1193.411499</v>
      </c>
      <c r="K159">
        <v>2750</v>
      </c>
      <c r="L159">
        <v>0</v>
      </c>
      <c r="M159">
        <v>0</v>
      </c>
      <c r="N159">
        <v>2750</v>
      </c>
    </row>
    <row r="160" spans="1:14" x14ac:dyDescent="0.25">
      <c r="A160">
        <v>12.32227</v>
      </c>
      <c r="B160" s="1">
        <f>DATE(2010,5,13) + TIME(7,44,4)</f>
        <v>40311.322268518517</v>
      </c>
      <c r="C160">
        <v>80</v>
      </c>
      <c r="D160">
        <v>79.911766052000004</v>
      </c>
      <c r="E160">
        <v>60</v>
      </c>
      <c r="F160">
        <v>14.995660782</v>
      </c>
      <c r="G160">
        <v>1408.5969238</v>
      </c>
      <c r="H160">
        <v>1392.479126</v>
      </c>
      <c r="I160">
        <v>1238.6088867000001</v>
      </c>
      <c r="J160">
        <v>1193.4147949000001</v>
      </c>
      <c r="K160">
        <v>2750</v>
      </c>
      <c r="L160">
        <v>0</v>
      </c>
      <c r="M160">
        <v>0</v>
      </c>
      <c r="N160">
        <v>2750</v>
      </c>
    </row>
    <row r="161" spans="1:14" x14ac:dyDescent="0.25">
      <c r="A161">
        <v>12.556977</v>
      </c>
      <c r="B161" s="1">
        <f>DATE(2010,5,13) + TIME(13,22,2)</f>
        <v>40311.556967592594</v>
      </c>
      <c r="C161">
        <v>80</v>
      </c>
      <c r="D161">
        <v>79.911842346</v>
      </c>
      <c r="E161">
        <v>60</v>
      </c>
      <c r="F161">
        <v>14.995684624000001</v>
      </c>
      <c r="G161">
        <v>1408.4588623</v>
      </c>
      <c r="H161">
        <v>1392.3442382999999</v>
      </c>
      <c r="I161">
        <v>1238.6123047000001</v>
      </c>
      <c r="J161">
        <v>1193.4182129000001</v>
      </c>
      <c r="K161">
        <v>2750</v>
      </c>
      <c r="L161">
        <v>0</v>
      </c>
      <c r="M161">
        <v>0</v>
      </c>
      <c r="N161">
        <v>2750</v>
      </c>
    </row>
    <row r="162" spans="1:14" x14ac:dyDescent="0.25">
      <c r="A162">
        <v>12.793528999999999</v>
      </c>
      <c r="B162" s="1">
        <f>DATE(2010,5,13) + TIME(19,2,40)</f>
        <v>40311.79351851852</v>
      </c>
      <c r="C162">
        <v>80</v>
      </c>
      <c r="D162">
        <v>79.911903381000002</v>
      </c>
      <c r="E162">
        <v>60</v>
      </c>
      <c r="F162">
        <v>14.995707511999999</v>
      </c>
      <c r="G162">
        <v>1408.3225098</v>
      </c>
      <c r="H162">
        <v>1392.2110596</v>
      </c>
      <c r="I162">
        <v>1238.6157227000001</v>
      </c>
      <c r="J162">
        <v>1193.4215088000001</v>
      </c>
      <c r="K162">
        <v>2750</v>
      </c>
      <c r="L162">
        <v>0</v>
      </c>
      <c r="M162">
        <v>0</v>
      </c>
      <c r="N162">
        <v>2750</v>
      </c>
    </row>
    <row r="163" spans="1:14" x14ac:dyDescent="0.25">
      <c r="A163">
        <v>13.032294</v>
      </c>
      <c r="B163" s="1">
        <f>DATE(2010,5,14) + TIME(0,46,30)</f>
        <v>40312.03229166667</v>
      </c>
      <c r="C163">
        <v>80</v>
      </c>
      <c r="D163">
        <v>79.911964416999993</v>
      </c>
      <c r="E163">
        <v>60</v>
      </c>
      <c r="F163">
        <v>14.995731354</v>
      </c>
      <c r="G163">
        <v>1408.1875</v>
      </c>
      <c r="H163">
        <v>1392.0793457</v>
      </c>
      <c r="I163">
        <v>1238.6191406</v>
      </c>
      <c r="J163">
        <v>1193.4249268000001</v>
      </c>
      <c r="K163">
        <v>2750</v>
      </c>
      <c r="L163">
        <v>0</v>
      </c>
      <c r="M163">
        <v>0</v>
      </c>
      <c r="N163">
        <v>2750</v>
      </c>
    </row>
    <row r="164" spans="1:14" x14ac:dyDescent="0.25">
      <c r="A164">
        <v>13.273647</v>
      </c>
      <c r="B164" s="1">
        <f>DATE(2010,5,14) + TIME(6,34,3)</f>
        <v>40312.273645833331</v>
      </c>
      <c r="C164">
        <v>80</v>
      </c>
      <c r="D164">
        <v>79.912025451999995</v>
      </c>
      <c r="E164">
        <v>60</v>
      </c>
      <c r="F164">
        <v>14.995754242</v>
      </c>
      <c r="G164">
        <v>1408.0537108999999</v>
      </c>
      <c r="H164">
        <v>1391.9488524999999</v>
      </c>
      <c r="I164">
        <v>1238.6226807</v>
      </c>
      <c r="J164">
        <v>1193.4283447</v>
      </c>
      <c r="K164">
        <v>2750</v>
      </c>
      <c r="L164">
        <v>0</v>
      </c>
      <c r="M164">
        <v>0</v>
      </c>
      <c r="N164">
        <v>2750</v>
      </c>
    </row>
    <row r="165" spans="1:14" x14ac:dyDescent="0.25">
      <c r="A165">
        <v>13.517593</v>
      </c>
      <c r="B165" s="1">
        <f>DATE(2010,5,14) + TIME(12,25,20)</f>
        <v>40312.517592592594</v>
      </c>
      <c r="C165">
        <v>80</v>
      </c>
      <c r="D165">
        <v>79.912078856999997</v>
      </c>
      <c r="E165">
        <v>60</v>
      </c>
      <c r="F165">
        <v>14.99577713</v>
      </c>
      <c r="G165">
        <v>1407.9207764</v>
      </c>
      <c r="H165">
        <v>1391.8193358999999</v>
      </c>
      <c r="I165">
        <v>1238.6262207</v>
      </c>
      <c r="J165">
        <v>1193.4317627</v>
      </c>
      <c r="K165">
        <v>2750</v>
      </c>
      <c r="L165">
        <v>0</v>
      </c>
      <c r="M165">
        <v>0</v>
      </c>
      <c r="N165">
        <v>2750</v>
      </c>
    </row>
    <row r="166" spans="1:14" x14ac:dyDescent="0.25">
      <c r="A166">
        <v>13.764018999999999</v>
      </c>
      <c r="B166" s="1">
        <f>DATE(2010,5,14) + TIME(18,20,11)</f>
        <v>40312.764016203706</v>
      </c>
      <c r="C166">
        <v>80</v>
      </c>
      <c r="D166">
        <v>79.912132263000004</v>
      </c>
      <c r="E166">
        <v>60</v>
      </c>
      <c r="F166">
        <v>14.995800972</v>
      </c>
      <c r="G166">
        <v>1407.7888184000001</v>
      </c>
      <c r="H166">
        <v>1391.6907959</v>
      </c>
      <c r="I166">
        <v>1238.6297606999999</v>
      </c>
      <c r="J166">
        <v>1193.4353027</v>
      </c>
      <c r="K166">
        <v>2750</v>
      </c>
      <c r="L166">
        <v>0</v>
      </c>
      <c r="M166">
        <v>0</v>
      </c>
      <c r="N166">
        <v>2750</v>
      </c>
    </row>
    <row r="167" spans="1:14" x14ac:dyDescent="0.25">
      <c r="A167">
        <v>14.013298000000001</v>
      </c>
      <c r="B167" s="1">
        <f>DATE(2010,5,15) + TIME(0,19,8)</f>
        <v>40313.013287037036</v>
      </c>
      <c r="C167">
        <v>80</v>
      </c>
      <c r="D167">
        <v>79.912178040000001</v>
      </c>
      <c r="E167">
        <v>60</v>
      </c>
      <c r="F167">
        <v>14.99582386</v>
      </c>
      <c r="G167">
        <v>1407.6578368999999</v>
      </c>
      <c r="H167">
        <v>1391.5632324000001</v>
      </c>
      <c r="I167">
        <v>1238.6334228999999</v>
      </c>
      <c r="J167">
        <v>1193.4388428</v>
      </c>
      <c r="K167">
        <v>2750</v>
      </c>
      <c r="L167">
        <v>0</v>
      </c>
      <c r="M167">
        <v>0</v>
      </c>
      <c r="N167">
        <v>2750</v>
      </c>
    </row>
    <row r="168" spans="1:14" x14ac:dyDescent="0.25">
      <c r="A168">
        <v>14.26581</v>
      </c>
      <c r="B168" s="1">
        <f>DATE(2010,5,15) + TIME(6,22,46)</f>
        <v>40313.265810185185</v>
      </c>
      <c r="C168">
        <v>80</v>
      </c>
      <c r="D168">
        <v>79.912223815999994</v>
      </c>
      <c r="E168">
        <v>60</v>
      </c>
      <c r="F168">
        <v>14.995845794999999</v>
      </c>
      <c r="G168">
        <v>1407.5275879000001</v>
      </c>
      <c r="H168">
        <v>1391.4364014</v>
      </c>
      <c r="I168">
        <v>1238.6370850000001</v>
      </c>
      <c r="J168">
        <v>1193.4423827999999</v>
      </c>
      <c r="K168">
        <v>2750</v>
      </c>
      <c r="L168">
        <v>0</v>
      </c>
      <c r="M168">
        <v>0</v>
      </c>
      <c r="N168">
        <v>2750</v>
      </c>
    </row>
    <row r="169" spans="1:14" x14ac:dyDescent="0.25">
      <c r="A169">
        <v>14.521958</v>
      </c>
      <c r="B169" s="1">
        <f>DATE(2010,5,15) + TIME(12,31,37)</f>
        <v>40313.521956018521</v>
      </c>
      <c r="C169">
        <v>80</v>
      </c>
      <c r="D169">
        <v>79.912261963000006</v>
      </c>
      <c r="E169">
        <v>60</v>
      </c>
      <c r="F169">
        <v>14.995868682999999</v>
      </c>
      <c r="G169">
        <v>1407.3978271000001</v>
      </c>
      <c r="H169">
        <v>1391.3103027</v>
      </c>
      <c r="I169">
        <v>1238.6407471</v>
      </c>
      <c r="J169">
        <v>1193.4460449000001</v>
      </c>
      <c r="K169">
        <v>2750</v>
      </c>
      <c r="L169">
        <v>0</v>
      </c>
      <c r="M169">
        <v>0</v>
      </c>
      <c r="N169">
        <v>2750</v>
      </c>
    </row>
    <row r="170" spans="1:14" x14ac:dyDescent="0.25">
      <c r="A170">
        <v>14.782275</v>
      </c>
      <c r="B170" s="1">
        <f>DATE(2010,5,15) + TIME(18,46,28)</f>
        <v>40313.782268518517</v>
      </c>
      <c r="C170">
        <v>80</v>
      </c>
      <c r="D170">
        <v>79.912307738999999</v>
      </c>
      <c r="E170">
        <v>60</v>
      </c>
      <c r="F170">
        <v>14.995891571</v>
      </c>
      <c r="G170">
        <v>1407.2685547000001</v>
      </c>
      <c r="H170">
        <v>1391.1845702999999</v>
      </c>
      <c r="I170">
        <v>1238.6445312000001</v>
      </c>
      <c r="J170">
        <v>1193.449707</v>
      </c>
      <c r="K170">
        <v>2750</v>
      </c>
      <c r="L170">
        <v>0</v>
      </c>
      <c r="M170">
        <v>0</v>
      </c>
      <c r="N170">
        <v>2750</v>
      </c>
    </row>
    <row r="171" spans="1:14" x14ac:dyDescent="0.25">
      <c r="A171">
        <v>15.047103</v>
      </c>
      <c r="B171" s="1">
        <f>DATE(2010,5,16) + TIME(1,7,49)</f>
        <v>40314.047094907408</v>
      </c>
      <c r="C171">
        <v>80</v>
      </c>
      <c r="D171">
        <v>79.912345885999997</v>
      </c>
      <c r="E171">
        <v>60</v>
      </c>
      <c r="F171">
        <v>14.995914459</v>
      </c>
      <c r="G171">
        <v>1407.1394043</v>
      </c>
      <c r="H171">
        <v>1391.059082</v>
      </c>
      <c r="I171">
        <v>1238.6484375</v>
      </c>
      <c r="J171">
        <v>1193.4534911999999</v>
      </c>
      <c r="K171">
        <v>2750</v>
      </c>
      <c r="L171">
        <v>0</v>
      </c>
      <c r="M171">
        <v>0</v>
      </c>
      <c r="N171">
        <v>2750</v>
      </c>
    </row>
    <row r="172" spans="1:14" x14ac:dyDescent="0.25">
      <c r="A172">
        <v>15.316913</v>
      </c>
      <c r="B172" s="1">
        <f>DATE(2010,5,16) + TIME(7,36,21)</f>
        <v>40314.31690972222</v>
      </c>
      <c r="C172">
        <v>80</v>
      </c>
      <c r="D172">
        <v>79.912384032999995</v>
      </c>
      <c r="E172">
        <v>60</v>
      </c>
      <c r="F172">
        <v>14.995936393999999</v>
      </c>
      <c r="G172">
        <v>1407.0101318</v>
      </c>
      <c r="H172">
        <v>1390.9335937999999</v>
      </c>
      <c r="I172">
        <v>1238.6523437999999</v>
      </c>
      <c r="J172">
        <v>1193.4572754000001</v>
      </c>
      <c r="K172">
        <v>2750</v>
      </c>
      <c r="L172">
        <v>0</v>
      </c>
      <c r="M172">
        <v>0</v>
      </c>
      <c r="N172">
        <v>2750</v>
      </c>
    </row>
    <row r="173" spans="1:14" x14ac:dyDescent="0.25">
      <c r="A173">
        <v>15.592231</v>
      </c>
      <c r="B173" s="1">
        <f>DATE(2010,5,16) + TIME(14,12,48)</f>
        <v>40314.592222222222</v>
      </c>
      <c r="C173">
        <v>80</v>
      </c>
      <c r="D173">
        <v>79.912422179999993</v>
      </c>
      <c r="E173">
        <v>60</v>
      </c>
      <c r="F173">
        <v>14.995959281999999</v>
      </c>
      <c r="G173">
        <v>1406.8807373</v>
      </c>
      <c r="H173">
        <v>1390.8079834</v>
      </c>
      <c r="I173">
        <v>1238.65625</v>
      </c>
      <c r="J173">
        <v>1193.4611815999999</v>
      </c>
      <c r="K173">
        <v>2750</v>
      </c>
      <c r="L173">
        <v>0</v>
      </c>
      <c r="M173">
        <v>0</v>
      </c>
      <c r="N173">
        <v>2750</v>
      </c>
    </row>
    <row r="174" spans="1:14" x14ac:dyDescent="0.25">
      <c r="A174">
        <v>15.873619</v>
      </c>
      <c r="B174" s="1">
        <f>DATE(2010,5,16) + TIME(20,58,0)</f>
        <v>40314.873611111114</v>
      </c>
      <c r="C174">
        <v>80</v>
      </c>
      <c r="D174">
        <v>79.912460327000005</v>
      </c>
      <c r="E174">
        <v>60</v>
      </c>
      <c r="F174">
        <v>14.99598217</v>
      </c>
      <c r="G174">
        <v>1406.7509766000001</v>
      </c>
      <c r="H174">
        <v>1390.6821289</v>
      </c>
      <c r="I174">
        <v>1238.6604004000001</v>
      </c>
      <c r="J174">
        <v>1193.4652100000001</v>
      </c>
      <c r="K174">
        <v>2750</v>
      </c>
      <c r="L174">
        <v>0</v>
      </c>
      <c r="M174">
        <v>0</v>
      </c>
      <c r="N174">
        <v>2750</v>
      </c>
    </row>
    <row r="175" spans="1:14" x14ac:dyDescent="0.25">
      <c r="A175">
        <v>16.161014000000002</v>
      </c>
      <c r="B175" s="1">
        <f>DATE(2010,5,17) + TIME(3,51,51)</f>
        <v>40315.161006944443</v>
      </c>
      <c r="C175">
        <v>80</v>
      </c>
      <c r="D175">
        <v>79.912490844999994</v>
      </c>
      <c r="E175">
        <v>60</v>
      </c>
      <c r="F175">
        <v>14.996005058</v>
      </c>
      <c r="G175">
        <v>1406.6206055</v>
      </c>
      <c r="H175">
        <v>1390.5556641000001</v>
      </c>
      <c r="I175">
        <v>1238.6645507999999</v>
      </c>
      <c r="J175">
        <v>1193.4692382999999</v>
      </c>
      <c r="K175">
        <v>2750</v>
      </c>
      <c r="L175">
        <v>0</v>
      </c>
      <c r="M175">
        <v>0</v>
      </c>
      <c r="N175">
        <v>2750</v>
      </c>
    </row>
    <row r="176" spans="1:14" x14ac:dyDescent="0.25">
      <c r="A176">
        <v>16.454433999999999</v>
      </c>
      <c r="B176" s="1">
        <f>DATE(2010,5,17) + TIME(10,54,23)</f>
        <v>40315.454432870371</v>
      </c>
      <c r="C176">
        <v>80</v>
      </c>
      <c r="D176">
        <v>79.912528992000006</v>
      </c>
      <c r="E176">
        <v>60</v>
      </c>
      <c r="F176">
        <v>14.996027946</v>
      </c>
      <c r="G176">
        <v>1406.4897461</v>
      </c>
      <c r="H176">
        <v>1390.4288329999999</v>
      </c>
      <c r="I176">
        <v>1238.6688231999999</v>
      </c>
      <c r="J176">
        <v>1193.4733887</v>
      </c>
      <c r="K176">
        <v>2750</v>
      </c>
      <c r="L176">
        <v>0</v>
      </c>
      <c r="M176">
        <v>0</v>
      </c>
      <c r="N176">
        <v>2750</v>
      </c>
    </row>
    <row r="177" spans="1:14" x14ac:dyDescent="0.25">
      <c r="A177">
        <v>16.753813999999998</v>
      </c>
      <c r="B177" s="1">
        <f>DATE(2010,5,17) + TIME(18,5,29)</f>
        <v>40315.753807870373</v>
      </c>
      <c r="C177">
        <v>80</v>
      </c>
      <c r="D177">
        <v>79.912559509000005</v>
      </c>
      <c r="E177">
        <v>60</v>
      </c>
      <c r="F177">
        <v>14.996050835</v>
      </c>
      <c r="G177">
        <v>1406.3583983999999</v>
      </c>
      <c r="H177">
        <v>1390.3016356999999</v>
      </c>
      <c r="I177">
        <v>1238.6730957</v>
      </c>
      <c r="J177">
        <v>1193.4776611</v>
      </c>
      <c r="K177">
        <v>2750</v>
      </c>
      <c r="L177">
        <v>0</v>
      </c>
      <c r="M177">
        <v>0</v>
      </c>
      <c r="N177">
        <v>2750</v>
      </c>
    </row>
    <row r="178" spans="1:14" x14ac:dyDescent="0.25">
      <c r="A178">
        <v>17.0534</v>
      </c>
      <c r="B178" s="1">
        <f>DATE(2010,5,18) + TIME(1,16,53)</f>
        <v>40316.053391203706</v>
      </c>
      <c r="C178">
        <v>80</v>
      </c>
      <c r="D178">
        <v>79.912597656000003</v>
      </c>
      <c r="E178">
        <v>60</v>
      </c>
      <c r="F178">
        <v>14.996073723</v>
      </c>
      <c r="G178">
        <v>1406.2265625</v>
      </c>
      <c r="H178">
        <v>1390.1740723</v>
      </c>
      <c r="I178">
        <v>1238.6774902</v>
      </c>
      <c r="J178">
        <v>1193.4819336</v>
      </c>
      <c r="K178">
        <v>2750</v>
      </c>
      <c r="L178">
        <v>0</v>
      </c>
      <c r="M178">
        <v>0</v>
      </c>
      <c r="N178">
        <v>2750</v>
      </c>
    </row>
    <row r="179" spans="1:14" x14ac:dyDescent="0.25">
      <c r="A179">
        <v>17.353705000000001</v>
      </c>
      <c r="B179" s="1">
        <f>DATE(2010,5,18) + TIME(8,29,20)</f>
        <v>40316.353703703702</v>
      </c>
      <c r="C179">
        <v>80</v>
      </c>
      <c r="D179">
        <v>79.912628174000005</v>
      </c>
      <c r="E179">
        <v>60</v>
      </c>
      <c r="F179">
        <v>14.996096611</v>
      </c>
      <c r="G179">
        <v>1406.0969238</v>
      </c>
      <c r="H179">
        <v>1390.0487060999999</v>
      </c>
      <c r="I179">
        <v>1238.6820068</v>
      </c>
      <c r="J179">
        <v>1193.4862060999999</v>
      </c>
      <c r="K179">
        <v>2750</v>
      </c>
      <c r="L179">
        <v>0</v>
      </c>
      <c r="M179">
        <v>0</v>
      </c>
      <c r="N179">
        <v>2750</v>
      </c>
    </row>
    <row r="180" spans="1:14" x14ac:dyDescent="0.25">
      <c r="A180">
        <v>17.655244</v>
      </c>
      <c r="B180" s="1">
        <f>DATE(2010,5,18) + TIME(15,43,33)</f>
        <v>40316.655243055553</v>
      </c>
      <c r="C180">
        <v>80</v>
      </c>
      <c r="D180">
        <v>79.912658691000004</v>
      </c>
      <c r="E180">
        <v>60</v>
      </c>
      <c r="F180">
        <v>14.996118546</v>
      </c>
      <c r="G180">
        <v>1405.9692382999999</v>
      </c>
      <c r="H180">
        <v>1389.9250488</v>
      </c>
      <c r="I180">
        <v>1238.6864014</v>
      </c>
      <c r="J180">
        <v>1193.4906006000001</v>
      </c>
      <c r="K180">
        <v>2750</v>
      </c>
      <c r="L180">
        <v>0</v>
      </c>
      <c r="M180">
        <v>0</v>
      </c>
      <c r="N180">
        <v>2750</v>
      </c>
    </row>
    <row r="181" spans="1:14" x14ac:dyDescent="0.25">
      <c r="A181">
        <v>17.958507000000001</v>
      </c>
      <c r="B181" s="1">
        <f>DATE(2010,5,18) + TIME(23,0,14)</f>
        <v>40316.958495370367</v>
      </c>
      <c r="C181">
        <v>80</v>
      </c>
      <c r="D181">
        <v>79.912689209000007</v>
      </c>
      <c r="E181">
        <v>60</v>
      </c>
      <c r="F181">
        <v>14.996141434</v>
      </c>
      <c r="G181">
        <v>1405.8431396000001</v>
      </c>
      <c r="H181">
        <v>1389.8032227000001</v>
      </c>
      <c r="I181">
        <v>1238.690918</v>
      </c>
      <c r="J181">
        <v>1193.4949951000001</v>
      </c>
      <c r="K181">
        <v>2750</v>
      </c>
      <c r="L181">
        <v>0</v>
      </c>
      <c r="M181">
        <v>0</v>
      </c>
      <c r="N181">
        <v>2750</v>
      </c>
    </row>
    <row r="182" spans="1:14" x14ac:dyDescent="0.25">
      <c r="A182">
        <v>18.263978000000002</v>
      </c>
      <c r="B182" s="1">
        <f>DATE(2010,5,19) + TIME(6,20,7)</f>
        <v>40317.263969907406</v>
      </c>
      <c r="C182">
        <v>80</v>
      </c>
      <c r="D182">
        <v>79.912719726999995</v>
      </c>
      <c r="E182">
        <v>60</v>
      </c>
      <c r="F182">
        <v>14.996163367999999</v>
      </c>
      <c r="G182">
        <v>1405.7182617000001</v>
      </c>
      <c r="H182">
        <v>1389.6826172000001</v>
      </c>
      <c r="I182">
        <v>1238.6954346</v>
      </c>
      <c r="J182">
        <v>1193.4993896000001</v>
      </c>
      <c r="K182">
        <v>2750</v>
      </c>
      <c r="L182">
        <v>0</v>
      </c>
      <c r="M182">
        <v>0</v>
      </c>
      <c r="N182">
        <v>2750</v>
      </c>
    </row>
    <row r="183" spans="1:14" x14ac:dyDescent="0.25">
      <c r="A183">
        <v>18.571925</v>
      </c>
      <c r="B183" s="1">
        <f>DATE(2010,5,19) + TIME(13,43,34)</f>
        <v>40317.571921296294</v>
      </c>
      <c r="C183">
        <v>80</v>
      </c>
      <c r="D183">
        <v>79.912750243999994</v>
      </c>
      <c r="E183">
        <v>60</v>
      </c>
      <c r="F183">
        <v>14.996184349</v>
      </c>
      <c r="G183">
        <v>1405.5946045000001</v>
      </c>
      <c r="H183">
        <v>1389.5632324000001</v>
      </c>
      <c r="I183">
        <v>1238.6999512</v>
      </c>
      <c r="J183">
        <v>1193.5037841999999</v>
      </c>
      <c r="K183">
        <v>2750</v>
      </c>
      <c r="L183">
        <v>0</v>
      </c>
      <c r="M183">
        <v>0</v>
      </c>
      <c r="N183">
        <v>2750</v>
      </c>
    </row>
    <row r="184" spans="1:14" x14ac:dyDescent="0.25">
      <c r="A184">
        <v>18.881710000000002</v>
      </c>
      <c r="B184" s="1">
        <f>DATE(2010,5,19) + TIME(21,9,39)</f>
        <v>40317.881701388891</v>
      </c>
      <c r="C184">
        <v>80</v>
      </c>
      <c r="D184">
        <v>79.912780761999997</v>
      </c>
      <c r="E184">
        <v>60</v>
      </c>
      <c r="F184">
        <v>14.996206283999999</v>
      </c>
      <c r="G184">
        <v>1405.4720459</v>
      </c>
      <c r="H184">
        <v>1389.4448242000001</v>
      </c>
      <c r="I184">
        <v>1238.7045897999999</v>
      </c>
      <c r="J184">
        <v>1193.5081786999999</v>
      </c>
      <c r="K184">
        <v>2750</v>
      </c>
      <c r="L184">
        <v>0</v>
      </c>
      <c r="M184">
        <v>0</v>
      </c>
      <c r="N184">
        <v>2750</v>
      </c>
    </row>
    <row r="185" spans="1:14" x14ac:dyDescent="0.25">
      <c r="A185">
        <v>19.193794</v>
      </c>
      <c r="B185" s="1">
        <f>DATE(2010,5,20) + TIME(4,39,3)</f>
        <v>40318.193784722222</v>
      </c>
      <c r="C185">
        <v>80</v>
      </c>
      <c r="D185">
        <v>79.912811278999996</v>
      </c>
      <c r="E185">
        <v>60</v>
      </c>
      <c r="F185">
        <v>14.996228218000001</v>
      </c>
      <c r="G185">
        <v>1405.3505858999999</v>
      </c>
      <c r="H185">
        <v>1389.3276367000001</v>
      </c>
      <c r="I185">
        <v>1238.7092285000001</v>
      </c>
      <c r="J185">
        <v>1193.5126952999999</v>
      </c>
      <c r="K185">
        <v>2750</v>
      </c>
      <c r="L185">
        <v>0</v>
      </c>
      <c r="M185">
        <v>0</v>
      </c>
      <c r="N185">
        <v>2750</v>
      </c>
    </row>
    <row r="186" spans="1:14" x14ac:dyDescent="0.25">
      <c r="A186">
        <v>19.508641000000001</v>
      </c>
      <c r="B186" s="1">
        <f>DATE(2010,5,20) + TIME(12,12,26)</f>
        <v>40318.508634259262</v>
      </c>
      <c r="C186">
        <v>80</v>
      </c>
      <c r="D186">
        <v>79.912841796999999</v>
      </c>
      <c r="E186">
        <v>60</v>
      </c>
      <c r="F186">
        <v>14.996249198999999</v>
      </c>
      <c r="G186">
        <v>1405.2302245999999</v>
      </c>
      <c r="H186">
        <v>1389.2115478999999</v>
      </c>
      <c r="I186">
        <v>1238.7138672000001</v>
      </c>
      <c r="J186">
        <v>1193.5173339999999</v>
      </c>
      <c r="K186">
        <v>2750</v>
      </c>
      <c r="L186">
        <v>0</v>
      </c>
      <c r="M186">
        <v>0</v>
      </c>
      <c r="N186">
        <v>2750</v>
      </c>
    </row>
    <row r="187" spans="1:14" x14ac:dyDescent="0.25">
      <c r="A187">
        <v>19.826723000000001</v>
      </c>
      <c r="B187" s="1">
        <f>DATE(2010,5,20) + TIME(19,50,28)</f>
        <v>40318.82671296296</v>
      </c>
      <c r="C187">
        <v>80</v>
      </c>
      <c r="D187">
        <v>79.912872313999998</v>
      </c>
      <c r="E187">
        <v>60</v>
      </c>
      <c r="F187">
        <v>14.99627018</v>
      </c>
      <c r="G187">
        <v>1405.1105957</v>
      </c>
      <c r="H187">
        <v>1389.0963135</v>
      </c>
      <c r="I187">
        <v>1238.7186279</v>
      </c>
      <c r="J187">
        <v>1193.5218506000001</v>
      </c>
      <c r="K187">
        <v>2750</v>
      </c>
      <c r="L187">
        <v>0</v>
      </c>
      <c r="M187">
        <v>0</v>
      </c>
      <c r="N187">
        <v>2750</v>
      </c>
    </row>
    <row r="188" spans="1:14" x14ac:dyDescent="0.25">
      <c r="A188">
        <v>20.148529</v>
      </c>
      <c r="B188" s="1">
        <f>DATE(2010,5,21) + TIME(3,33,52)</f>
        <v>40319.148518518516</v>
      </c>
      <c r="C188">
        <v>80</v>
      </c>
      <c r="D188">
        <v>79.912902832</v>
      </c>
      <c r="E188">
        <v>60</v>
      </c>
      <c r="F188">
        <v>14.996291161</v>
      </c>
      <c r="G188">
        <v>1404.9916992000001</v>
      </c>
      <c r="H188">
        <v>1388.9816894999999</v>
      </c>
      <c r="I188">
        <v>1238.7233887</v>
      </c>
      <c r="J188">
        <v>1193.5264893000001</v>
      </c>
      <c r="K188">
        <v>2750</v>
      </c>
      <c r="L188">
        <v>0</v>
      </c>
      <c r="M188">
        <v>0</v>
      </c>
      <c r="N188">
        <v>2750</v>
      </c>
    </row>
    <row r="189" spans="1:14" x14ac:dyDescent="0.25">
      <c r="A189">
        <v>20.47457</v>
      </c>
      <c r="B189" s="1">
        <f>DATE(2010,5,21) + TIME(11,23,22)</f>
        <v>40319.474560185183</v>
      </c>
      <c r="C189">
        <v>80</v>
      </c>
      <c r="D189">
        <v>79.912933350000003</v>
      </c>
      <c r="E189">
        <v>60</v>
      </c>
      <c r="F189">
        <v>14.996312141000001</v>
      </c>
      <c r="G189">
        <v>1404.8732910000001</v>
      </c>
      <c r="H189">
        <v>1388.8676757999999</v>
      </c>
      <c r="I189">
        <v>1238.7281493999999</v>
      </c>
      <c r="J189">
        <v>1193.53125</v>
      </c>
      <c r="K189">
        <v>2750</v>
      </c>
      <c r="L189">
        <v>0</v>
      </c>
      <c r="M189">
        <v>0</v>
      </c>
      <c r="N189">
        <v>2750</v>
      </c>
    </row>
    <row r="190" spans="1:14" x14ac:dyDescent="0.25">
      <c r="A190">
        <v>20.805527999999999</v>
      </c>
      <c r="B190" s="1">
        <f>DATE(2010,5,21) + TIME(19,19,57)</f>
        <v>40319.805520833332</v>
      </c>
      <c r="C190">
        <v>80</v>
      </c>
      <c r="D190">
        <v>79.912963867000002</v>
      </c>
      <c r="E190">
        <v>60</v>
      </c>
      <c r="F190">
        <v>14.996333121999999</v>
      </c>
      <c r="G190">
        <v>1404.7551269999999</v>
      </c>
      <c r="H190">
        <v>1388.7539062000001</v>
      </c>
      <c r="I190">
        <v>1238.7331543</v>
      </c>
      <c r="J190">
        <v>1193.5360106999999</v>
      </c>
      <c r="K190">
        <v>2750</v>
      </c>
      <c r="L190">
        <v>0</v>
      </c>
      <c r="M190">
        <v>0</v>
      </c>
      <c r="N190">
        <v>2750</v>
      </c>
    </row>
    <row r="191" spans="1:14" x14ac:dyDescent="0.25">
      <c r="A191">
        <v>21.141831</v>
      </c>
      <c r="B191" s="1">
        <f>DATE(2010,5,22) + TIME(3,24,14)</f>
        <v>40320.141828703701</v>
      </c>
      <c r="C191">
        <v>80</v>
      </c>
      <c r="D191">
        <v>79.912994385000005</v>
      </c>
      <c r="E191">
        <v>60</v>
      </c>
      <c r="F191">
        <v>14.996354103</v>
      </c>
      <c r="G191">
        <v>1404.6370850000001</v>
      </c>
      <c r="H191">
        <v>1388.6402588000001</v>
      </c>
      <c r="I191">
        <v>1238.7381591999999</v>
      </c>
      <c r="J191">
        <v>1193.5408935999999</v>
      </c>
      <c r="K191">
        <v>2750</v>
      </c>
      <c r="L191">
        <v>0</v>
      </c>
      <c r="M191">
        <v>0</v>
      </c>
      <c r="N191">
        <v>2750</v>
      </c>
    </row>
    <row r="192" spans="1:14" x14ac:dyDescent="0.25">
      <c r="A192">
        <v>21.484069999999999</v>
      </c>
      <c r="B192" s="1">
        <f>DATE(2010,5,22) + TIME(11,37,3)</f>
        <v>40320.4840625</v>
      </c>
      <c r="C192">
        <v>80</v>
      </c>
      <c r="D192">
        <v>79.913032532000003</v>
      </c>
      <c r="E192">
        <v>60</v>
      </c>
      <c r="F192">
        <v>14.996376037999999</v>
      </c>
      <c r="G192">
        <v>1404.5189209</v>
      </c>
      <c r="H192">
        <v>1388.5266113</v>
      </c>
      <c r="I192">
        <v>1238.7431641000001</v>
      </c>
      <c r="J192">
        <v>1193.5457764</v>
      </c>
      <c r="K192">
        <v>2750</v>
      </c>
      <c r="L192">
        <v>0</v>
      </c>
      <c r="M192">
        <v>0</v>
      </c>
      <c r="N192">
        <v>2750</v>
      </c>
    </row>
    <row r="193" spans="1:14" x14ac:dyDescent="0.25">
      <c r="A193">
        <v>21.832920999999999</v>
      </c>
      <c r="B193" s="1">
        <f>DATE(2010,5,22) + TIME(19,59,24)</f>
        <v>40320.832916666666</v>
      </c>
      <c r="C193">
        <v>80</v>
      </c>
      <c r="D193">
        <v>79.913063049000002</v>
      </c>
      <c r="E193">
        <v>60</v>
      </c>
      <c r="F193">
        <v>14.996397018</v>
      </c>
      <c r="G193">
        <v>1404.4005127</v>
      </c>
      <c r="H193">
        <v>1388.4128418</v>
      </c>
      <c r="I193">
        <v>1238.7482910000001</v>
      </c>
      <c r="J193">
        <v>1193.5507812000001</v>
      </c>
      <c r="K193">
        <v>2750</v>
      </c>
      <c r="L193">
        <v>0</v>
      </c>
      <c r="M193">
        <v>0</v>
      </c>
      <c r="N193">
        <v>2750</v>
      </c>
    </row>
    <row r="194" spans="1:14" x14ac:dyDescent="0.25">
      <c r="A194">
        <v>22.188877999999999</v>
      </c>
      <c r="B194" s="1">
        <f>DATE(2010,5,23) + TIME(4,31,59)</f>
        <v>40321.188877314817</v>
      </c>
      <c r="C194">
        <v>80</v>
      </c>
      <c r="D194">
        <v>79.913093567000004</v>
      </c>
      <c r="E194">
        <v>60</v>
      </c>
      <c r="F194">
        <v>14.996417999</v>
      </c>
      <c r="G194">
        <v>1404.2816161999999</v>
      </c>
      <c r="H194">
        <v>1388.2987060999999</v>
      </c>
      <c r="I194">
        <v>1238.7536620999999</v>
      </c>
      <c r="J194">
        <v>1193.5559082</v>
      </c>
      <c r="K194">
        <v>2750</v>
      </c>
      <c r="L194">
        <v>0</v>
      </c>
      <c r="M194">
        <v>0</v>
      </c>
      <c r="N194">
        <v>2750</v>
      </c>
    </row>
    <row r="195" spans="1:14" x14ac:dyDescent="0.25">
      <c r="A195">
        <v>22.551708000000001</v>
      </c>
      <c r="B195" s="1">
        <f>DATE(2010,5,23) + TIME(13,14,27)</f>
        <v>40321.551701388889</v>
      </c>
      <c r="C195">
        <v>80</v>
      </c>
      <c r="D195">
        <v>79.913131714000002</v>
      </c>
      <c r="E195">
        <v>60</v>
      </c>
      <c r="F195">
        <v>14.996438980000001</v>
      </c>
      <c r="G195">
        <v>1404.1622314000001</v>
      </c>
      <c r="H195">
        <v>1388.184082</v>
      </c>
      <c r="I195">
        <v>1238.7590332</v>
      </c>
      <c r="J195">
        <v>1193.5611572</v>
      </c>
      <c r="K195">
        <v>2750</v>
      </c>
      <c r="L195">
        <v>0</v>
      </c>
      <c r="M195">
        <v>0</v>
      </c>
      <c r="N195">
        <v>2750</v>
      </c>
    </row>
    <row r="196" spans="1:14" x14ac:dyDescent="0.25">
      <c r="A196">
        <v>22.921348999999999</v>
      </c>
      <c r="B196" s="1">
        <f>DATE(2010,5,23) + TIME(22,6,44)</f>
        <v>40321.921342592592</v>
      </c>
      <c r="C196">
        <v>80</v>
      </c>
      <c r="D196">
        <v>79.913162231000001</v>
      </c>
      <c r="E196">
        <v>60</v>
      </c>
      <c r="F196">
        <v>14.996460915</v>
      </c>
      <c r="G196">
        <v>1404.0424805</v>
      </c>
      <c r="H196">
        <v>1388.0690918</v>
      </c>
      <c r="I196">
        <v>1238.7645264</v>
      </c>
      <c r="J196">
        <v>1193.5665283000001</v>
      </c>
      <c r="K196">
        <v>2750</v>
      </c>
      <c r="L196">
        <v>0</v>
      </c>
      <c r="M196">
        <v>0</v>
      </c>
      <c r="N196">
        <v>2750</v>
      </c>
    </row>
    <row r="197" spans="1:14" x14ac:dyDescent="0.25">
      <c r="A197">
        <v>23.296489000000001</v>
      </c>
      <c r="B197" s="1">
        <f>DATE(2010,5,24) + TIME(7,6,56)</f>
        <v>40322.296481481484</v>
      </c>
      <c r="C197">
        <v>80</v>
      </c>
      <c r="D197">
        <v>79.913200377999999</v>
      </c>
      <c r="E197">
        <v>60</v>
      </c>
      <c r="F197">
        <v>14.996481895000001</v>
      </c>
      <c r="G197">
        <v>1403.9223632999999</v>
      </c>
      <c r="H197">
        <v>1387.9537353999999</v>
      </c>
      <c r="I197">
        <v>1238.7701416</v>
      </c>
      <c r="J197">
        <v>1193.5720214999999</v>
      </c>
      <c r="K197">
        <v>2750</v>
      </c>
      <c r="L197">
        <v>0</v>
      </c>
      <c r="M197">
        <v>0</v>
      </c>
      <c r="N197">
        <v>2750</v>
      </c>
    </row>
    <row r="198" spans="1:14" x14ac:dyDescent="0.25">
      <c r="A198">
        <v>23.672630000000002</v>
      </c>
      <c r="B198" s="1">
        <f>DATE(2010,5,24) + TIME(16,8,35)</f>
        <v>40322.672627314816</v>
      </c>
      <c r="C198">
        <v>80</v>
      </c>
      <c r="D198">
        <v>79.913230896000002</v>
      </c>
      <c r="E198">
        <v>60</v>
      </c>
      <c r="F198">
        <v>14.996502875999999</v>
      </c>
      <c r="G198">
        <v>1403.8022461</v>
      </c>
      <c r="H198">
        <v>1387.8386230000001</v>
      </c>
      <c r="I198">
        <v>1238.7758789</v>
      </c>
      <c r="J198">
        <v>1193.5775146000001</v>
      </c>
      <c r="K198">
        <v>2750</v>
      </c>
      <c r="L198">
        <v>0</v>
      </c>
      <c r="M198">
        <v>0</v>
      </c>
      <c r="N198">
        <v>2750</v>
      </c>
    </row>
    <row r="199" spans="1:14" x14ac:dyDescent="0.25">
      <c r="A199">
        <v>24.050422999999999</v>
      </c>
      <c r="B199" s="1">
        <f>DATE(2010,5,25) + TIME(1,12,36)</f>
        <v>40323.050416666665</v>
      </c>
      <c r="C199">
        <v>80</v>
      </c>
      <c r="D199">
        <v>79.913269043</v>
      </c>
      <c r="E199">
        <v>60</v>
      </c>
      <c r="F199">
        <v>14.996523857</v>
      </c>
      <c r="G199">
        <v>1403.6837158000001</v>
      </c>
      <c r="H199">
        <v>1387.7249756000001</v>
      </c>
      <c r="I199">
        <v>1238.7816161999999</v>
      </c>
      <c r="J199">
        <v>1193.5831298999999</v>
      </c>
      <c r="K199">
        <v>2750</v>
      </c>
      <c r="L199">
        <v>0</v>
      </c>
      <c r="M199">
        <v>0</v>
      </c>
      <c r="N199">
        <v>2750</v>
      </c>
    </row>
    <row r="200" spans="1:14" x14ac:dyDescent="0.25">
      <c r="A200">
        <v>24.430145</v>
      </c>
      <c r="B200" s="1">
        <f>DATE(2010,5,25) + TIME(10,19,24)</f>
        <v>40323.430138888885</v>
      </c>
      <c r="C200">
        <v>80</v>
      </c>
      <c r="D200">
        <v>79.913299561000002</v>
      </c>
      <c r="E200">
        <v>60</v>
      </c>
      <c r="F200">
        <v>14.996544838</v>
      </c>
      <c r="G200">
        <v>1403.5665283000001</v>
      </c>
      <c r="H200">
        <v>1387.6125488</v>
      </c>
      <c r="I200">
        <v>1238.7873535000001</v>
      </c>
      <c r="J200">
        <v>1193.5887451000001</v>
      </c>
      <c r="K200">
        <v>2750</v>
      </c>
      <c r="L200">
        <v>0</v>
      </c>
      <c r="M200">
        <v>0</v>
      </c>
      <c r="N200">
        <v>2750</v>
      </c>
    </row>
    <row r="201" spans="1:14" x14ac:dyDescent="0.25">
      <c r="A201">
        <v>24.810817</v>
      </c>
      <c r="B201" s="1">
        <f>DATE(2010,5,25) + TIME(19,27,34)</f>
        <v>40323.810810185183</v>
      </c>
      <c r="C201">
        <v>80</v>
      </c>
      <c r="D201">
        <v>79.913337708</v>
      </c>
      <c r="E201">
        <v>60</v>
      </c>
      <c r="F201">
        <v>14.996565819000001</v>
      </c>
      <c r="G201">
        <v>1403.4504394999999</v>
      </c>
      <c r="H201">
        <v>1387.5014647999999</v>
      </c>
      <c r="I201">
        <v>1238.7932129000001</v>
      </c>
      <c r="J201">
        <v>1193.5943603999999</v>
      </c>
      <c r="K201">
        <v>2750</v>
      </c>
      <c r="L201">
        <v>0</v>
      </c>
      <c r="M201">
        <v>0</v>
      </c>
      <c r="N201">
        <v>2750</v>
      </c>
    </row>
    <row r="202" spans="1:14" x14ac:dyDescent="0.25">
      <c r="A202">
        <v>25.193019</v>
      </c>
      <c r="B202" s="1">
        <f>DATE(2010,5,26) + TIME(4,37,56)</f>
        <v>40324.193009259259</v>
      </c>
      <c r="C202">
        <v>80</v>
      </c>
      <c r="D202">
        <v>79.913375853999995</v>
      </c>
      <c r="E202">
        <v>60</v>
      </c>
      <c r="F202">
        <v>14.996585846</v>
      </c>
      <c r="G202">
        <v>1403.3359375</v>
      </c>
      <c r="H202">
        <v>1387.3917236</v>
      </c>
      <c r="I202">
        <v>1238.7990723</v>
      </c>
      <c r="J202">
        <v>1193.6000977000001</v>
      </c>
      <c r="K202">
        <v>2750</v>
      </c>
      <c r="L202">
        <v>0</v>
      </c>
      <c r="M202">
        <v>0</v>
      </c>
      <c r="N202">
        <v>2750</v>
      </c>
    </row>
    <row r="203" spans="1:14" x14ac:dyDescent="0.25">
      <c r="A203">
        <v>25.577324000000001</v>
      </c>
      <c r="B203" s="1">
        <f>DATE(2010,5,26) + TIME(13,51,20)</f>
        <v>40324.577314814815</v>
      </c>
      <c r="C203">
        <v>80</v>
      </c>
      <c r="D203">
        <v>79.913406371999997</v>
      </c>
      <c r="E203">
        <v>60</v>
      </c>
      <c r="F203">
        <v>14.996606827000001</v>
      </c>
      <c r="G203">
        <v>1403.2225341999999</v>
      </c>
      <c r="H203">
        <v>1387.2830810999999</v>
      </c>
      <c r="I203">
        <v>1238.8049315999999</v>
      </c>
      <c r="J203">
        <v>1193.6057129000001</v>
      </c>
      <c r="K203">
        <v>2750</v>
      </c>
      <c r="L203">
        <v>0</v>
      </c>
      <c r="M203">
        <v>0</v>
      </c>
      <c r="N203">
        <v>2750</v>
      </c>
    </row>
    <row r="204" spans="1:14" x14ac:dyDescent="0.25">
      <c r="A204">
        <v>25.964306000000001</v>
      </c>
      <c r="B204" s="1">
        <f>DATE(2010,5,26) + TIME(23,8,36)</f>
        <v>40324.964305555557</v>
      </c>
      <c r="C204">
        <v>80</v>
      </c>
      <c r="D204">
        <v>79.913444518999995</v>
      </c>
      <c r="E204">
        <v>60</v>
      </c>
      <c r="F204">
        <v>14.996626854000001</v>
      </c>
      <c r="G204">
        <v>1403.1102295000001</v>
      </c>
      <c r="H204">
        <v>1387.1756591999999</v>
      </c>
      <c r="I204">
        <v>1238.8109131000001</v>
      </c>
      <c r="J204">
        <v>1193.6115723</v>
      </c>
      <c r="K204">
        <v>2750</v>
      </c>
      <c r="L204">
        <v>0</v>
      </c>
      <c r="M204">
        <v>0</v>
      </c>
      <c r="N204">
        <v>2750</v>
      </c>
    </row>
    <row r="205" spans="1:14" x14ac:dyDescent="0.25">
      <c r="A205">
        <v>26.354545000000002</v>
      </c>
      <c r="B205" s="1">
        <f>DATE(2010,5,27) + TIME(8,30,32)</f>
        <v>40325.354537037034</v>
      </c>
      <c r="C205">
        <v>80</v>
      </c>
      <c r="D205">
        <v>79.913482665999993</v>
      </c>
      <c r="E205">
        <v>60</v>
      </c>
      <c r="F205">
        <v>14.996646881</v>
      </c>
      <c r="G205">
        <v>1402.9986572</v>
      </c>
      <c r="H205">
        <v>1387.0689697</v>
      </c>
      <c r="I205">
        <v>1238.8168945</v>
      </c>
      <c r="J205">
        <v>1193.6173096</v>
      </c>
      <c r="K205">
        <v>2750</v>
      </c>
      <c r="L205">
        <v>0</v>
      </c>
      <c r="M205">
        <v>0</v>
      </c>
      <c r="N205">
        <v>2750</v>
      </c>
    </row>
    <row r="206" spans="1:14" x14ac:dyDescent="0.25">
      <c r="A206">
        <v>26.748635</v>
      </c>
      <c r="B206" s="1">
        <f>DATE(2010,5,27) + TIME(17,58,2)</f>
        <v>40325.74863425926</v>
      </c>
      <c r="C206">
        <v>80</v>
      </c>
      <c r="D206">
        <v>79.913520813000005</v>
      </c>
      <c r="E206">
        <v>60</v>
      </c>
      <c r="F206">
        <v>14.996666908</v>
      </c>
      <c r="G206">
        <v>1402.8879394999999</v>
      </c>
      <c r="H206">
        <v>1386.9630127</v>
      </c>
      <c r="I206">
        <v>1238.8229980000001</v>
      </c>
      <c r="J206">
        <v>1193.6231689000001</v>
      </c>
      <c r="K206">
        <v>2750</v>
      </c>
      <c r="L206">
        <v>0</v>
      </c>
      <c r="M206">
        <v>0</v>
      </c>
      <c r="N206">
        <v>2750</v>
      </c>
    </row>
    <row r="207" spans="1:14" x14ac:dyDescent="0.25">
      <c r="A207">
        <v>27.147190999999999</v>
      </c>
      <c r="B207" s="1">
        <f>DATE(2010,5,28) + TIME(3,31,57)</f>
        <v>40326.147187499999</v>
      </c>
      <c r="C207">
        <v>80</v>
      </c>
      <c r="D207">
        <v>79.913558960000003</v>
      </c>
      <c r="E207">
        <v>60</v>
      </c>
      <c r="F207">
        <v>14.996686935</v>
      </c>
      <c r="G207">
        <v>1402.7775879000001</v>
      </c>
      <c r="H207">
        <v>1386.8576660000001</v>
      </c>
      <c r="I207">
        <v>1238.8291016000001</v>
      </c>
      <c r="J207">
        <v>1193.6291504000001</v>
      </c>
      <c r="K207">
        <v>2750</v>
      </c>
      <c r="L207">
        <v>0</v>
      </c>
      <c r="M207">
        <v>0</v>
      </c>
      <c r="N207">
        <v>2750</v>
      </c>
    </row>
    <row r="208" spans="1:14" x14ac:dyDescent="0.25">
      <c r="A208">
        <v>27.550885000000001</v>
      </c>
      <c r="B208" s="1">
        <f>DATE(2010,5,28) + TIME(13,13,16)</f>
        <v>40326.550879629627</v>
      </c>
      <c r="C208">
        <v>80</v>
      </c>
      <c r="D208">
        <v>79.913597107000001</v>
      </c>
      <c r="E208">
        <v>60</v>
      </c>
      <c r="F208">
        <v>14.996706962999999</v>
      </c>
      <c r="G208">
        <v>1402.6676024999999</v>
      </c>
      <c r="H208">
        <v>1386.7525635</v>
      </c>
      <c r="I208">
        <v>1238.8353271000001</v>
      </c>
      <c r="J208">
        <v>1193.6351318</v>
      </c>
      <c r="K208">
        <v>2750</v>
      </c>
      <c r="L208">
        <v>0</v>
      </c>
      <c r="M208">
        <v>0</v>
      </c>
      <c r="N208">
        <v>2750</v>
      </c>
    </row>
    <row r="209" spans="1:14" x14ac:dyDescent="0.25">
      <c r="A209">
        <v>27.960507</v>
      </c>
      <c r="B209" s="1">
        <f>DATE(2010,5,28) + TIME(23,3,7)</f>
        <v>40326.960497685184</v>
      </c>
      <c r="C209">
        <v>80</v>
      </c>
      <c r="D209">
        <v>79.913635253999999</v>
      </c>
      <c r="E209">
        <v>60</v>
      </c>
      <c r="F209">
        <v>14.996726036</v>
      </c>
      <c r="G209">
        <v>1402.5578613</v>
      </c>
      <c r="H209">
        <v>1386.6477050999999</v>
      </c>
      <c r="I209">
        <v>1238.8416748</v>
      </c>
      <c r="J209">
        <v>1193.6412353999999</v>
      </c>
      <c r="K209">
        <v>2750</v>
      </c>
      <c r="L209">
        <v>0</v>
      </c>
      <c r="M209">
        <v>0</v>
      </c>
      <c r="N209">
        <v>2750</v>
      </c>
    </row>
    <row r="210" spans="1:14" x14ac:dyDescent="0.25">
      <c r="A210">
        <v>28.376617</v>
      </c>
      <c r="B210" s="1">
        <f>DATE(2010,5,29) + TIME(9,2,19)</f>
        <v>40327.376608796294</v>
      </c>
      <c r="C210">
        <v>80</v>
      </c>
      <c r="D210">
        <v>79.913673400999997</v>
      </c>
      <c r="E210">
        <v>60</v>
      </c>
      <c r="F210">
        <v>14.996746063</v>
      </c>
      <c r="G210">
        <v>1402.4479980000001</v>
      </c>
      <c r="H210">
        <v>1386.5428466999999</v>
      </c>
      <c r="I210">
        <v>1238.8480225000001</v>
      </c>
      <c r="J210">
        <v>1193.6474608999999</v>
      </c>
      <c r="K210">
        <v>2750</v>
      </c>
      <c r="L210">
        <v>0</v>
      </c>
      <c r="M210">
        <v>0</v>
      </c>
      <c r="N210">
        <v>2750</v>
      </c>
    </row>
    <row r="211" spans="1:14" x14ac:dyDescent="0.25">
      <c r="A211">
        <v>28.799972</v>
      </c>
      <c r="B211" s="1">
        <f>DATE(2010,5,29) + TIME(19,11,57)</f>
        <v>40327.79996527778</v>
      </c>
      <c r="C211">
        <v>80</v>
      </c>
      <c r="D211">
        <v>79.913711547999995</v>
      </c>
      <c r="E211">
        <v>60</v>
      </c>
      <c r="F211">
        <v>14.996766089999999</v>
      </c>
      <c r="G211">
        <v>1402.3380127</v>
      </c>
      <c r="H211">
        <v>1386.4378661999999</v>
      </c>
      <c r="I211">
        <v>1238.8546143000001</v>
      </c>
      <c r="J211">
        <v>1193.6538086</v>
      </c>
      <c r="K211">
        <v>2750</v>
      </c>
      <c r="L211">
        <v>0</v>
      </c>
      <c r="M211">
        <v>0</v>
      </c>
      <c r="N211">
        <v>2750</v>
      </c>
    </row>
    <row r="212" spans="1:14" x14ac:dyDescent="0.25">
      <c r="A212">
        <v>29.231421999999998</v>
      </c>
      <c r="B212" s="1">
        <f>DATE(2010,5,30) + TIME(5,33,14)</f>
        <v>40328.231412037036</v>
      </c>
      <c r="C212">
        <v>80</v>
      </c>
      <c r="D212">
        <v>79.913757324000002</v>
      </c>
      <c r="E212">
        <v>60</v>
      </c>
      <c r="F212">
        <v>14.996786117999999</v>
      </c>
      <c r="G212">
        <v>1402.2277832</v>
      </c>
      <c r="H212">
        <v>1386.3326416</v>
      </c>
      <c r="I212">
        <v>1238.8613281</v>
      </c>
      <c r="J212">
        <v>1193.6602783000001</v>
      </c>
      <c r="K212">
        <v>2750</v>
      </c>
      <c r="L212">
        <v>0</v>
      </c>
      <c r="M212">
        <v>0</v>
      </c>
      <c r="N212">
        <v>2750</v>
      </c>
    </row>
    <row r="213" spans="1:14" x14ac:dyDescent="0.25">
      <c r="A213">
        <v>29.670891999999998</v>
      </c>
      <c r="B213" s="1">
        <f>DATE(2010,5,30) + TIME(16,6,5)</f>
        <v>40328.670891203707</v>
      </c>
      <c r="C213">
        <v>80</v>
      </c>
      <c r="D213">
        <v>79.913795471</v>
      </c>
      <c r="E213">
        <v>60</v>
      </c>
      <c r="F213">
        <v>14.996806145000001</v>
      </c>
      <c r="G213">
        <v>1402.1169434000001</v>
      </c>
      <c r="H213">
        <v>1386.2269286999999</v>
      </c>
      <c r="I213">
        <v>1238.8681641000001</v>
      </c>
      <c r="J213">
        <v>1193.6668701000001</v>
      </c>
      <c r="K213">
        <v>2750</v>
      </c>
      <c r="L213">
        <v>0</v>
      </c>
      <c r="M213">
        <v>0</v>
      </c>
      <c r="N213">
        <v>2750</v>
      </c>
    </row>
    <row r="214" spans="1:14" x14ac:dyDescent="0.25">
      <c r="A214">
        <v>30.118338999999999</v>
      </c>
      <c r="B214" s="1">
        <f>DATE(2010,5,31) + TIME(2,50,24)</f>
        <v>40329.118333333332</v>
      </c>
      <c r="C214">
        <v>80</v>
      </c>
      <c r="D214">
        <v>79.913841247999997</v>
      </c>
      <c r="E214">
        <v>60</v>
      </c>
      <c r="F214">
        <v>14.996826172</v>
      </c>
      <c r="G214">
        <v>1402.0057373</v>
      </c>
      <c r="H214">
        <v>1386.1208495999999</v>
      </c>
      <c r="I214">
        <v>1238.8751221</v>
      </c>
      <c r="J214">
        <v>1193.6737060999999</v>
      </c>
      <c r="K214">
        <v>2750</v>
      </c>
      <c r="L214">
        <v>0</v>
      </c>
      <c r="M214">
        <v>0</v>
      </c>
      <c r="N214">
        <v>2750</v>
      </c>
    </row>
    <row r="215" spans="1:14" x14ac:dyDescent="0.25">
      <c r="A215">
        <v>30.567952999999999</v>
      </c>
      <c r="B215" s="1">
        <f>DATE(2010,5,31) + TIME(13,37,51)</f>
        <v>40329.56795138889</v>
      </c>
      <c r="C215">
        <v>80</v>
      </c>
      <c r="D215">
        <v>79.913887024000005</v>
      </c>
      <c r="E215">
        <v>60</v>
      </c>
      <c r="F215">
        <v>14.996846199</v>
      </c>
      <c r="G215">
        <v>1401.894043</v>
      </c>
      <c r="H215">
        <v>1386.0145264</v>
      </c>
      <c r="I215">
        <v>1238.8822021000001</v>
      </c>
      <c r="J215">
        <v>1193.6805420000001</v>
      </c>
      <c r="K215">
        <v>2750</v>
      </c>
      <c r="L215">
        <v>0</v>
      </c>
      <c r="M215">
        <v>0</v>
      </c>
      <c r="N215">
        <v>2750</v>
      </c>
    </row>
    <row r="216" spans="1:14" x14ac:dyDescent="0.25">
      <c r="A216">
        <v>31</v>
      </c>
      <c r="B216" s="1">
        <f>DATE(2010,6,1) + TIME(0,0,0)</f>
        <v>40330</v>
      </c>
      <c r="C216">
        <v>80</v>
      </c>
      <c r="D216">
        <v>79.913925171000002</v>
      </c>
      <c r="E216">
        <v>60</v>
      </c>
      <c r="F216">
        <v>14.996866226</v>
      </c>
      <c r="G216">
        <v>1401.7833252</v>
      </c>
      <c r="H216">
        <v>1385.9090576000001</v>
      </c>
      <c r="I216">
        <v>1238.8894043</v>
      </c>
      <c r="J216">
        <v>1193.6875</v>
      </c>
      <c r="K216">
        <v>2750</v>
      </c>
      <c r="L216">
        <v>0</v>
      </c>
      <c r="M216">
        <v>0</v>
      </c>
      <c r="N216">
        <v>2750</v>
      </c>
    </row>
    <row r="217" spans="1:14" x14ac:dyDescent="0.25">
      <c r="A217">
        <v>31.450332</v>
      </c>
      <c r="B217" s="1">
        <f>DATE(2010,6,1) + TIME(10,48,28)</f>
        <v>40330.450324074074</v>
      </c>
      <c r="C217">
        <v>80</v>
      </c>
      <c r="D217">
        <v>79.913970946999996</v>
      </c>
      <c r="E217">
        <v>60</v>
      </c>
      <c r="F217">
        <v>14.996885300000001</v>
      </c>
      <c r="G217">
        <v>1401.6784668</v>
      </c>
      <c r="H217">
        <v>1385.8092041</v>
      </c>
      <c r="I217">
        <v>1238.8963623</v>
      </c>
      <c r="J217">
        <v>1193.6942139</v>
      </c>
      <c r="K217">
        <v>2750</v>
      </c>
      <c r="L217">
        <v>0</v>
      </c>
      <c r="M217">
        <v>0</v>
      </c>
      <c r="N217">
        <v>2750</v>
      </c>
    </row>
    <row r="218" spans="1:14" x14ac:dyDescent="0.25">
      <c r="A218">
        <v>31.901619</v>
      </c>
      <c r="B218" s="1">
        <f>DATE(2010,6,1) + TIME(21,38,19)</f>
        <v>40330.901608796295</v>
      </c>
      <c r="C218">
        <v>80</v>
      </c>
      <c r="D218">
        <v>79.914016724000007</v>
      </c>
      <c r="E218">
        <v>60</v>
      </c>
      <c r="F218">
        <v>14.996905327</v>
      </c>
      <c r="G218">
        <v>1401.5708007999999</v>
      </c>
      <c r="H218">
        <v>1385.706543</v>
      </c>
      <c r="I218">
        <v>1238.9035644999999</v>
      </c>
      <c r="J218">
        <v>1193.7011719</v>
      </c>
      <c r="K218">
        <v>2750</v>
      </c>
      <c r="L218">
        <v>0</v>
      </c>
      <c r="M218">
        <v>0</v>
      </c>
      <c r="N218">
        <v>2750</v>
      </c>
    </row>
    <row r="219" spans="1:14" x14ac:dyDescent="0.25">
      <c r="A219">
        <v>32.354416999999998</v>
      </c>
      <c r="B219" s="1">
        <f>DATE(2010,6,2) + TIME(8,30,21)</f>
        <v>40331.354409722226</v>
      </c>
      <c r="C219">
        <v>80</v>
      </c>
      <c r="D219">
        <v>79.914054871000005</v>
      </c>
      <c r="E219">
        <v>60</v>
      </c>
      <c r="F219">
        <v>14.996924399999999</v>
      </c>
      <c r="G219">
        <v>1401.4642334</v>
      </c>
      <c r="H219">
        <v>1385.6052245999999</v>
      </c>
      <c r="I219">
        <v>1238.9108887</v>
      </c>
      <c r="J219">
        <v>1193.7082519999999</v>
      </c>
      <c r="K219">
        <v>2750</v>
      </c>
      <c r="L219">
        <v>0</v>
      </c>
      <c r="M219">
        <v>0</v>
      </c>
      <c r="N219">
        <v>2750</v>
      </c>
    </row>
    <row r="220" spans="1:14" x14ac:dyDescent="0.25">
      <c r="A220">
        <v>32.809398000000002</v>
      </c>
      <c r="B220" s="1">
        <f>DATE(2010,6,2) + TIME(19,25,31)</f>
        <v>40331.809386574074</v>
      </c>
      <c r="C220">
        <v>80</v>
      </c>
      <c r="D220">
        <v>79.914100646999998</v>
      </c>
      <c r="E220">
        <v>60</v>
      </c>
      <c r="F220">
        <v>14.996943474</v>
      </c>
      <c r="G220">
        <v>1401.3587646000001</v>
      </c>
      <c r="H220">
        <v>1385.5048827999999</v>
      </c>
      <c r="I220">
        <v>1238.9182129000001</v>
      </c>
      <c r="J220">
        <v>1193.715332</v>
      </c>
      <c r="K220">
        <v>2750</v>
      </c>
      <c r="L220">
        <v>0</v>
      </c>
      <c r="M220">
        <v>0</v>
      </c>
      <c r="N220">
        <v>2750</v>
      </c>
    </row>
    <row r="221" spans="1:14" x14ac:dyDescent="0.25">
      <c r="A221">
        <v>33.267246</v>
      </c>
      <c r="B221" s="1">
        <f>DATE(2010,6,3) + TIME(6,24,50)</f>
        <v>40332.267245370371</v>
      </c>
      <c r="C221">
        <v>80</v>
      </c>
      <c r="D221">
        <v>79.914146423000005</v>
      </c>
      <c r="E221">
        <v>60</v>
      </c>
      <c r="F221">
        <v>14.996962547000001</v>
      </c>
      <c r="G221">
        <v>1401.2542725000001</v>
      </c>
      <c r="H221">
        <v>1385.4053954999999</v>
      </c>
      <c r="I221">
        <v>1238.9255370999999</v>
      </c>
      <c r="J221">
        <v>1193.7224120999999</v>
      </c>
      <c r="K221">
        <v>2750</v>
      </c>
      <c r="L221">
        <v>0</v>
      </c>
      <c r="M221">
        <v>0</v>
      </c>
      <c r="N221">
        <v>2750</v>
      </c>
    </row>
    <row r="222" spans="1:14" x14ac:dyDescent="0.25">
      <c r="A222">
        <v>33.728653999999999</v>
      </c>
      <c r="B222" s="1">
        <f>DATE(2010,6,3) + TIME(17,29,15)</f>
        <v>40332.728645833333</v>
      </c>
      <c r="C222">
        <v>80</v>
      </c>
      <c r="D222">
        <v>79.914192200000002</v>
      </c>
      <c r="E222">
        <v>60</v>
      </c>
      <c r="F222">
        <v>14.996981621</v>
      </c>
      <c r="G222">
        <v>1401.1505127</v>
      </c>
      <c r="H222">
        <v>1385.3067627</v>
      </c>
      <c r="I222">
        <v>1238.9329834</v>
      </c>
      <c r="J222">
        <v>1193.7296143000001</v>
      </c>
      <c r="K222">
        <v>2750</v>
      </c>
      <c r="L222">
        <v>0</v>
      </c>
      <c r="M222">
        <v>0</v>
      </c>
      <c r="N222">
        <v>2750</v>
      </c>
    </row>
    <row r="223" spans="1:14" x14ac:dyDescent="0.25">
      <c r="A223">
        <v>34.194330000000001</v>
      </c>
      <c r="B223" s="1">
        <f>DATE(2010,6,4) + TIME(4,39,50)</f>
        <v>40333.194328703707</v>
      </c>
      <c r="C223">
        <v>80</v>
      </c>
      <c r="D223">
        <v>79.914237975999995</v>
      </c>
      <c r="E223">
        <v>60</v>
      </c>
      <c r="F223">
        <v>14.997000694</v>
      </c>
      <c r="G223">
        <v>1401.0473632999999</v>
      </c>
      <c r="H223">
        <v>1385.2086182</v>
      </c>
      <c r="I223">
        <v>1238.9405518000001</v>
      </c>
      <c r="J223">
        <v>1193.7368164</v>
      </c>
      <c r="K223">
        <v>2750</v>
      </c>
      <c r="L223">
        <v>0</v>
      </c>
      <c r="M223">
        <v>0</v>
      </c>
      <c r="N223">
        <v>2750</v>
      </c>
    </row>
    <row r="224" spans="1:14" x14ac:dyDescent="0.25">
      <c r="A224">
        <v>34.665002999999999</v>
      </c>
      <c r="B224" s="1">
        <f>DATE(2010,6,4) + TIME(15,57,36)</f>
        <v>40333.665000000001</v>
      </c>
      <c r="C224">
        <v>80</v>
      </c>
      <c r="D224">
        <v>79.914283752000003</v>
      </c>
      <c r="E224">
        <v>60</v>
      </c>
      <c r="F224">
        <v>14.997018814</v>
      </c>
      <c r="G224">
        <v>1400.9445800999999</v>
      </c>
      <c r="H224">
        <v>1385.1109618999999</v>
      </c>
      <c r="I224">
        <v>1238.9481201000001</v>
      </c>
      <c r="J224">
        <v>1193.7442627</v>
      </c>
      <c r="K224">
        <v>2750</v>
      </c>
      <c r="L224">
        <v>0</v>
      </c>
      <c r="M224">
        <v>0</v>
      </c>
      <c r="N224">
        <v>2750</v>
      </c>
    </row>
    <row r="225" spans="1:14" x14ac:dyDescent="0.25">
      <c r="A225">
        <v>35.141534</v>
      </c>
      <c r="B225" s="1">
        <f>DATE(2010,6,5) + TIME(3,23,48)</f>
        <v>40334.141527777778</v>
      </c>
      <c r="C225">
        <v>80</v>
      </c>
      <c r="D225">
        <v>79.914329529</v>
      </c>
      <c r="E225">
        <v>60</v>
      </c>
      <c r="F225">
        <v>14.997037887999999</v>
      </c>
      <c r="G225">
        <v>1400.8420410000001</v>
      </c>
      <c r="H225">
        <v>1385.0135498</v>
      </c>
      <c r="I225">
        <v>1238.9559326000001</v>
      </c>
      <c r="J225">
        <v>1193.7517089999999</v>
      </c>
      <c r="K225">
        <v>2750</v>
      </c>
      <c r="L225">
        <v>0</v>
      </c>
      <c r="M225">
        <v>0</v>
      </c>
      <c r="N225">
        <v>2750</v>
      </c>
    </row>
    <row r="226" spans="1:14" x14ac:dyDescent="0.25">
      <c r="A226">
        <v>35.624743000000002</v>
      </c>
      <c r="B226" s="1">
        <f>DATE(2010,6,5) + TIME(14,59,37)</f>
        <v>40334.6247337963</v>
      </c>
      <c r="C226">
        <v>80</v>
      </c>
      <c r="D226">
        <v>79.914382935000006</v>
      </c>
      <c r="E226">
        <v>60</v>
      </c>
      <c r="F226">
        <v>14.997056961</v>
      </c>
      <c r="G226">
        <v>1400.739624</v>
      </c>
      <c r="H226">
        <v>1384.9162598</v>
      </c>
      <c r="I226">
        <v>1238.9637451000001</v>
      </c>
      <c r="J226">
        <v>1193.7592772999999</v>
      </c>
      <c r="K226">
        <v>2750</v>
      </c>
      <c r="L226">
        <v>0</v>
      </c>
      <c r="M226">
        <v>0</v>
      </c>
      <c r="N226">
        <v>2750</v>
      </c>
    </row>
    <row r="227" spans="1:14" x14ac:dyDescent="0.25">
      <c r="A227">
        <v>36.115358999999998</v>
      </c>
      <c r="B227" s="1">
        <f>DATE(2010,6,6) + TIME(2,46,7)</f>
        <v>40335.115358796298</v>
      </c>
      <c r="C227">
        <v>80</v>
      </c>
      <c r="D227">
        <v>79.914428710999999</v>
      </c>
      <c r="E227">
        <v>60</v>
      </c>
      <c r="F227">
        <v>14.997076034999999</v>
      </c>
      <c r="G227">
        <v>1400.637207</v>
      </c>
      <c r="H227">
        <v>1384.8189697</v>
      </c>
      <c r="I227">
        <v>1238.9718018000001</v>
      </c>
      <c r="J227">
        <v>1193.7669678</v>
      </c>
      <c r="K227">
        <v>2750</v>
      </c>
      <c r="L227">
        <v>0</v>
      </c>
      <c r="M227">
        <v>0</v>
      </c>
      <c r="N227">
        <v>2750</v>
      </c>
    </row>
    <row r="228" spans="1:14" x14ac:dyDescent="0.25">
      <c r="A228">
        <v>36.614246000000001</v>
      </c>
      <c r="B228" s="1">
        <f>DATE(2010,6,6) + TIME(14,44,30)</f>
        <v>40335.614236111112</v>
      </c>
      <c r="C228">
        <v>80</v>
      </c>
      <c r="D228">
        <v>79.914482117000006</v>
      </c>
      <c r="E228">
        <v>60</v>
      </c>
      <c r="F228">
        <v>14.997094153999999</v>
      </c>
      <c r="G228">
        <v>1400.5344238</v>
      </c>
      <c r="H228">
        <v>1384.7214355000001</v>
      </c>
      <c r="I228">
        <v>1238.9799805</v>
      </c>
      <c r="J228">
        <v>1193.7749022999999</v>
      </c>
      <c r="K228">
        <v>2750</v>
      </c>
      <c r="L228">
        <v>0</v>
      </c>
      <c r="M228">
        <v>0</v>
      </c>
      <c r="N228">
        <v>2750</v>
      </c>
    </row>
    <row r="229" spans="1:14" x14ac:dyDescent="0.25">
      <c r="A229">
        <v>37.122464999999998</v>
      </c>
      <c r="B229" s="1">
        <f>DATE(2010,6,7) + TIME(2,56,20)</f>
        <v>40336.122453703705</v>
      </c>
      <c r="C229">
        <v>80</v>
      </c>
      <c r="D229">
        <v>79.914527892999999</v>
      </c>
      <c r="E229">
        <v>60</v>
      </c>
      <c r="F229">
        <v>14.997113228</v>
      </c>
      <c r="G229">
        <v>1400.4313964999999</v>
      </c>
      <c r="H229">
        <v>1384.6236572</v>
      </c>
      <c r="I229">
        <v>1238.9882812000001</v>
      </c>
      <c r="J229">
        <v>1193.7829589999999</v>
      </c>
      <c r="K229">
        <v>2750</v>
      </c>
      <c r="L229">
        <v>0</v>
      </c>
      <c r="M229">
        <v>0</v>
      </c>
      <c r="N229">
        <v>2750</v>
      </c>
    </row>
    <row r="230" spans="1:14" x14ac:dyDescent="0.25">
      <c r="A230">
        <v>37.639273000000003</v>
      </c>
      <c r="B230" s="1">
        <f>DATE(2010,6,7) + TIME(15,20,33)</f>
        <v>40336.639270833337</v>
      </c>
      <c r="C230">
        <v>80</v>
      </c>
      <c r="D230">
        <v>79.914581299000005</v>
      </c>
      <c r="E230">
        <v>60</v>
      </c>
      <c r="F230">
        <v>14.997132301000001</v>
      </c>
      <c r="G230">
        <v>1400.3277588000001</v>
      </c>
      <c r="H230">
        <v>1384.5253906</v>
      </c>
      <c r="I230">
        <v>1238.9968262</v>
      </c>
      <c r="J230">
        <v>1193.7911377</v>
      </c>
      <c r="K230">
        <v>2750</v>
      </c>
      <c r="L230">
        <v>0</v>
      </c>
      <c r="M230">
        <v>0</v>
      </c>
      <c r="N230">
        <v>2750</v>
      </c>
    </row>
    <row r="231" spans="1:14" x14ac:dyDescent="0.25">
      <c r="A231">
        <v>37.902113</v>
      </c>
      <c r="B231" s="1">
        <f>DATE(2010,6,7) + TIME(21,39,2)</f>
        <v>40336.902106481481</v>
      </c>
      <c r="C231">
        <v>80</v>
      </c>
      <c r="D231">
        <v>79.914596558</v>
      </c>
      <c r="E231">
        <v>60</v>
      </c>
      <c r="F231">
        <v>14.997144699</v>
      </c>
      <c r="G231">
        <v>1400.2233887</v>
      </c>
      <c r="H231">
        <v>1384.4261475000001</v>
      </c>
      <c r="I231">
        <v>1239.0050048999999</v>
      </c>
      <c r="J231">
        <v>1193.7989502</v>
      </c>
      <c r="K231">
        <v>2750</v>
      </c>
      <c r="L231">
        <v>0</v>
      </c>
      <c r="M231">
        <v>0</v>
      </c>
      <c r="N231">
        <v>2750</v>
      </c>
    </row>
    <row r="232" spans="1:14" x14ac:dyDescent="0.25">
      <c r="A232">
        <v>38.164954000000002</v>
      </c>
      <c r="B232" s="1">
        <f>DATE(2010,6,8) + TIME(3,57,31)</f>
        <v>40337.164942129632</v>
      </c>
      <c r="C232">
        <v>80</v>
      </c>
      <c r="D232">
        <v>79.914627074999999</v>
      </c>
      <c r="E232">
        <v>60</v>
      </c>
      <c r="F232">
        <v>14.997156143</v>
      </c>
      <c r="G232">
        <v>1400.1700439000001</v>
      </c>
      <c r="H232">
        <v>1384.3754882999999</v>
      </c>
      <c r="I232">
        <v>1239.0095214999999</v>
      </c>
      <c r="J232">
        <v>1193.8033447</v>
      </c>
      <c r="K232">
        <v>2750</v>
      </c>
      <c r="L232">
        <v>0</v>
      </c>
      <c r="M232">
        <v>0</v>
      </c>
      <c r="N232">
        <v>2750</v>
      </c>
    </row>
    <row r="233" spans="1:14" x14ac:dyDescent="0.25">
      <c r="A233">
        <v>38.427793999999999</v>
      </c>
      <c r="B233" s="1">
        <f>DATE(2010,6,8) + TIME(10,16,1)</f>
        <v>40337.427789351852</v>
      </c>
      <c r="C233">
        <v>80</v>
      </c>
      <c r="D233">
        <v>79.914649963000002</v>
      </c>
      <c r="E233">
        <v>60</v>
      </c>
      <c r="F233">
        <v>14.997166633999999</v>
      </c>
      <c r="G233">
        <v>1400.1179199000001</v>
      </c>
      <c r="H233">
        <v>1384.3260498</v>
      </c>
      <c r="I233">
        <v>1239.0139160000001</v>
      </c>
      <c r="J233">
        <v>1193.8076172000001</v>
      </c>
      <c r="K233">
        <v>2750</v>
      </c>
      <c r="L233">
        <v>0</v>
      </c>
      <c r="M233">
        <v>0</v>
      </c>
      <c r="N233">
        <v>2750</v>
      </c>
    </row>
    <row r="234" spans="1:14" x14ac:dyDescent="0.25">
      <c r="A234">
        <v>38.690634000000003</v>
      </c>
      <c r="B234" s="1">
        <f>DATE(2010,6,8) + TIME(16,34,30)</f>
        <v>40337.690625000003</v>
      </c>
      <c r="C234">
        <v>80</v>
      </c>
      <c r="D234">
        <v>79.914672851999995</v>
      </c>
      <c r="E234">
        <v>60</v>
      </c>
      <c r="F234">
        <v>14.997177124</v>
      </c>
      <c r="G234">
        <v>1400.0661620999999</v>
      </c>
      <c r="H234">
        <v>1384.2769774999999</v>
      </c>
      <c r="I234">
        <v>1239.0184326000001</v>
      </c>
      <c r="J234">
        <v>1193.8120117000001</v>
      </c>
      <c r="K234">
        <v>2750</v>
      </c>
      <c r="L234">
        <v>0</v>
      </c>
      <c r="M234">
        <v>0</v>
      </c>
      <c r="N234">
        <v>2750</v>
      </c>
    </row>
    <row r="235" spans="1:14" x14ac:dyDescent="0.25">
      <c r="A235">
        <v>38.953474999999997</v>
      </c>
      <c r="B235" s="1">
        <f>DATE(2010,6,8) + TIME(22,53,0)</f>
        <v>40337.953472222223</v>
      </c>
      <c r="C235">
        <v>80</v>
      </c>
      <c r="D235">
        <v>79.914703368999994</v>
      </c>
      <c r="E235">
        <v>60</v>
      </c>
      <c r="F235">
        <v>14.997187614</v>
      </c>
      <c r="G235">
        <v>1400.0147704999999</v>
      </c>
      <c r="H235">
        <v>1384.2282714999999</v>
      </c>
      <c r="I235">
        <v>1239.0229492000001</v>
      </c>
      <c r="J235">
        <v>1193.8162841999999</v>
      </c>
      <c r="K235">
        <v>2750</v>
      </c>
      <c r="L235">
        <v>0</v>
      </c>
      <c r="M235">
        <v>0</v>
      </c>
      <c r="N235">
        <v>2750</v>
      </c>
    </row>
    <row r="236" spans="1:14" x14ac:dyDescent="0.25">
      <c r="A236">
        <v>39.216315000000002</v>
      </c>
      <c r="B236" s="1">
        <f>DATE(2010,6,9) + TIME(5,11,29)</f>
        <v>40338.216307870367</v>
      </c>
      <c r="C236">
        <v>80</v>
      </c>
      <c r="D236">
        <v>79.914726256999998</v>
      </c>
      <c r="E236">
        <v>60</v>
      </c>
      <c r="F236">
        <v>14.997198105000001</v>
      </c>
      <c r="G236">
        <v>1399.9637451000001</v>
      </c>
      <c r="H236">
        <v>1384.1798096</v>
      </c>
      <c r="I236">
        <v>1239.0273437999999</v>
      </c>
      <c r="J236">
        <v>1193.8205565999999</v>
      </c>
      <c r="K236">
        <v>2750</v>
      </c>
      <c r="L236">
        <v>0</v>
      </c>
      <c r="M236">
        <v>0</v>
      </c>
      <c r="N236">
        <v>2750</v>
      </c>
    </row>
    <row r="237" spans="1:14" x14ac:dyDescent="0.25">
      <c r="A237">
        <v>39.479156000000003</v>
      </c>
      <c r="B237" s="1">
        <f>DATE(2010,6,9) + TIME(11,29,59)</f>
        <v>40338.479155092595</v>
      </c>
      <c r="C237">
        <v>80</v>
      </c>
      <c r="D237">
        <v>79.914756775000001</v>
      </c>
      <c r="E237">
        <v>60</v>
      </c>
      <c r="F237">
        <v>14.997207641999999</v>
      </c>
      <c r="G237">
        <v>1399.9130858999999</v>
      </c>
      <c r="H237">
        <v>1384.1318358999999</v>
      </c>
      <c r="I237">
        <v>1239.0318603999999</v>
      </c>
      <c r="J237">
        <v>1193.8249512</v>
      </c>
      <c r="K237">
        <v>2750</v>
      </c>
      <c r="L237">
        <v>0</v>
      </c>
      <c r="M237">
        <v>0</v>
      </c>
      <c r="N237">
        <v>2750</v>
      </c>
    </row>
    <row r="238" spans="1:14" x14ac:dyDescent="0.25">
      <c r="A238">
        <v>39.741996</v>
      </c>
      <c r="B238" s="1">
        <f>DATE(2010,6,9) + TIME(17,48,28)</f>
        <v>40338.741990740738</v>
      </c>
      <c r="C238">
        <v>80</v>
      </c>
      <c r="D238">
        <v>79.914779663000004</v>
      </c>
      <c r="E238">
        <v>60</v>
      </c>
      <c r="F238">
        <v>14.997217178</v>
      </c>
      <c r="G238">
        <v>1399.8626709</v>
      </c>
      <c r="H238">
        <v>1384.0839844</v>
      </c>
      <c r="I238">
        <v>1239.0363769999999</v>
      </c>
      <c r="J238">
        <v>1193.8292236</v>
      </c>
      <c r="K238">
        <v>2750</v>
      </c>
      <c r="L238">
        <v>0</v>
      </c>
      <c r="M238">
        <v>0</v>
      </c>
      <c r="N238">
        <v>2750</v>
      </c>
    </row>
    <row r="239" spans="1:14" x14ac:dyDescent="0.25">
      <c r="A239">
        <v>40.004835999999997</v>
      </c>
      <c r="B239" s="1">
        <f>DATE(2010,6,10) + TIME(0,6,57)</f>
        <v>40339.004826388889</v>
      </c>
      <c r="C239">
        <v>80</v>
      </c>
      <c r="D239">
        <v>79.914810181000007</v>
      </c>
      <c r="E239">
        <v>60</v>
      </c>
      <c r="F239">
        <v>14.997226715</v>
      </c>
      <c r="G239">
        <v>1399.8127440999999</v>
      </c>
      <c r="H239">
        <v>1384.036499</v>
      </c>
      <c r="I239">
        <v>1239.0408935999999</v>
      </c>
      <c r="J239">
        <v>1193.8336182</v>
      </c>
      <c r="K239">
        <v>2750</v>
      </c>
      <c r="L239">
        <v>0</v>
      </c>
      <c r="M239">
        <v>0</v>
      </c>
      <c r="N239">
        <v>2750</v>
      </c>
    </row>
    <row r="240" spans="1:14" x14ac:dyDescent="0.25">
      <c r="A240">
        <v>40.530517000000003</v>
      </c>
      <c r="B240" s="1">
        <f>DATE(2010,6,10) + TIME(12,43,56)</f>
        <v>40339.530509259261</v>
      </c>
      <c r="C240">
        <v>80</v>
      </c>
      <c r="D240">
        <v>79.914871215999995</v>
      </c>
      <c r="E240">
        <v>60</v>
      </c>
      <c r="F240">
        <v>14.997241020000001</v>
      </c>
      <c r="G240">
        <v>1399.7639160000001</v>
      </c>
      <c r="H240">
        <v>1383.9903564000001</v>
      </c>
      <c r="I240">
        <v>1239.0458983999999</v>
      </c>
      <c r="J240">
        <v>1193.8383789</v>
      </c>
      <c r="K240">
        <v>2750</v>
      </c>
      <c r="L240">
        <v>0</v>
      </c>
      <c r="M240">
        <v>0</v>
      </c>
      <c r="N240">
        <v>2750</v>
      </c>
    </row>
    <row r="241" spans="1:14" x14ac:dyDescent="0.25">
      <c r="A241">
        <v>41.057071999999998</v>
      </c>
      <c r="B241" s="1">
        <f>DATE(2010,6,11) + TIME(1,22,11)</f>
        <v>40340.057071759256</v>
      </c>
      <c r="C241">
        <v>80</v>
      </c>
      <c r="D241">
        <v>79.914932250999996</v>
      </c>
      <c r="E241">
        <v>60</v>
      </c>
      <c r="F241">
        <v>14.997257232999999</v>
      </c>
      <c r="G241">
        <v>1399.6658935999999</v>
      </c>
      <c r="H241">
        <v>1383.8975829999999</v>
      </c>
      <c r="I241">
        <v>1239.0548096</v>
      </c>
      <c r="J241">
        <v>1193.8470459</v>
      </c>
      <c r="K241">
        <v>2750</v>
      </c>
      <c r="L241">
        <v>0</v>
      </c>
      <c r="M241">
        <v>0</v>
      </c>
      <c r="N241">
        <v>2750</v>
      </c>
    </row>
    <row r="242" spans="1:14" x14ac:dyDescent="0.25">
      <c r="A242">
        <v>41.587167000000001</v>
      </c>
      <c r="B242" s="1">
        <f>DATE(2010,6,11) + TIME(14,5,31)</f>
        <v>40340.587164351855</v>
      </c>
      <c r="C242">
        <v>80</v>
      </c>
      <c r="D242">
        <v>79.914985657000003</v>
      </c>
      <c r="E242">
        <v>60</v>
      </c>
      <c r="F242">
        <v>14.997274399</v>
      </c>
      <c r="G242">
        <v>1399.5686035000001</v>
      </c>
      <c r="H242">
        <v>1383.8054199000001</v>
      </c>
      <c r="I242">
        <v>1239.0639647999999</v>
      </c>
      <c r="J242">
        <v>1193.8557129000001</v>
      </c>
      <c r="K242">
        <v>2750</v>
      </c>
      <c r="L242">
        <v>0</v>
      </c>
      <c r="M242">
        <v>0</v>
      </c>
      <c r="N242">
        <v>2750</v>
      </c>
    </row>
    <row r="243" spans="1:14" x14ac:dyDescent="0.25">
      <c r="A243">
        <v>42.121580000000002</v>
      </c>
      <c r="B243" s="1">
        <f>DATE(2010,6,12) + TIME(2,55,4)</f>
        <v>40341.121574074074</v>
      </c>
      <c r="C243">
        <v>80</v>
      </c>
      <c r="D243">
        <v>79.915039062000005</v>
      </c>
      <c r="E243">
        <v>60</v>
      </c>
      <c r="F243">
        <v>14.997291564999999</v>
      </c>
      <c r="G243">
        <v>1399.4716797000001</v>
      </c>
      <c r="H243">
        <v>1383.7137451000001</v>
      </c>
      <c r="I243">
        <v>1239.0731201000001</v>
      </c>
      <c r="J243">
        <v>1193.864624</v>
      </c>
      <c r="K243">
        <v>2750</v>
      </c>
      <c r="L243">
        <v>0</v>
      </c>
      <c r="M243">
        <v>0</v>
      </c>
      <c r="N243">
        <v>2750</v>
      </c>
    </row>
    <row r="244" spans="1:14" x14ac:dyDescent="0.25">
      <c r="A244">
        <v>42.661123000000003</v>
      </c>
      <c r="B244" s="1">
        <f>DATE(2010,6,12) + TIME(15,52,1)</f>
        <v>40341.661122685182</v>
      </c>
      <c r="C244">
        <v>80</v>
      </c>
      <c r="D244">
        <v>79.915092467999997</v>
      </c>
      <c r="E244">
        <v>60</v>
      </c>
      <c r="F244">
        <v>14.997308731</v>
      </c>
      <c r="G244">
        <v>1399.3752440999999</v>
      </c>
      <c r="H244">
        <v>1383.6224365</v>
      </c>
      <c r="I244">
        <v>1239.0823975000001</v>
      </c>
      <c r="J244">
        <v>1193.8735352000001</v>
      </c>
      <c r="K244">
        <v>2750</v>
      </c>
      <c r="L244">
        <v>0</v>
      </c>
      <c r="M244">
        <v>0</v>
      </c>
      <c r="N244">
        <v>2750</v>
      </c>
    </row>
    <row r="245" spans="1:14" x14ac:dyDescent="0.25">
      <c r="A245">
        <v>43.206637000000001</v>
      </c>
      <c r="B245" s="1">
        <f>DATE(2010,6,13) + TIME(4,57,33)</f>
        <v>40342.206631944442</v>
      </c>
      <c r="C245">
        <v>80</v>
      </c>
      <c r="D245">
        <v>79.915153502999999</v>
      </c>
      <c r="E245">
        <v>60</v>
      </c>
      <c r="F245">
        <v>14.997325897</v>
      </c>
      <c r="G245">
        <v>1399.2790527</v>
      </c>
      <c r="H245">
        <v>1383.5313721</v>
      </c>
      <c r="I245">
        <v>1239.0917969</v>
      </c>
      <c r="J245">
        <v>1193.8825684000001</v>
      </c>
      <c r="K245">
        <v>2750</v>
      </c>
      <c r="L245">
        <v>0</v>
      </c>
      <c r="M245">
        <v>0</v>
      </c>
      <c r="N245">
        <v>2750</v>
      </c>
    </row>
    <row r="246" spans="1:14" x14ac:dyDescent="0.25">
      <c r="A246">
        <v>43.759175999999997</v>
      </c>
      <c r="B246" s="1">
        <f>DATE(2010,6,13) + TIME(18,13,12)</f>
        <v>40342.759166666663</v>
      </c>
      <c r="C246">
        <v>80</v>
      </c>
      <c r="D246">
        <v>79.915206909000005</v>
      </c>
      <c r="E246">
        <v>60</v>
      </c>
      <c r="F246">
        <v>14.997344017</v>
      </c>
      <c r="G246">
        <v>1399.1829834</v>
      </c>
      <c r="H246">
        <v>1383.4404297000001</v>
      </c>
      <c r="I246">
        <v>1239.1014404</v>
      </c>
      <c r="J246">
        <v>1193.8917236</v>
      </c>
      <c r="K246">
        <v>2750</v>
      </c>
      <c r="L246">
        <v>0</v>
      </c>
      <c r="M246">
        <v>0</v>
      </c>
      <c r="N246">
        <v>2750</v>
      </c>
    </row>
    <row r="247" spans="1:14" x14ac:dyDescent="0.25">
      <c r="A247">
        <v>44.319574000000003</v>
      </c>
      <c r="B247" s="1">
        <f>DATE(2010,6,14) + TIME(7,40,11)</f>
        <v>40343.319571759261</v>
      </c>
      <c r="C247">
        <v>80</v>
      </c>
      <c r="D247">
        <v>79.915267943999993</v>
      </c>
      <c r="E247">
        <v>60</v>
      </c>
      <c r="F247">
        <v>14.997362137</v>
      </c>
      <c r="G247">
        <v>1399.0869141000001</v>
      </c>
      <c r="H247">
        <v>1383.3494873</v>
      </c>
      <c r="I247">
        <v>1239.1110839999999</v>
      </c>
      <c r="J247">
        <v>1193.9011230000001</v>
      </c>
      <c r="K247">
        <v>2750</v>
      </c>
      <c r="L247">
        <v>0</v>
      </c>
      <c r="M247">
        <v>0</v>
      </c>
      <c r="N247">
        <v>2750</v>
      </c>
    </row>
    <row r="248" spans="1:14" x14ac:dyDescent="0.25">
      <c r="A248">
        <v>44.888716000000002</v>
      </c>
      <c r="B248" s="1">
        <f>DATE(2010,6,14) + TIME(21,19,45)</f>
        <v>40343.888715277775</v>
      </c>
      <c r="C248">
        <v>80</v>
      </c>
      <c r="D248">
        <v>79.915328978999995</v>
      </c>
      <c r="E248">
        <v>60</v>
      </c>
      <c r="F248">
        <v>14.997380257</v>
      </c>
      <c r="G248">
        <v>1398.9906006000001</v>
      </c>
      <c r="H248">
        <v>1383.2584228999999</v>
      </c>
      <c r="I248">
        <v>1239.1210937999999</v>
      </c>
      <c r="J248">
        <v>1193.9106445</v>
      </c>
      <c r="K248">
        <v>2750</v>
      </c>
      <c r="L248">
        <v>0</v>
      </c>
      <c r="M248">
        <v>0</v>
      </c>
      <c r="N248">
        <v>2750</v>
      </c>
    </row>
    <row r="249" spans="1:14" x14ac:dyDescent="0.25">
      <c r="A249">
        <v>45.46763</v>
      </c>
      <c r="B249" s="1">
        <f>DATE(2010,6,15) + TIME(11,13,23)</f>
        <v>40344.467627314814</v>
      </c>
      <c r="C249">
        <v>80</v>
      </c>
      <c r="D249">
        <v>79.915390015</v>
      </c>
      <c r="E249">
        <v>60</v>
      </c>
      <c r="F249">
        <v>14.997397423000001</v>
      </c>
      <c r="G249">
        <v>1398.894043</v>
      </c>
      <c r="H249">
        <v>1383.1671143000001</v>
      </c>
      <c r="I249">
        <v>1239.1312256000001</v>
      </c>
      <c r="J249">
        <v>1193.9204102000001</v>
      </c>
      <c r="K249">
        <v>2750</v>
      </c>
      <c r="L249">
        <v>0</v>
      </c>
      <c r="M249">
        <v>0</v>
      </c>
      <c r="N249">
        <v>2750</v>
      </c>
    </row>
    <row r="250" spans="1:14" x14ac:dyDescent="0.25">
      <c r="A250">
        <v>46.057602000000003</v>
      </c>
      <c r="B250" s="1">
        <f>DATE(2010,6,16) + TIME(1,22,56)</f>
        <v>40345.057592592595</v>
      </c>
      <c r="C250">
        <v>80</v>
      </c>
      <c r="D250">
        <v>79.915451050000001</v>
      </c>
      <c r="E250">
        <v>60</v>
      </c>
      <c r="F250">
        <v>14.997415543000001</v>
      </c>
      <c r="G250">
        <v>1398.7969971</v>
      </c>
      <c r="H250">
        <v>1383.0753173999999</v>
      </c>
      <c r="I250">
        <v>1239.1414795000001</v>
      </c>
      <c r="J250">
        <v>1193.9302978999999</v>
      </c>
      <c r="K250">
        <v>2750</v>
      </c>
      <c r="L250">
        <v>0</v>
      </c>
      <c r="M250">
        <v>0</v>
      </c>
      <c r="N250">
        <v>2750</v>
      </c>
    </row>
    <row r="251" spans="1:14" x14ac:dyDescent="0.25">
      <c r="A251">
        <v>46.658582000000003</v>
      </c>
      <c r="B251" s="1">
        <f>DATE(2010,6,16) + TIME(15,48,21)</f>
        <v>40345.658576388887</v>
      </c>
      <c r="C251">
        <v>80</v>
      </c>
      <c r="D251">
        <v>79.915512085000003</v>
      </c>
      <c r="E251">
        <v>60</v>
      </c>
      <c r="F251">
        <v>14.997434616</v>
      </c>
      <c r="G251">
        <v>1398.6992187999999</v>
      </c>
      <c r="H251">
        <v>1382.9830322</v>
      </c>
      <c r="I251">
        <v>1239.1520995999999</v>
      </c>
      <c r="J251">
        <v>1193.9405518000001</v>
      </c>
      <c r="K251">
        <v>2750</v>
      </c>
      <c r="L251">
        <v>0</v>
      </c>
      <c r="M251">
        <v>0</v>
      </c>
      <c r="N251">
        <v>2750</v>
      </c>
    </row>
    <row r="252" spans="1:14" x14ac:dyDescent="0.25">
      <c r="A252">
        <v>46.960273999999998</v>
      </c>
      <c r="B252" s="1">
        <f>DATE(2010,6,16) + TIME(23,2,47)</f>
        <v>40345.960266203707</v>
      </c>
      <c r="C252">
        <v>80</v>
      </c>
      <c r="D252">
        <v>79.915534973000007</v>
      </c>
      <c r="E252">
        <v>60</v>
      </c>
      <c r="F252">
        <v>14.99744606</v>
      </c>
      <c r="G252">
        <v>1398.6004639</v>
      </c>
      <c r="H252">
        <v>1382.8896483999999</v>
      </c>
      <c r="I252">
        <v>1239.1624756000001</v>
      </c>
      <c r="J252">
        <v>1193.9503173999999</v>
      </c>
      <c r="K252">
        <v>2750</v>
      </c>
      <c r="L252">
        <v>0</v>
      </c>
      <c r="M252">
        <v>0</v>
      </c>
      <c r="N252">
        <v>2750</v>
      </c>
    </row>
    <row r="253" spans="1:14" x14ac:dyDescent="0.25">
      <c r="A253">
        <v>47.261965000000004</v>
      </c>
      <c r="B253" s="1">
        <f>DATE(2010,6,17) + TIME(6,17,13)</f>
        <v>40346.261956018519</v>
      </c>
      <c r="C253">
        <v>80</v>
      </c>
      <c r="D253">
        <v>79.915565490999995</v>
      </c>
      <c r="E253">
        <v>60</v>
      </c>
      <c r="F253">
        <v>14.997457504</v>
      </c>
      <c r="G253">
        <v>1398.5506591999999</v>
      </c>
      <c r="H253">
        <v>1382.8424072</v>
      </c>
      <c r="I253">
        <v>1239.1680908000001</v>
      </c>
      <c r="J253">
        <v>1193.9556885</v>
      </c>
      <c r="K253">
        <v>2750</v>
      </c>
      <c r="L253">
        <v>0</v>
      </c>
      <c r="M253">
        <v>0</v>
      </c>
      <c r="N253">
        <v>2750</v>
      </c>
    </row>
    <row r="254" spans="1:14" x14ac:dyDescent="0.25">
      <c r="A254">
        <v>47.563656000000002</v>
      </c>
      <c r="B254" s="1">
        <f>DATE(2010,6,17) + TIME(13,31,39)</f>
        <v>40346.563645833332</v>
      </c>
      <c r="C254">
        <v>80</v>
      </c>
      <c r="D254">
        <v>79.915596007999994</v>
      </c>
      <c r="E254">
        <v>60</v>
      </c>
      <c r="F254">
        <v>14.997467994999999</v>
      </c>
      <c r="G254">
        <v>1398.5019531</v>
      </c>
      <c r="H254">
        <v>1382.7963867000001</v>
      </c>
      <c r="I254">
        <v>1239.1734618999999</v>
      </c>
      <c r="J254">
        <v>1193.9610596</v>
      </c>
      <c r="K254">
        <v>2750</v>
      </c>
      <c r="L254">
        <v>0</v>
      </c>
      <c r="M254">
        <v>0</v>
      </c>
      <c r="N254">
        <v>2750</v>
      </c>
    </row>
    <row r="255" spans="1:14" x14ac:dyDescent="0.25">
      <c r="A255">
        <v>47.865347</v>
      </c>
      <c r="B255" s="1">
        <f>DATE(2010,6,17) + TIME(20,46,6)</f>
        <v>40346.865347222221</v>
      </c>
      <c r="C255">
        <v>80</v>
      </c>
      <c r="D255">
        <v>79.915626525999997</v>
      </c>
      <c r="E255">
        <v>60</v>
      </c>
      <c r="F255">
        <v>14.997477530999999</v>
      </c>
      <c r="G255">
        <v>1398.4536132999999</v>
      </c>
      <c r="H255">
        <v>1382.7506103999999</v>
      </c>
      <c r="I255">
        <v>1239.1790771000001</v>
      </c>
      <c r="J255">
        <v>1193.9663086</v>
      </c>
      <c r="K255">
        <v>2750</v>
      </c>
      <c r="L255">
        <v>0</v>
      </c>
      <c r="M255">
        <v>0</v>
      </c>
      <c r="N255">
        <v>2750</v>
      </c>
    </row>
    <row r="256" spans="1:14" x14ac:dyDescent="0.25">
      <c r="A256">
        <v>48.167037999999998</v>
      </c>
      <c r="B256" s="1">
        <f>DATE(2010,6,18) + TIME(4,0,32)</f>
        <v>40347.167037037034</v>
      </c>
      <c r="C256">
        <v>80</v>
      </c>
      <c r="D256">
        <v>79.915657042999996</v>
      </c>
      <c r="E256">
        <v>60</v>
      </c>
      <c r="F256">
        <v>14.997487068</v>
      </c>
      <c r="G256">
        <v>1398.4055175999999</v>
      </c>
      <c r="H256">
        <v>1382.7052002</v>
      </c>
      <c r="I256">
        <v>1239.1845702999999</v>
      </c>
      <c r="J256">
        <v>1193.9715576000001</v>
      </c>
      <c r="K256">
        <v>2750</v>
      </c>
      <c r="L256">
        <v>0</v>
      </c>
      <c r="M256">
        <v>0</v>
      </c>
      <c r="N256">
        <v>2750</v>
      </c>
    </row>
    <row r="257" spans="1:14" x14ac:dyDescent="0.25">
      <c r="A257">
        <v>48.468730000000001</v>
      </c>
      <c r="B257" s="1">
        <f>DATE(2010,6,18) + TIME(11,14,58)</f>
        <v>40347.468726851854</v>
      </c>
      <c r="C257">
        <v>80</v>
      </c>
      <c r="D257">
        <v>79.915687560999999</v>
      </c>
      <c r="E257">
        <v>60</v>
      </c>
      <c r="F257">
        <v>14.997496605</v>
      </c>
      <c r="G257">
        <v>1398.3577881000001</v>
      </c>
      <c r="H257">
        <v>1382.6600341999999</v>
      </c>
      <c r="I257">
        <v>1239.1900635</v>
      </c>
      <c r="J257">
        <v>1193.9769286999999</v>
      </c>
      <c r="K257">
        <v>2750</v>
      </c>
      <c r="L257">
        <v>0</v>
      </c>
      <c r="M257">
        <v>0</v>
      </c>
      <c r="N257">
        <v>2750</v>
      </c>
    </row>
    <row r="258" spans="1:14" x14ac:dyDescent="0.25">
      <c r="A258">
        <v>48.770420999999999</v>
      </c>
      <c r="B258" s="1">
        <f>DATE(2010,6,18) + TIME(18,29,24)</f>
        <v>40347.770416666666</v>
      </c>
      <c r="C258">
        <v>80</v>
      </c>
      <c r="D258">
        <v>79.915718079000001</v>
      </c>
      <c r="E258">
        <v>60</v>
      </c>
      <c r="F258">
        <v>14.997506142000001</v>
      </c>
      <c r="G258">
        <v>1398.3103027</v>
      </c>
      <c r="H258">
        <v>1382.6151123</v>
      </c>
      <c r="I258">
        <v>1239.1956786999999</v>
      </c>
      <c r="J258">
        <v>1193.9821777</v>
      </c>
      <c r="K258">
        <v>2750</v>
      </c>
      <c r="L258">
        <v>0</v>
      </c>
      <c r="M258">
        <v>0</v>
      </c>
      <c r="N258">
        <v>2750</v>
      </c>
    </row>
    <row r="259" spans="1:14" x14ac:dyDescent="0.25">
      <c r="A259">
        <v>49.373803000000002</v>
      </c>
      <c r="B259" s="1">
        <f>DATE(2010,6,19) + TIME(8,58,16)</f>
        <v>40348.373796296299</v>
      </c>
      <c r="C259">
        <v>80</v>
      </c>
      <c r="D259">
        <v>79.915794372999997</v>
      </c>
      <c r="E259">
        <v>60</v>
      </c>
      <c r="F259">
        <v>14.997520446999999</v>
      </c>
      <c r="G259">
        <v>1398.2639160000001</v>
      </c>
      <c r="H259">
        <v>1382.5714111</v>
      </c>
      <c r="I259">
        <v>1239.2016602000001</v>
      </c>
      <c r="J259">
        <v>1193.9880370999999</v>
      </c>
      <c r="K259">
        <v>2750</v>
      </c>
      <c r="L259">
        <v>0</v>
      </c>
      <c r="M259">
        <v>0</v>
      </c>
      <c r="N259">
        <v>2750</v>
      </c>
    </row>
    <row r="260" spans="1:14" x14ac:dyDescent="0.25">
      <c r="A260">
        <v>49.977989999999998</v>
      </c>
      <c r="B260" s="1">
        <f>DATE(2010,6,19) + TIME(23,28,18)</f>
        <v>40348.977986111109</v>
      </c>
      <c r="C260">
        <v>80</v>
      </c>
      <c r="D260">
        <v>79.915863036999994</v>
      </c>
      <c r="E260">
        <v>60</v>
      </c>
      <c r="F260">
        <v>14.997535706000001</v>
      </c>
      <c r="G260">
        <v>1398.1708983999999</v>
      </c>
      <c r="H260">
        <v>1382.4836425999999</v>
      </c>
      <c r="I260">
        <v>1239.2126464999999</v>
      </c>
      <c r="J260">
        <v>1193.9985352000001</v>
      </c>
      <c r="K260">
        <v>2750</v>
      </c>
      <c r="L260">
        <v>0</v>
      </c>
      <c r="M260">
        <v>0</v>
      </c>
      <c r="N260">
        <v>2750</v>
      </c>
    </row>
    <row r="261" spans="1:14" x14ac:dyDescent="0.25">
      <c r="A261">
        <v>50.585937000000001</v>
      </c>
      <c r="B261" s="1">
        <f>DATE(2010,6,20) + TIME(14,3,44)</f>
        <v>40349.585925925923</v>
      </c>
      <c r="C261">
        <v>80</v>
      </c>
      <c r="D261">
        <v>79.915924071999996</v>
      </c>
      <c r="E261">
        <v>60</v>
      </c>
      <c r="F261">
        <v>14.997551917999999</v>
      </c>
      <c r="G261">
        <v>1398.0783690999999</v>
      </c>
      <c r="H261">
        <v>1382.3962402</v>
      </c>
      <c r="I261">
        <v>1239.2238769999999</v>
      </c>
      <c r="J261">
        <v>1194.0092772999999</v>
      </c>
      <c r="K261">
        <v>2750</v>
      </c>
      <c r="L261">
        <v>0</v>
      </c>
      <c r="M261">
        <v>0</v>
      </c>
      <c r="N261">
        <v>2750</v>
      </c>
    </row>
    <row r="262" spans="1:14" x14ac:dyDescent="0.25">
      <c r="A262">
        <v>51.198566</v>
      </c>
      <c r="B262" s="1">
        <f>DATE(2010,6,21) + TIME(4,45,56)</f>
        <v>40350.198564814818</v>
      </c>
      <c r="C262">
        <v>80</v>
      </c>
      <c r="D262">
        <v>79.915992736999996</v>
      </c>
      <c r="E262">
        <v>60</v>
      </c>
      <c r="F262">
        <v>14.997568129999999</v>
      </c>
      <c r="G262">
        <v>1397.9863281</v>
      </c>
      <c r="H262">
        <v>1382.3094481999999</v>
      </c>
      <c r="I262">
        <v>1239.2352295000001</v>
      </c>
      <c r="J262">
        <v>1194.0201416</v>
      </c>
      <c r="K262">
        <v>2750</v>
      </c>
      <c r="L262">
        <v>0</v>
      </c>
      <c r="M262">
        <v>0</v>
      </c>
      <c r="N262">
        <v>2750</v>
      </c>
    </row>
    <row r="263" spans="1:14" x14ac:dyDescent="0.25">
      <c r="A263">
        <v>51.816827000000004</v>
      </c>
      <c r="B263" s="1">
        <f>DATE(2010,6,21) + TIME(19,36,13)</f>
        <v>40350.816817129627</v>
      </c>
      <c r="C263">
        <v>80</v>
      </c>
      <c r="D263">
        <v>79.916061400999993</v>
      </c>
      <c r="E263">
        <v>60</v>
      </c>
      <c r="F263">
        <v>14.997585297000001</v>
      </c>
      <c r="G263">
        <v>1397.8946533000001</v>
      </c>
      <c r="H263">
        <v>1382.2229004000001</v>
      </c>
      <c r="I263">
        <v>1239.2467041</v>
      </c>
      <c r="J263">
        <v>1194.0311279</v>
      </c>
      <c r="K263">
        <v>2750</v>
      </c>
      <c r="L263">
        <v>0</v>
      </c>
      <c r="M263">
        <v>0</v>
      </c>
      <c r="N263">
        <v>2750</v>
      </c>
    </row>
    <row r="264" spans="1:14" x14ac:dyDescent="0.25">
      <c r="A264">
        <v>52.441701000000002</v>
      </c>
      <c r="B264" s="1">
        <f>DATE(2010,6,22) + TIME(10,36,2)</f>
        <v>40351.441689814812</v>
      </c>
      <c r="C264">
        <v>80</v>
      </c>
      <c r="D264">
        <v>79.916122436999999</v>
      </c>
      <c r="E264">
        <v>60</v>
      </c>
      <c r="F264">
        <v>14.997602463</v>
      </c>
      <c r="G264">
        <v>1397.8032227000001</v>
      </c>
      <c r="H264">
        <v>1382.1364745999999</v>
      </c>
      <c r="I264">
        <v>1239.2583007999999</v>
      </c>
      <c r="J264">
        <v>1194.0422363</v>
      </c>
      <c r="K264">
        <v>2750</v>
      </c>
      <c r="L264">
        <v>0</v>
      </c>
      <c r="M264">
        <v>0</v>
      </c>
      <c r="N264">
        <v>2750</v>
      </c>
    </row>
    <row r="265" spans="1:14" x14ac:dyDescent="0.25">
      <c r="A265">
        <v>53.074426000000003</v>
      </c>
      <c r="B265" s="1">
        <f>DATE(2010,6,23) + TIME(1,47,10)</f>
        <v>40352.074421296296</v>
      </c>
      <c r="C265">
        <v>80</v>
      </c>
      <c r="D265">
        <v>79.916191100999995</v>
      </c>
      <c r="E265">
        <v>60</v>
      </c>
      <c r="F265">
        <v>14.997619629000001</v>
      </c>
      <c r="G265">
        <v>1397.7119141000001</v>
      </c>
      <c r="H265">
        <v>1382.050293</v>
      </c>
      <c r="I265">
        <v>1239.2701416</v>
      </c>
      <c r="J265">
        <v>1194.0535889</v>
      </c>
      <c r="K265">
        <v>2750</v>
      </c>
      <c r="L265">
        <v>0</v>
      </c>
      <c r="M265">
        <v>0</v>
      </c>
      <c r="N265">
        <v>2750</v>
      </c>
    </row>
    <row r="266" spans="1:14" x14ac:dyDescent="0.25">
      <c r="A266">
        <v>53.715952999999999</v>
      </c>
      <c r="B266" s="1">
        <f>DATE(2010,6,23) + TIME(17,10,58)</f>
        <v>40352.715949074074</v>
      </c>
      <c r="C266">
        <v>80</v>
      </c>
      <c r="D266">
        <v>79.916259765999996</v>
      </c>
      <c r="E266">
        <v>60</v>
      </c>
      <c r="F266">
        <v>14.997636795</v>
      </c>
      <c r="G266">
        <v>1397.6203613</v>
      </c>
      <c r="H266">
        <v>1381.9639893000001</v>
      </c>
      <c r="I266">
        <v>1239.2821045000001</v>
      </c>
      <c r="J266">
        <v>1194.0650635</v>
      </c>
      <c r="K266">
        <v>2750</v>
      </c>
      <c r="L266">
        <v>0</v>
      </c>
      <c r="M266">
        <v>0</v>
      </c>
      <c r="N266">
        <v>2750</v>
      </c>
    </row>
    <row r="267" spans="1:14" x14ac:dyDescent="0.25">
      <c r="A267">
        <v>54.367314</v>
      </c>
      <c r="B267" s="1">
        <f>DATE(2010,6,24) + TIME(8,48,55)</f>
        <v>40353.367303240739</v>
      </c>
      <c r="C267">
        <v>80</v>
      </c>
      <c r="D267">
        <v>79.916328429999993</v>
      </c>
      <c r="E267">
        <v>60</v>
      </c>
      <c r="F267">
        <v>14.997654915</v>
      </c>
      <c r="G267">
        <v>1397.5286865</v>
      </c>
      <c r="H267">
        <v>1381.8774414</v>
      </c>
      <c r="I267">
        <v>1239.2944336</v>
      </c>
      <c r="J267">
        <v>1194.0767822</v>
      </c>
      <c r="K267">
        <v>2750</v>
      </c>
      <c r="L267">
        <v>0</v>
      </c>
      <c r="M267">
        <v>0</v>
      </c>
      <c r="N267">
        <v>2750</v>
      </c>
    </row>
    <row r="268" spans="1:14" x14ac:dyDescent="0.25">
      <c r="A268">
        <v>55.029707000000002</v>
      </c>
      <c r="B268" s="1">
        <f>DATE(2010,6,25) + TIME(0,42,46)</f>
        <v>40354.029699074075</v>
      </c>
      <c r="C268">
        <v>80</v>
      </c>
      <c r="D268">
        <v>79.916404724000003</v>
      </c>
      <c r="E268">
        <v>60</v>
      </c>
      <c r="F268">
        <v>14.997672080999999</v>
      </c>
      <c r="G268">
        <v>1397.4366454999999</v>
      </c>
      <c r="H268">
        <v>1381.7906493999999</v>
      </c>
      <c r="I268">
        <v>1239.3068848</v>
      </c>
      <c r="J268">
        <v>1194.0887451000001</v>
      </c>
      <c r="K268">
        <v>2750</v>
      </c>
      <c r="L268">
        <v>0</v>
      </c>
      <c r="M268">
        <v>0</v>
      </c>
      <c r="N268">
        <v>2750</v>
      </c>
    </row>
    <row r="269" spans="1:14" x14ac:dyDescent="0.25">
      <c r="A269">
        <v>55.704636000000001</v>
      </c>
      <c r="B269" s="1">
        <f>DATE(2010,6,25) + TIME(16,54,40)</f>
        <v>40354.704629629632</v>
      </c>
      <c r="C269">
        <v>80</v>
      </c>
      <c r="D269">
        <v>79.916473389000004</v>
      </c>
      <c r="E269">
        <v>60</v>
      </c>
      <c r="F269">
        <v>14.997689247</v>
      </c>
      <c r="G269">
        <v>1397.3441161999999</v>
      </c>
      <c r="H269">
        <v>1381.7034911999999</v>
      </c>
      <c r="I269">
        <v>1239.3197021000001</v>
      </c>
      <c r="J269">
        <v>1194.1009521000001</v>
      </c>
      <c r="K269">
        <v>2750</v>
      </c>
      <c r="L269">
        <v>0</v>
      </c>
      <c r="M269">
        <v>0</v>
      </c>
      <c r="N269">
        <v>2750</v>
      </c>
    </row>
    <row r="270" spans="1:14" x14ac:dyDescent="0.25">
      <c r="A270">
        <v>56.044077000000001</v>
      </c>
      <c r="B270" s="1">
        <f>DATE(2010,6,26) + TIME(1,3,28)</f>
        <v>40355.044074074074</v>
      </c>
      <c r="C270">
        <v>80</v>
      </c>
      <c r="D270">
        <v>79.916503906000003</v>
      </c>
      <c r="E270">
        <v>60</v>
      </c>
      <c r="F270">
        <v>14.997701644999999</v>
      </c>
      <c r="G270">
        <v>1397.2506103999999</v>
      </c>
      <c r="H270">
        <v>1381.6151123</v>
      </c>
      <c r="I270">
        <v>1239.3322754000001</v>
      </c>
      <c r="J270">
        <v>1194.1130370999999</v>
      </c>
      <c r="K270">
        <v>2750</v>
      </c>
      <c r="L270">
        <v>0</v>
      </c>
      <c r="M270">
        <v>0</v>
      </c>
      <c r="N270">
        <v>2750</v>
      </c>
    </row>
    <row r="271" spans="1:14" x14ac:dyDescent="0.25">
      <c r="A271">
        <v>56.383519</v>
      </c>
      <c r="B271" s="1">
        <f>DATE(2010,6,26) + TIME(9,12,16)</f>
        <v>40355.383518518516</v>
      </c>
      <c r="C271">
        <v>80</v>
      </c>
      <c r="D271">
        <v>79.916534424000005</v>
      </c>
      <c r="E271">
        <v>60</v>
      </c>
      <c r="F271">
        <v>14.997712135</v>
      </c>
      <c r="G271">
        <v>1397.2032471</v>
      </c>
      <c r="H271">
        <v>1381.5703125</v>
      </c>
      <c r="I271">
        <v>1239.3391113</v>
      </c>
      <c r="J271">
        <v>1194.1195068</v>
      </c>
      <c r="K271">
        <v>2750</v>
      </c>
      <c r="L271">
        <v>0</v>
      </c>
      <c r="M271">
        <v>0</v>
      </c>
      <c r="N271">
        <v>2750</v>
      </c>
    </row>
    <row r="272" spans="1:14" x14ac:dyDescent="0.25">
      <c r="A272">
        <v>56.722960999999998</v>
      </c>
      <c r="B272" s="1">
        <f>DATE(2010,6,26) + TIME(17,21,3)</f>
        <v>40355.722951388889</v>
      </c>
      <c r="C272">
        <v>80</v>
      </c>
      <c r="D272">
        <v>79.916572571000003</v>
      </c>
      <c r="E272">
        <v>60</v>
      </c>
      <c r="F272">
        <v>14.997722626</v>
      </c>
      <c r="G272">
        <v>1397.1568603999999</v>
      </c>
      <c r="H272">
        <v>1381.5267334</v>
      </c>
      <c r="I272">
        <v>1239.3457031</v>
      </c>
      <c r="J272">
        <v>1194.1258545000001</v>
      </c>
      <c r="K272">
        <v>2750</v>
      </c>
      <c r="L272">
        <v>0</v>
      </c>
      <c r="M272">
        <v>0</v>
      </c>
      <c r="N272">
        <v>2750</v>
      </c>
    </row>
    <row r="273" spans="1:14" x14ac:dyDescent="0.25">
      <c r="A273">
        <v>57.062401999999999</v>
      </c>
      <c r="B273" s="1">
        <f>DATE(2010,6,27) + TIME(1,29,51)</f>
        <v>40356.062395833331</v>
      </c>
      <c r="C273">
        <v>80</v>
      </c>
      <c r="D273">
        <v>79.916610718000001</v>
      </c>
      <c r="E273">
        <v>60</v>
      </c>
      <c r="F273">
        <v>14.997732162</v>
      </c>
      <c r="G273">
        <v>1397.1109618999999</v>
      </c>
      <c r="H273">
        <v>1381.4832764</v>
      </c>
      <c r="I273">
        <v>1239.3524170000001</v>
      </c>
      <c r="J273">
        <v>1194.1322021000001</v>
      </c>
      <c r="K273">
        <v>2750</v>
      </c>
      <c r="L273">
        <v>0</v>
      </c>
      <c r="M273">
        <v>0</v>
      </c>
      <c r="N273">
        <v>2750</v>
      </c>
    </row>
    <row r="274" spans="1:14" x14ac:dyDescent="0.25">
      <c r="A274">
        <v>57.401843999999997</v>
      </c>
      <c r="B274" s="1">
        <f>DATE(2010,6,27) + TIME(9,38,39)</f>
        <v>40356.40184027778</v>
      </c>
      <c r="C274">
        <v>80</v>
      </c>
      <c r="D274">
        <v>79.916641235</v>
      </c>
      <c r="E274">
        <v>60</v>
      </c>
      <c r="F274">
        <v>14.997741699000001</v>
      </c>
      <c r="G274">
        <v>1397.0651855000001</v>
      </c>
      <c r="H274">
        <v>1381.4401855000001</v>
      </c>
      <c r="I274">
        <v>1239.3591309000001</v>
      </c>
      <c r="J274">
        <v>1194.1386719</v>
      </c>
      <c r="K274">
        <v>2750</v>
      </c>
      <c r="L274">
        <v>0</v>
      </c>
      <c r="M274">
        <v>0</v>
      </c>
      <c r="N274">
        <v>2750</v>
      </c>
    </row>
    <row r="275" spans="1:14" x14ac:dyDescent="0.25">
      <c r="A275">
        <v>57.741286000000002</v>
      </c>
      <c r="B275" s="1">
        <f>DATE(2010,6,27) + TIME(17,47,27)</f>
        <v>40356.741284722222</v>
      </c>
      <c r="C275">
        <v>80</v>
      </c>
      <c r="D275">
        <v>79.916679381999998</v>
      </c>
      <c r="E275">
        <v>60</v>
      </c>
      <c r="F275">
        <v>14.997750282</v>
      </c>
      <c r="G275">
        <v>1397.0197754000001</v>
      </c>
      <c r="H275">
        <v>1381.3972168</v>
      </c>
      <c r="I275">
        <v>1239.3658447</v>
      </c>
      <c r="J275">
        <v>1194.1450195</v>
      </c>
      <c r="K275">
        <v>2750</v>
      </c>
      <c r="L275">
        <v>0</v>
      </c>
      <c r="M275">
        <v>0</v>
      </c>
      <c r="N275">
        <v>2750</v>
      </c>
    </row>
    <row r="276" spans="1:14" x14ac:dyDescent="0.25">
      <c r="A276">
        <v>58.080728000000001</v>
      </c>
      <c r="B276" s="1">
        <f>DATE(2010,6,28) + TIME(1,56,14)</f>
        <v>40357.080717592595</v>
      </c>
      <c r="C276">
        <v>80</v>
      </c>
      <c r="D276">
        <v>79.916717528999996</v>
      </c>
      <c r="E276">
        <v>60</v>
      </c>
      <c r="F276">
        <v>14.997759819000001</v>
      </c>
      <c r="G276">
        <v>1396.9744873</v>
      </c>
      <c r="H276">
        <v>1381.3546143000001</v>
      </c>
      <c r="I276">
        <v>1239.3725586</v>
      </c>
      <c r="J276">
        <v>1194.1514893000001</v>
      </c>
      <c r="K276">
        <v>2750</v>
      </c>
      <c r="L276">
        <v>0</v>
      </c>
      <c r="M276">
        <v>0</v>
      </c>
      <c r="N276">
        <v>2750</v>
      </c>
    </row>
    <row r="277" spans="1:14" x14ac:dyDescent="0.25">
      <c r="A277">
        <v>58.420169000000001</v>
      </c>
      <c r="B277" s="1">
        <f>DATE(2010,6,28) + TIME(10,5,2)</f>
        <v>40357.420162037037</v>
      </c>
      <c r="C277">
        <v>80</v>
      </c>
      <c r="D277">
        <v>79.916755675999994</v>
      </c>
      <c r="E277">
        <v>60</v>
      </c>
      <c r="F277">
        <v>14.997768402</v>
      </c>
      <c r="G277">
        <v>1396.9295654</v>
      </c>
      <c r="H277">
        <v>1381.3121338000001</v>
      </c>
      <c r="I277">
        <v>1239.3793945</v>
      </c>
      <c r="J277">
        <v>1194.1579589999999</v>
      </c>
      <c r="K277">
        <v>2750</v>
      </c>
      <c r="L277">
        <v>0</v>
      </c>
      <c r="M277">
        <v>0</v>
      </c>
      <c r="N277">
        <v>2750</v>
      </c>
    </row>
    <row r="278" spans="1:14" x14ac:dyDescent="0.25">
      <c r="A278">
        <v>59.099052999999998</v>
      </c>
      <c r="B278" s="1">
        <f>DATE(2010,6,29) + TIME(2,22,38)</f>
        <v>40358.099050925928</v>
      </c>
      <c r="C278">
        <v>80</v>
      </c>
      <c r="D278">
        <v>79.916839600000003</v>
      </c>
      <c r="E278">
        <v>60</v>
      </c>
      <c r="F278">
        <v>14.997781754</v>
      </c>
      <c r="G278">
        <v>1396.8856201000001</v>
      </c>
      <c r="H278">
        <v>1381.2707519999999</v>
      </c>
      <c r="I278">
        <v>1239.3865966999999</v>
      </c>
      <c r="J278">
        <v>1194.1649170000001</v>
      </c>
      <c r="K278">
        <v>2750</v>
      </c>
      <c r="L278">
        <v>0</v>
      </c>
      <c r="M278">
        <v>0</v>
      </c>
      <c r="N278">
        <v>2750</v>
      </c>
    </row>
    <row r="279" spans="1:14" x14ac:dyDescent="0.25">
      <c r="A279">
        <v>59.778917999999997</v>
      </c>
      <c r="B279" s="1">
        <f>DATE(2010,6,29) + TIME(18,41,38)</f>
        <v>40358.778912037036</v>
      </c>
      <c r="C279">
        <v>80</v>
      </c>
      <c r="D279">
        <v>79.916915893999999</v>
      </c>
      <c r="E279">
        <v>60</v>
      </c>
      <c r="F279">
        <v>14.997796059000001</v>
      </c>
      <c r="G279">
        <v>1396.7974853999999</v>
      </c>
      <c r="H279">
        <v>1381.1877440999999</v>
      </c>
      <c r="I279">
        <v>1239.4001464999999</v>
      </c>
      <c r="J279">
        <v>1194.1777344</v>
      </c>
      <c r="K279">
        <v>2750</v>
      </c>
      <c r="L279">
        <v>0</v>
      </c>
      <c r="M279">
        <v>0</v>
      </c>
      <c r="N279">
        <v>2750</v>
      </c>
    </row>
    <row r="280" spans="1:14" x14ac:dyDescent="0.25">
      <c r="A280">
        <v>60.463475000000003</v>
      </c>
      <c r="B280" s="1">
        <f>DATE(2010,6,30) + TIME(11,7,24)</f>
        <v>40359.463472222225</v>
      </c>
      <c r="C280">
        <v>80</v>
      </c>
      <c r="D280">
        <v>79.916984557999996</v>
      </c>
      <c r="E280">
        <v>60</v>
      </c>
      <c r="F280">
        <v>14.997812271000001</v>
      </c>
      <c r="G280">
        <v>1396.7097168</v>
      </c>
      <c r="H280">
        <v>1381.1049805</v>
      </c>
      <c r="I280">
        <v>1239.4138184000001</v>
      </c>
      <c r="J280">
        <v>1194.1907959</v>
      </c>
      <c r="K280">
        <v>2750</v>
      </c>
      <c r="L280">
        <v>0</v>
      </c>
      <c r="M280">
        <v>0</v>
      </c>
      <c r="N280">
        <v>2750</v>
      </c>
    </row>
    <row r="281" spans="1:14" x14ac:dyDescent="0.25">
      <c r="A281">
        <v>61</v>
      </c>
      <c r="B281" s="1">
        <f>DATE(2010,7,1) + TIME(0,0,0)</f>
        <v>40360</v>
      </c>
      <c r="C281">
        <v>80</v>
      </c>
      <c r="D281">
        <v>79.917037964000002</v>
      </c>
      <c r="E281">
        <v>60</v>
      </c>
      <c r="F281">
        <v>14.997826576</v>
      </c>
      <c r="G281">
        <v>1396.6220702999999</v>
      </c>
      <c r="H281">
        <v>1381.0223389</v>
      </c>
      <c r="I281">
        <v>1239.4274902</v>
      </c>
      <c r="J281">
        <v>1194.2038574000001</v>
      </c>
      <c r="K281">
        <v>2750</v>
      </c>
      <c r="L281">
        <v>0</v>
      </c>
      <c r="M281">
        <v>0</v>
      </c>
      <c r="N281">
        <v>2750</v>
      </c>
    </row>
    <row r="282" spans="1:14" x14ac:dyDescent="0.25">
      <c r="A282">
        <v>61.690261999999997</v>
      </c>
      <c r="B282" s="1">
        <f>DATE(2010,7,1) + TIME(16,33,58)</f>
        <v>40360.690254629626</v>
      </c>
      <c r="C282">
        <v>80</v>
      </c>
      <c r="D282">
        <v>79.917121886999993</v>
      </c>
      <c r="E282">
        <v>60</v>
      </c>
      <c r="F282">
        <v>14.997841834999999</v>
      </c>
      <c r="G282">
        <v>1396.5541992000001</v>
      </c>
      <c r="H282">
        <v>1380.958374</v>
      </c>
      <c r="I282">
        <v>1239.4385986</v>
      </c>
      <c r="J282">
        <v>1194.2144774999999</v>
      </c>
      <c r="K282">
        <v>2750</v>
      </c>
      <c r="L282">
        <v>0</v>
      </c>
      <c r="M282">
        <v>0</v>
      </c>
      <c r="N282">
        <v>2750</v>
      </c>
    </row>
    <row r="283" spans="1:14" x14ac:dyDescent="0.25">
      <c r="A283">
        <v>62.393489000000002</v>
      </c>
      <c r="B283" s="1">
        <f>DATE(2010,7,2) + TIME(9,26,37)</f>
        <v>40361.393483796295</v>
      </c>
      <c r="C283">
        <v>80</v>
      </c>
      <c r="D283">
        <v>79.917198181000003</v>
      </c>
      <c r="E283">
        <v>60</v>
      </c>
      <c r="F283">
        <v>14.997858046999999</v>
      </c>
      <c r="G283">
        <v>1396.4678954999999</v>
      </c>
      <c r="H283">
        <v>1380.8770752</v>
      </c>
      <c r="I283">
        <v>1239.4527588000001</v>
      </c>
      <c r="J283">
        <v>1194.2279053</v>
      </c>
      <c r="K283">
        <v>2750</v>
      </c>
      <c r="L283">
        <v>0</v>
      </c>
      <c r="M283">
        <v>0</v>
      </c>
      <c r="N283">
        <v>2750</v>
      </c>
    </row>
    <row r="284" spans="1:14" x14ac:dyDescent="0.25">
      <c r="A284">
        <v>63.105724000000002</v>
      </c>
      <c r="B284" s="1">
        <f>DATE(2010,7,3) + TIME(2,32,14)</f>
        <v>40362.105717592596</v>
      </c>
      <c r="C284">
        <v>80</v>
      </c>
      <c r="D284">
        <v>79.917274474999999</v>
      </c>
      <c r="E284">
        <v>60</v>
      </c>
      <c r="F284">
        <v>14.99787426</v>
      </c>
      <c r="G284">
        <v>1396.3807373</v>
      </c>
      <c r="H284">
        <v>1380.7949219</v>
      </c>
      <c r="I284">
        <v>1239.4671631000001</v>
      </c>
      <c r="J284">
        <v>1194.2416992000001</v>
      </c>
      <c r="K284">
        <v>2750</v>
      </c>
      <c r="L284">
        <v>0</v>
      </c>
      <c r="M284">
        <v>0</v>
      </c>
      <c r="N284">
        <v>2750</v>
      </c>
    </row>
    <row r="285" spans="1:14" x14ac:dyDescent="0.25">
      <c r="A285">
        <v>63.828012999999999</v>
      </c>
      <c r="B285" s="1">
        <f>DATE(2010,7,3) + TIME(19,52,20)</f>
        <v>40362.828009259261</v>
      </c>
      <c r="C285">
        <v>80</v>
      </c>
      <c r="D285">
        <v>79.917350768999995</v>
      </c>
      <c r="E285">
        <v>60</v>
      </c>
      <c r="F285">
        <v>14.997891426000001</v>
      </c>
      <c r="G285">
        <v>1396.2933350000001</v>
      </c>
      <c r="H285">
        <v>1380.7126464999999</v>
      </c>
      <c r="I285">
        <v>1239.4819336</v>
      </c>
      <c r="J285">
        <v>1194.2558594</v>
      </c>
      <c r="K285">
        <v>2750</v>
      </c>
      <c r="L285">
        <v>0</v>
      </c>
      <c r="M285">
        <v>0</v>
      </c>
      <c r="N285">
        <v>2750</v>
      </c>
    </row>
    <row r="286" spans="1:14" x14ac:dyDescent="0.25">
      <c r="A286">
        <v>64.561610999999999</v>
      </c>
      <c r="B286" s="1">
        <f>DATE(2010,7,4) + TIME(13,28,43)</f>
        <v>40363.561608796299</v>
      </c>
      <c r="C286">
        <v>80</v>
      </c>
      <c r="D286">
        <v>79.917434692</v>
      </c>
      <c r="E286">
        <v>60</v>
      </c>
      <c r="F286">
        <v>14.997908592</v>
      </c>
      <c r="G286">
        <v>1396.2056885</v>
      </c>
      <c r="H286">
        <v>1380.6301269999999</v>
      </c>
      <c r="I286">
        <v>1239.4970702999999</v>
      </c>
      <c r="J286">
        <v>1194.2701416</v>
      </c>
      <c r="K286">
        <v>2750</v>
      </c>
      <c r="L286">
        <v>0</v>
      </c>
      <c r="M286">
        <v>0</v>
      </c>
      <c r="N286">
        <v>2750</v>
      </c>
    </row>
    <row r="287" spans="1:14" x14ac:dyDescent="0.25">
      <c r="A287">
        <v>65.306940999999995</v>
      </c>
      <c r="B287" s="1">
        <f>DATE(2010,7,5) + TIME(7,21,59)</f>
        <v>40364.306932870371</v>
      </c>
      <c r="C287">
        <v>80</v>
      </c>
      <c r="D287">
        <v>79.917510985999996</v>
      </c>
      <c r="E287">
        <v>60</v>
      </c>
      <c r="F287">
        <v>14.997924805</v>
      </c>
      <c r="G287">
        <v>1396.1176757999999</v>
      </c>
      <c r="H287">
        <v>1380.5471190999999</v>
      </c>
      <c r="I287">
        <v>1239.5124512</v>
      </c>
      <c r="J287">
        <v>1194.2847899999999</v>
      </c>
      <c r="K287">
        <v>2750</v>
      </c>
      <c r="L287">
        <v>0</v>
      </c>
      <c r="M287">
        <v>0</v>
      </c>
      <c r="N287">
        <v>2750</v>
      </c>
    </row>
    <row r="288" spans="1:14" x14ac:dyDescent="0.25">
      <c r="A288">
        <v>66.059978000000001</v>
      </c>
      <c r="B288" s="1">
        <f>DATE(2010,7,6) + TIME(1,26,22)</f>
        <v>40365.059976851851</v>
      </c>
      <c r="C288">
        <v>80</v>
      </c>
      <c r="D288">
        <v>79.917594910000005</v>
      </c>
      <c r="E288">
        <v>60</v>
      </c>
      <c r="F288">
        <v>14.997941970999999</v>
      </c>
      <c r="G288">
        <v>1396.0291748</v>
      </c>
      <c r="H288">
        <v>1380.4637451000001</v>
      </c>
      <c r="I288">
        <v>1239.5281981999999</v>
      </c>
      <c r="J288">
        <v>1194.2998047000001</v>
      </c>
      <c r="K288">
        <v>2750</v>
      </c>
      <c r="L288">
        <v>0</v>
      </c>
      <c r="M288">
        <v>0</v>
      </c>
      <c r="N288">
        <v>2750</v>
      </c>
    </row>
    <row r="289" spans="1:14" x14ac:dyDescent="0.25">
      <c r="A289">
        <v>66.437014000000005</v>
      </c>
      <c r="B289" s="1">
        <f>DATE(2010,7,6) + TIME(10,29,18)</f>
        <v>40365.437013888892</v>
      </c>
      <c r="C289">
        <v>80</v>
      </c>
      <c r="D289">
        <v>79.917625427000004</v>
      </c>
      <c r="E289">
        <v>60</v>
      </c>
      <c r="F289">
        <v>14.997954369</v>
      </c>
      <c r="G289">
        <v>1395.9404297000001</v>
      </c>
      <c r="H289">
        <v>1380.3800048999999</v>
      </c>
      <c r="I289">
        <v>1239.5437012</v>
      </c>
      <c r="J289">
        <v>1194.3144531</v>
      </c>
      <c r="K289">
        <v>2750</v>
      </c>
      <c r="L289">
        <v>0</v>
      </c>
      <c r="M289">
        <v>0</v>
      </c>
      <c r="N289">
        <v>2750</v>
      </c>
    </row>
    <row r="290" spans="1:14" x14ac:dyDescent="0.25">
      <c r="A290">
        <v>66.814051000000006</v>
      </c>
      <c r="B290" s="1">
        <f>DATE(2010,7,6) + TIME(19,32,13)</f>
        <v>40365.814039351855</v>
      </c>
      <c r="C290">
        <v>80</v>
      </c>
      <c r="D290">
        <v>79.917671204000001</v>
      </c>
      <c r="E290">
        <v>60</v>
      </c>
      <c r="F290">
        <v>14.997964859</v>
      </c>
      <c r="G290">
        <v>1395.8955077999999</v>
      </c>
      <c r="H290">
        <v>1380.3377685999999</v>
      </c>
      <c r="I290">
        <v>1239.5520019999999</v>
      </c>
      <c r="J290">
        <v>1194.3222656</v>
      </c>
      <c r="K290">
        <v>2750</v>
      </c>
      <c r="L290">
        <v>0</v>
      </c>
      <c r="M290">
        <v>0</v>
      </c>
      <c r="N290">
        <v>2750</v>
      </c>
    </row>
    <row r="291" spans="1:14" x14ac:dyDescent="0.25">
      <c r="A291">
        <v>67.191086999999996</v>
      </c>
      <c r="B291" s="1">
        <f>DATE(2010,7,7) + TIME(4,35,9)</f>
        <v>40366.191076388888</v>
      </c>
      <c r="C291">
        <v>80</v>
      </c>
      <c r="D291">
        <v>79.917709350999999</v>
      </c>
      <c r="E291">
        <v>60</v>
      </c>
      <c r="F291">
        <v>14.997974396</v>
      </c>
      <c r="G291">
        <v>1395.8518065999999</v>
      </c>
      <c r="H291">
        <v>1380.2965088000001</v>
      </c>
      <c r="I291">
        <v>1239.5600586</v>
      </c>
      <c r="J291">
        <v>1194.3300781</v>
      </c>
      <c r="K291">
        <v>2750</v>
      </c>
      <c r="L291">
        <v>0</v>
      </c>
      <c r="M291">
        <v>0</v>
      </c>
      <c r="N291">
        <v>2750</v>
      </c>
    </row>
    <row r="292" spans="1:14" x14ac:dyDescent="0.25">
      <c r="A292">
        <v>67.568123999999997</v>
      </c>
      <c r="B292" s="1">
        <f>DATE(2010,7,7) + TIME(13,38,5)</f>
        <v>40366.568113425928</v>
      </c>
      <c r="C292">
        <v>80</v>
      </c>
      <c r="D292">
        <v>79.917747497999997</v>
      </c>
      <c r="E292">
        <v>60</v>
      </c>
      <c r="F292">
        <v>14.997983932</v>
      </c>
      <c r="G292">
        <v>1395.8082274999999</v>
      </c>
      <c r="H292">
        <v>1380.2553711</v>
      </c>
      <c r="I292">
        <v>1239.5682373</v>
      </c>
      <c r="J292">
        <v>1194.3377685999999</v>
      </c>
      <c r="K292">
        <v>2750</v>
      </c>
      <c r="L292">
        <v>0</v>
      </c>
      <c r="M292">
        <v>0</v>
      </c>
      <c r="N292">
        <v>2750</v>
      </c>
    </row>
    <row r="293" spans="1:14" x14ac:dyDescent="0.25">
      <c r="A293">
        <v>67.945160999999999</v>
      </c>
      <c r="B293" s="1">
        <f>DATE(2010,7,7) + TIME(22,41,1)</f>
        <v>40366.945150462961</v>
      </c>
      <c r="C293">
        <v>80</v>
      </c>
      <c r="D293">
        <v>79.917785644999995</v>
      </c>
      <c r="E293">
        <v>60</v>
      </c>
      <c r="F293">
        <v>14.997993469000001</v>
      </c>
      <c r="G293">
        <v>1395.7648925999999</v>
      </c>
      <c r="H293">
        <v>1380.2145995999999</v>
      </c>
      <c r="I293">
        <v>1239.5764160000001</v>
      </c>
      <c r="J293">
        <v>1194.3455810999999</v>
      </c>
      <c r="K293">
        <v>2750</v>
      </c>
      <c r="L293">
        <v>0</v>
      </c>
      <c r="M293">
        <v>0</v>
      </c>
      <c r="N293">
        <v>2750</v>
      </c>
    </row>
    <row r="294" spans="1:14" x14ac:dyDescent="0.25">
      <c r="A294">
        <v>68.699234000000004</v>
      </c>
      <c r="B294" s="1">
        <f>DATE(2010,7,8) + TIME(16,46,53)</f>
        <v>40367.699224537035</v>
      </c>
      <c r="C294">
        <v>80</v>
      </c>
      <c r="D294">
        <v>79.917877196999996</v>
      </c>
      <c r="E294">
        <v>60</v>
      </c>
      <c r="F294">
        <v>14.998005867</v>
      </c>
      <c r="G294">
        <v>1395.7225341999999</v>
      </c>
      <c r="H294">
        <v>1380.1748047000001</v>
      </c>
      <c r="I294">
        <v>1239.5850829999999</v>
      </c>
      <c r="J294">
        <v>1194.3538818</v>
      </c>
      <c r="K294">
        <v>2750</v>
      </c>
      <c r="L294">
        <v>0</v>
      </c>
      <c r="M294">
        <v>0</v>
      </c>
      <c r="N294">
        <v>2750</v>
      </c>
    </row>
    <row r="295" spans="1:14" x14ac:dyDescent="0.25">
      <c r="A295">
        <v>69.453569999999999</v>
      </c>
      <c r="B295" s="1">
        <f>DATE(2010,7,9) + TIME(10,53,8)</f>
        <v>40368.453564814816</v>
      </c>
      <c r="C295">
        <v>80</v>
      </c>
      <c r="D295">
        <v>79.917961121000005</v>
      </c>
      <c r="E295">
        <v>60</v>
      </c>
      <c r="F295">
        <v>14.998020172</v>
      </c>
      <c r="G295">
        <v>1395.6375731999999</v>
      </c>
      <c r="H295">
        <v>1380.0947266000001</v>
      </c>
      <c r="I295">
        <v>1239.6014404</v>
      </c>
      <c r="J295">
        <v>1194.3693848</v>
      </c>
      <c r="K295">
        <v>2750</v>
      </c>
      <c r="L295">
        <v>0</v>
      </c>
      <c r="M295">
        <v>0</v>
      </c>
      <c r="N295">
        <v>2750</v>
      </c>
    </row>
    <row r="296" spans="1:14" x14ac:dyDescent="0.25">
      <c r="A296">
        <v>70.212164000000001</v>
      </c>
      <c r="B296" s="1">
        <f>DATE(2010,7,10) + TIME(5,5,31)</f>
        <v>40369.212164351855</v>
      </c>
      <c r="C296">
        <v>80</v>
      </c>
      <c r="D296">
        <v>79.918045043999996</v>
      </c>
      <c r="E296">
        <v>60</v>
      </c>
      <c r="F296">
        <v>14.998036385000001</v>
      </c>
      <c r="G296">
        <v>1395.5531006000001</v>
      </c>
      <c r="H296">
        <v>1380.0151367000001</v>
      </c>
      <c r="I296">
        <v>1239.6180420000001</v>
      </c>
      <c r="J296">
        <v>1194.3851318</v>
      </c>
      <c r="K296">
        <v>2750</v>
      </c>
      <c r="L296">
        <v>0</v>
      </c>
      <c r="M296">
        <v>0</v>
      </c>
      <c r="N296">
        <v>2750</v>
      </c>
    </row>
    <row r="297" spans="1:14" x14ac:dyDescent="0.25">
      <c r="A297">
        <v>70.976206000000005</v>
      </c>
      <c r="B297" s="1">
        <f>DATE(2010,7,10) + TIME(23,25,44)</f>
        <v>40369.976203703707</v>
      </c>
      <c r="C297">
        <v>80</v>
      </c>
      <c r="D297">
        <v>79.918128967000001</v>
      </c>
      <c r="E297">
        <v>60</v>
      </c>
      <c r="F297">
        <v>14.998052596999999</v>
      </c>
      <c r="G297">
        <v>1395.4688721</v>
      </c>
      <c r="H297">
        <v>1379.9359131000001</v>
      </c>
      <c r="I297">
        <v>1239.6348877</v>
      </c>
      <c r="J297">
        <v>1194.401001</v>
      </c>
      <c r="K297">
        <v>2750</v>
      </c>
      <c r="L297">
        <v>0</v>
      </c>
      <c r="M297">
        <v>0</v>
      </c>
      <c r="N297">
        <v>2750</v>
      </c>
    </row>
    <row r="298" spans="1:14" x14ac:dyDescent="0.25">
      <c r="A298">
        <v>71.746881999999999</v>
      </c>
      <c r="B298" s="1">
        <f>DATE(2010,7,11) + TIME(17,55,30)</f>
        <v>40370.746874999997</v>
      </c>
      <c r="C298">
        <v>80</v>
      </c>
      <c r="D298">
        <v>79.918212890999996</v>
      </c>
      <c r="E298">
        <v>60</v>
      </c>
      <c r="F298">
        <v>14.998068809999999</v>
      </c>
      <c r="G298">
        <v>1395.3850098</v>
      </c>
      <c r="H298">
        <v>1379.8568115</v>
      </c>
      <c r="I298">
        <v>1239.6518555</v>
      </c>
      <c r="J298">
        <v>1194.4171143000001</v>
      </c>
      <c r="K298">
        <v>2750</v>
      </c>
      <c r="L298">
        <v>0</v>
      </c>
      <c r="M298">
        <v>0</v>
      </c>
      <c r="N298">
        <v>2750</v>
      </c>
    </row>
    <row r="299" spans="1:14" x14ac:dyDescent="0.25">
      <c r="A299">
        <v>72.525445000000005</v>
      </c>
      <c r="B299" s="1">
        <f>DATE(2010,7,12) + TIME(12,36,38)</f>
        <v>40371.525439814817</v>
      </c>
      <c r="C299">
        <v>80</v>
      </c>
      <c r="D299">
        <v>79.918296814000001</v>
      </c>
      <c r="E299">
        <v>60</v>
      </c>
      <c r="F299">
        <v>14.998085022</v>
      </c>
      <c r="G299">
        <v>1395.3011475000001</v>
      </c>
      <c r="H299">
        <v>1379.7779541</v>
      </c>
      <c r="I299">
        <v>1239.6691894999999</v>
      </c>
      <c r="J299">
        <v>1194.4335937999999</v>
      </c>
      <c r="K299">
        <v>2750</v>
      </c>
      <c r="L299">
        <v>0</v>
      </c>
      <c r="M299">
        <v>0</v>
      </c>
      <c r="N299">
        <v>2750</v>
      </c>
    </row>
    <row r="300" spans="1:14" x14ac:dyDescent="0.25">
      <c r="A300">
        <v>73.313537999999994</v>
      </c>
      <c r="B300" s="1">
        <f>DATE(2010,7,13) + TIME(7,31,29)</f>
        <v>40372.313530092593</v>
      </c>
      <c r="C300">
        <v>80</v>
      </c>
      <c r="D300">
        <v>79.918388367000006</v>
      </c>
      <c r="E300">
        <v>60</v>
      </c>
      <c r="F300">
        <v>14.998101234</v>
      </c>
      <c r="G300">
        <v>1395.2174072</v>
      </c>
      <c r="H300">
        <v>1379.6989745999999</v>
      </c>
      <c r="I300">
        <v>1239.6867675999999</v>
      </c>
      <c r="J300">
        <v>1194.4503173999999</v>
      </c>
      <c r="K300">
        <v>2750</v>
      </c>
      <c r="L300">
        <v>0</v>
      </c>
      <c r="M300">
        <v>0</v>
      </c>
      <c r="N300">
        <v>2750</v>
      </c>
    </row>
    <row r="301" spans="1:14" x14ac:dyDescent="0.25">
      <c r="A301">
        <v>74.112240999999997</v>
      </c>
      <c r="B301" s="1">
        <f>DATE(2010,7,14) + TIME(2,41,37)</f>
        <v>40373.112233796295</v>
      </c>
      <c r="C301">
        <v>80</v>
      </c>
      <c r="D301">
        <v>79.918472289999997</v>
      </c>
      <c r="E301">
        <v>60</v>
      </c>
      <c r="F301">
        <v>14.998118400999999</v>
      </c>
      <c r="G301">
        <v>1395.1334228999999</v>
      </c>
      <c r="H301">
        <v>1379.6198730000001</v>
      </c>
      <c r="I301">
        <v>1239.7047118999999</v>
      </c>
      <c r="J301">
        <v>1194.4672852000001</v>
      </c>
      <c r="K301">
        <v>2750</v>
      </c>
      <c r="L301">
        <v>0</v>
      </c>
      <c r="M301">
        <v>0</v>
      </c>
      <c r="N301">
        <v>2750</v>
      </c>
    </row>
    <row r="302" spans="1:14" x14ac:dyDescent="0.25">
      <c r="A302">
        <v>74.917530999999997</v>
      </c>
      <c r="B302" s="1">
        <f>DATE(2010,7,14) + TIME(22,1,14)</f>
        <v>40373.917523148149</v>
      </c>
      <c r="C302">
        <v>80</v>
      </c>
      <c r="D302">
        <v>79.918563843000001</v>
      </c>
      <c r="E302">
        <v>60</v>
      </c>
      <c r="F302">
        <v>14.998135567</v>
      </c>
      <c r="G302">
        <v>1395.0491943</v>
      </c>
      <c r="H302">
        <v>1379.5405272999999</v>
      </c>
      <c r="I302">
        <v>1239.7230225000001</v>
      </c>
      <c r="J302">
        <v>1194.4846190999999</v>
      </c>
      <c r="K302">
        <v>2750</v>
      </c>
      <c r="L302">
        <v>0</v>
      </c>
      <c r="M302">
        <v>0</v>
      </c>
      <c r="N302">
        <v>2750</v>
      </c>
    </row>
    <row r="303" spans="1:14" x14ac:dyDescent="0.25">
      <c r="A303">
        <v>75.725390000000004</v>
      </c>
      <c r="B303" s="1">
        <f>DATE(2010,7,15) + TIME(17,24,33)</f>
        <v>40374.725381944445</v>
      </c>
      <c r="C303">
        <v>80</v>
      </c>
      <c r="D303">
        <v>79.918647766000007</v>
      </c>
      <c r="E303">
        <v>60</v>
      </c>
      <c r="F303">
        <v>14.998151779000001</v>
      </c>
      <c r="G303">
        <v>1394.9650879000001</v>
      </c>
      <c r="H303">
        <v>1379.4613036999999</v>
      </c>
      <c r="I303">
        <v>1239.7416992000001</v>
      </c>
      <c r="J303">
        <v>1194.5023193</v>
      </c>
      <c r="K303">
        <v>2750</v>
      </c>
      <c r="L303">
        <v>0</v>
      </c>
      <c r="M303">
        <v>0</v>
      </c>
      <c r="N303">
        <v>2750</v>
      </c>
    </row>
    <row r="304" spans="1:14" x14ac:dyDescent="0.25">
      <c r="A304">
        <v>76.536770000000004</v>
      </c>
      <c r="B304" s="1">
        <f>DATE(2010,7,16) + TIME(12,52,56)</f>
        <v>40375.536759259259</v>
      </c>
      <c r="C304">
        <v>80</v>
      </c>
      <c r="D304">
        <v>79.918739318999997</v>
      </c>
      <c r="E304">
        <v>60</v>
      </c>
      <c r="F304">
        <v>14.998168945</v>
      </c>
      <c r="G304">
        <v>1394.8814697</v>
      </c>
      <c r="H304">
        <v>1379.3826904</v>
      </c>
      <c r="I304">
        <v>1239.7606201000001</v>
      </c>
      <c r="J304">
        <v>1194.5201416</v>
      </c>
      <c r="K304">
        <v>2750</v>
      </c>
      <c r="L304">
        <v>0</v>
      </c>
      <c r="M304">
        <v>0</v>
      </c>
      <c r="N304">
        <v>2750</v>
      </c>
    </row>
    <row r="305" spans="1:14" x14ac:dyDescent="0.25">
      <c r="A305">
        <v>77.353001000000006</v>
      </c>
      <c r="B305" s="1">
        <f>DATE(2010,7,17) + TIME(8,28,19)</f>
        <v>40376.352997685186</v>
      </c>
      <c r="C305">
        <v>80</v>
      </c>
      <c r="D305">
        <v>79.918823242000002</v>
      </c>
      <c r="E305">
        <v>60</v>
      </c>
      <c r="F305">
        <v>14.998185158</v>
      </c>
      <c r="G305">
        <v>1394.7984618999999</v>
      </c>
      <c r="H305">
        <v>1379.3044434000001</v>
      </c>
      <c r="I305">
        <v>1239.7796631000001</v>
      </c>
      <c r="J305">
        <v>1194.5380858999999</v>
      </c>
      <c r="K305">
        <v>2750</v>
      </c>
      <c r="L305">
        <v>0</v>
      </c>
      <c r="M305">
        <v>0</v>
      </c>
      <c r="N305">
        <v>2750</v>
      </c>
    </row>
    <row r="306" spans="1:14" x14ac:dyDescent="0.25">
      <c r="A306">
        <v>78.175409999999999</v>
      </c>
      <c r="B306" s="1">
        <f>DATE(2010,7,18) + TIME(4,12,35)</f>
        <v>40377.175405092596</v>
      </c>
      <c r="C306">
        <v>80</v>
      </c>
      <c r="D306">
        <v>79.918914795000006</v>
      </c>
      <c r="E306">
        <v>60</v>
      </c>
      <c r="F306">
        <v>14.998202323999999</v>
      </c>
      <c r="G306">
        <v>1394.7156981999999</v>
      </c>
      <c r="H306">
        <v>1379.2264404</v>
      </c>
      <c r="I306">
        <v>1239.7989502</v>
      </c>
      <c r="J306">
        <v>1194.5563964999999</v>
      </c>
      <c r="K306">
        <v>2750</v>
      </c>
      <c r="L306">
        <v>0</v>
      </c>
      <c r="M306">
        <v>0</v>
      </c>
      <c r="N306">
        <v>2750</v>
      </c>
    </row>
    <row r="307" spans="1:14" x14ac:dyDescent="0.25">
      <c r="A307">
        <v>79.003302000000005</v>
      </c>
      <c r="B307" s="1">
        <f>DATE(2010,7,19) + TIME(0,4,45)</f>
        <v>40378.003298611111</v>
      </c>
      <c r="C307">
        <v>80</v>
      </c>
      <c r="D307">
        <v>79.919006347999996</v>
      </c>
      <c r="E307">
        <v>60</v>
      </c>
      <c r="F307">
        <v>14.998218536</v>
      </c>
      <c r="G307">
        <v>1394.6330565999999</v>
      </c>
      <c r="H307">
        <v>1379.1486815999999</v>
      </c>
      <c r="I307">
        <v>1239.8187256000001</v>
      </c>
      <c r="J307">
        <v>1194.5749512</v>
      </c>
      <c r="K307">
        <v>2750</v>
      </c>
      <c r="L307">
        <v>0</v>
      </c>
      <c r="M307">
        <v>0</v>
      </c>
      <c r="N307">
        <v>2750</v>
      </c>
    </row>
    <row r="308" spans="1:14" x14ac:dyDescent="0.25">
      <c r="A308">
        <v>79.833414000000005</v>
      </c>
      <c r="B308" s="1">
        <f>DATE(2010,7,19) + TIME(20,0,6)</f>
        <v>40378.833402777775</v>
      </c>
      <c r="C308">
        <v>80</v>
      </c>
      <c r="D308">
        <v>79.919097899999997</v>
      </c>
      <c r="E308">
        <v>60</v>
      </c>
      <c r="F308">
        <v>14.998235703000001</v>
      </c>
      <c r="G308">
        <v>1394.5507812000001</v>
      </c>
      <c r="H308">
        <v>1379.0711670000001</v>
      </c>
      <c r="I308">
        <v>1239.8386230000001</v>
      </c>
      <c r="J308">
        <v>1194.5938721</v>
      </c>
      <c r="K308">
        <v>2750</v>
      </c>
      <c r="L308">
        <v>0</v>
      </c>
      <c r="M308">
        <v>0</v>
      </c>
      <c r="N308">
        <v>2750</v>
      </c>
    </row>
    <row r="309" spans="1:14" x14ac:dyDescent="0.25">
      <c r="A309">
        <v>80.667097999999996</v>
      </c>
      <c r="B309" s="1">
        <f>DATE(2010,7,20) + TIME(16,0,37)</f>
        <v>40379.667094907411</v>
      </c>
      <c r="C309">
        <v>80</v>
      </c>
      <c r="D309">
        <v>79.919189453000001</v>
      </c>
      <c r="E309">
        <v>60</v>
      </c>
      <c r="F309">
        <v>14.998251915000001</v>
      </c>
      <c r="G309">
        <v>1394.4689940999999</v>
      </c>
      <c r="H309">
        <v>1378.9941406</v>
      </c>
      <c r="I309">
        <v>1239.8587646000001</v>
      </c>
      <c r="J309">
        <v>1194.6129149999999</v>
      </c>
      <c r="K309">
        <v>2750</v>
      </c>
      <c r="L309">
        <v>0</v>
      </c>
      <c r="M309">
        <v>0</v>
      </c>
      <c r="N309">
        <v>2750</v>
      </c>
    </row>
    <row r="310" spans="1:14" x14ac:dyDescent="0.25">
      <c r="A310">
        <v>81.505692999999994</v>
      </c>
      <c r="B310" s="1">
        <f>DATE(2010,7,21) + TIME(12,8,11)</f>
        <v>40380.505682870367</v>
      </c>
      <c r="C310">
        <v>80</v>
      </c>
      <c r="D310">
        <v>79.919281006000006</v>
      </c>
      <c r="E310">
        <v>60</v>
      </c>
      <c r="F310">
        <v>14.998269081</v>
      </c>
      <c r="G310">
        <v>1394.3876952999999</v>
      </c>
      <c r="H310">
        <v>1378.9174805</v>
      </c>
      <c r="I310">
        <v>1239.8792725000001</v>
      </c>
      <c r="J310">
        <v>1194.6322021000001</v>
      </c>
      <c r="K310">
        <v>2750</v>
      </c>
      <c r="L310">
        <v>0</v>
      </c>
      <c r="M310">
        <v>0</v>
      </c>
      <c r="N310">
        <v>2750</v>
      </c>
    </row>
    <row r="311" spans="1:14" x14ac:dyDescent="0.25">
      <c r="A311">
        <v>82.350547000000006</v>
      </c>
      <c r="B311" s="1">
        <f>DATE(2010,7,22) + TIME(8,24,47)</f>
        <v>40381.350543981483</v>
      </c>
      <c r="C311">
        <v>80</v>
      </c>
      <c r="D311">
        <v>79.919372558999996</v>
      </c>
      <c r="E311">
        <v>60</v>
      </c>
      <c r="F311">
        <v>14.998285294</v>
      </c>
      <c r="G311">
        <v>1394.3066406</v>
      </c>
      <c r="H311">
        <v>1378.8411865</v>
      </c>
      <c r="I311">
        <v>1239.9000243999999</v>
      </c>
      <c r="J311">
        <v>1194.6517334</v>
      </c>
      <c r="K311">
        <v>2750</v>
      </c>
      <c r="L311">
        <v>0</v>
      </c>
      <c r="M311">
        <v>0</v>
      </c>
      <c r="N311">
        <v>2750</v>
      </c>
    </row>
    <row r="312" spans="1:14" x14ac:dyDescent="0.25">
      <c r="A312">
        <v>82.776466999999997</v>
      </c>
      <c r="B312" s="1">
        <f>DATE(2010,7,22) + TIME(18,38,6)</f>
        <v>40381.776458333334</v>
      </c>
      <c r="C312">
        <v>80</v>
      </c>
      <c r="D312">
        <v>79.919410705999994</v>
      </c>
      <c r="E312">
        <v>60</v>
      </c>
      <c r="F312">
        <v>14.998297690999999</v>
      </c>
      <c r="G312">
        <v>1394.2254639</v>
      </c>
      <c r="H312">
        <v>1378.7646483999999</v>
      </c>
      <c r="I312">
        <v>1239.9206543</v>
      </c>
      <c r="J312">
        <v>1194.6710204999999</v>
      </c>
      <c r="K312">
        <v>2750</v>
      </c>
      <c r="L312">
        <v>0</v>
      </c>
      <c r="M312">
        <v>0</v>
      </c>
      <c r="N312">
        <v>2750</v>
      </c>
    </row>
    <row r="313" spans="1:14" x14ac:dyDescent="0.25">
      <c r="A313">
        <v>83.202387000000002</v>
      </c>
      <c r="B313" s="1">
        <f>DATE(2010,7,23) + TIME(4,51,26)</f>
        <v>40382.202384259261</v>
      </c>
      <c r="C313">
        <v>80</v>
      </c>
      <c r="D313">
        <v>79.919456482000001</v>
      </c>
      <c r="E313">
        <v>60</v>
      </c>
      <c r="F313">
        <v>14.998308182000001</v>
      </c>
      <c r="G313">
        <v>1394.1842041</v>
      </c>
      <c r="H313">
        <v>1378.7257079999999</v>
      </c>
      <c r="I313">
        <v>1239.9315185999999</v>
      </c>
      <c r="J313">
        <v>1194.6813964999999</v>
      </c>
      <c r="K313">
        <v>2750</v>
      </c>
      <c r="L313">
        <v>0</v>
      </c>
      <c r="M313">
        <v>0</v>
      </c>
      <c r="N313">
        <v>2750</v>
      </c>
    </row>
    <row r="314" spans="1:14" x14ac:dyDescent="0.25">
      <c r="A314">
        <v>83.628305999999995</v>
      </c>
      <c r="B314" s="1">
        <f>DATE(2010,7,23) + TIME(15,4,45)</f>
        <v>40382.628298611111</v>
      </c>
      <c r="C314">
        <v>80</v>
      </c>
      <c r="D314">
        <v>79.919502257999994</v>
      </c>
      <c r="E314">
        <v>60</v>
      </c>
      <c r="F314">
        <v>14.998317718999999</v>
      </c>
      <c r="G314">
        <v>1394.1437988</v>
      </c>
      <c r="H314">
        <v>1378.6876221</v>
      </c>
      <c r="I314">
        <v>1239.9423827999999</v>
      </c>
      <c r="J314">
        <v>1194.6915283000001</v>
      </c>
      <c r="K314">
        <v>2750</v>
      </c>
      <c r="L314">
        <v>0</v>
      </c>
      <c r="M314">
        <v>0</v>
      </c>
      <c r="N314">
        <v>2750</v>
      </c>
    </row>
    <row r="315" spans="1:14" x14ac:dyDescent="0.25">
      <c r="A315">
        <v>84.054226</v>
      </c>
      <c r="B315" s="1">
        <f>DATE(2010,7,24) + TIME(1,18,5)</f>
        <v>40383.054224537038</v>
      </c>
      <c r="C315">
        <v>80</v>
      </c>
      <c r="D315">
        <v>79.919548035000005</v>
      </c>
      <c r="E315">
        <v>60</v>
      </c>
      <c r="F315">
        <v>14.998327255</v>
      </c>
      <c r="G315">
        <v>1394.1036377</v>
      </c>
      <c r="H315">
        <v>1378.6497803</v>
      </c>
      <c r="I315">
        <v>1239.953125</v>
      </c>
      <c r="J315">
        <v>1194.7016602000001</v>
      </c>
      <c r="K315">
        <v>2750</v>
      </c>
      <c r="L315">
        <v>0</v>
      </c>
      <c r="M315">
        <v>0</v>
      </c>
      <c r="N315">
        <v>2750</v>
      </c>
    </row>
    <row r="316" spans="1:14" x14ac:dyDescent="0.25">
      <c r="A316">
        <v>84.480146000000005</v>
      </c>
      <c r="B316" s="1">
        <f>DATE(2010,7,24) + TIME(11,31,24)</f>
        <v>40383.480138888888</v>
      </c>
      <c r="C316">
        <v>80</v>
      </c>
      <c r="D316">
        <v>79.919593810999999</v>
      </c>
      <c r="E316">
        <v>60</v>
      </c>
      <c r="F316">
        <v>14.998336792</v>
      </c>
      <c r="G316">
        <v>1394.0637207</v>
      </c>
      <c r="H316">
        <v>1378.6120605000001</v>
      </c>
      <c r="I316">
        <v>1239.9641113</v>
      </c>
      <c r="J316">
        <v>1194.7119141000001</v>
      </c>
      <c r="K316">
        <v>2750</v>
      </c>
      <c r="L316">
        <v>0</v>
      </c>
      <c r="M316">
        <v>0</v>
      </c>
      <c r="N316">
        <v>2750</v>
      </c>
    </row>
    <row r="317" spans="1:14" x14ac:dyDescent="0.25">
      <c r="A317">
        <v>84.906065999999996</v>
      </c>
      <c r="B317" s="1">
        <f>DATE(2010,7,24) + TIME(21,44,44)</f>
        <v>40383.906064814815</v>
      </c>
      <c r="C317">
        <v>80</v>
      </c>
      <c r="D317">
        <v>79.919639587000006</v>
      </c>
      <c r="E317">
        <v>60</v>
      </c>
      <c r="F317">
        <v>14.998345375</v>
      </c>
      <c r="G317">
        <v>1394.0239257999999</v>
      </c>
      <c r="H317">
        <v>1378.5745850000001</v>
      </c>
      <c r="I317">
        <v>1239.9749756000001</v>
      </c>
      <c r="J317">
        <v>1194.7222899999999</v>
      </c>
      <c r="K317">
        <v>2750</v>
      </c>
      <c r="L317">
        <v>0</v>
      </c>
      <c r="M317">
        <v>0</v>
      </c>
      <c r="N317">
        <v>2750</v>
      </c>
    </row>
    <row r="318" spans="1:14" x14ac:dyDescent="0.25">
      <c r="A318">
        <v>85.331985000000003</v>
      </c>
      <c r="B318" s="1">
        <f>DATE(2010,7,25) + TIME(7,58,3)</f>
        <v>40384.331979166665</v>
      </c>
      <c r="C318">
        <v>80</v>
      </c>
      <c r="D318">
        <v>79.919685364000003</v>
      </c>
      <c r="E318">
        <v>60</v>
      </c>
      <c r="F318">
        <v>14.998353957999999</v>
      </c>
      <c r="G318">
        <v>1393.9842529</v>
      </c>
      <c r="H318">
        <v>1378.5372314000001</v>
      </c>
      <c r="I318">
        <v>1239.9860839999999</v>
      </c>
      <c r="J318">
        <v>1194.7325439000001</v>
      </c>
      <c r="K318">
        <v>2750</v>
      </c>
      <c r="L318">
        <v>0</v>
      </c>
      <c r="M318">
        <v>0</v>
      </c>
      <c r="N318">
        <v>2750</v>
      </c>
    </row>
    <row r="319" spans="1:14" x14ac:dyDescent="0.25">
      <c r="A319">
        <v>85.757904999999994</v>
      </c>
      <c r="B319" s="1">
        <f>DATE(2010,7,25) + TIME(18,11,22)</f>
        <v>40384.757893518516</v>
      </c>
      <c r="C319">
        <v>80</v>
      </c>
      <c r="D319">
        <v>79.919731139999996</v>
      </c>
      <c r="E319">
        <v>60</v>
      </c>
      <c r="F319">
        <v>14.998362541000001</v>
      </c>
      <c r="G319">
        <v>1393.9448242000001</v>
      </c>
      <c r="H319">
        <v>1378.5001221</v>
      </c>
      <c r="I319">
        <v>1239.9970702999999</v>
      </c>
      <c r="J319">
        <v>1194.7430420000001</v>
      </c>
      <c r="K319">
        <v>2750</v>
      </c>
      <c r="L319">
        <v>0</v>
      </c>
      <c r="M319">
        <v>0</v>
      </c>
      <c r="N319">
        <v>2750</v>
      </c>
    </row>
    <row r="320" spans="1:14" x14ac:dyDescent="0.25">
      <c r="A320">
        <v>86.609744000000006</v>
      </c>
      <c r="B320" s="1">
        <f>DATE(2010,7,26) + TIME(14,38,1)</f>
        <v>40385.609733796293</v>
      </c>
      <c r="C320">
        <v>80</v>
      </c>
      <c r="D320">
        <v>79.919830321999996</v>
      </c>
      <c r="E320">
        <v>60</v>
      </c>
      <c r="F320">
        <v>14.998374939</v>
      </c>
      <c r="G320">
        <v>1393.90625</v>
      </c>
      <c r="H320">
        <v>1378.4637451000001</v>
      </c>
      <c r="I320">
        <v>1240.0085449000001</v>
      </c>
      <c r="J320">
        <v>1194.7537841999999</v>
      </c>
      <c r="K320">
        <v>2750</v>
      </c>
      <c r="L320">
        <v>0</v>
      </c>
      <c r="M320">
        <v>0</v>
      </c>
      <c r="N320">
        <v>2750</v>
      </c>
    </row>
    <row r="321" spans="1:14" x14ac:dyDescent="0.25">
      <c r="A321">
        <v>87.462311999999997</v>
      </c>
      <c r="B321" s="1">
        <f>DATE(2010,7,27) + TIME(11,5,43)</f>
        <v>40386.46230324074</v>
      </c>
      <c r="C321">
        <v>80</v>
      </c>
      <c r="D321">
        <v>79.919929503999995</v>
      </c>
      <c r="E321">
        <v>60</v>
      </c>
      <c r="F321">
        <v>14.998389244</v>
      </c>
      <c r="G321">
        <v>1393.8287353999999</v>
      </c>
      <c r="H321">
        <v>1378.3907471</v>
      </c>
      <c r="I321">
        <v>1240.0307617000001</v>
      </c>
      <c r="J321">
        <v>1194.7746582</v>
      </c>
      <c r="K321">
        <v>2750</v>
      </c>
      <c r="L321">
        <v>0</v>
      </c>
      <c r="M321">
        <v>0</v>
      </c>
      <c r="N321">
        <v>2750</v>
      </c>
    </row>
    <row r="322" spans="1:14" x14ac:dyDescent="0.25">
      <c r="A322">
        <v>88.321656000000004</v>
      </c>
      <c r="B322" s="1">
        <f>DATE(2010,7,28) + TIME(7,43,11)</f>
        <v>40387.321655092594</v>
      </c>
      <c r="C322">
        <v>80</v>
      </c>
      <c r="D322">
        <v>79.920021057</v>
      </c>
      <c r="E322">
        <v>60</v>
      </c>
      <c r="F322">
        <v>14.998405457</v>
      </c>
      <c r="G322">
        <v>1393.7514647999999</v>
      </c>
      <c r="H322">
        <v>1378.3179932</v>
      </c>
      <c r="I322">
        <v>1240.0532227000001</v>
      </c>
      <c r="J322">
        <v>1194.7957764</v>
      </c>
      <c r="K322">
        <v>2750</v>
      </c>
      <c r="L322">
        <v>0</v>
      </c>
      <c r="M322">
        <v>0</v>
      </c>
      <c r="N322">
        <v>2750</v>
      </c>
    </row>
    <row r="323" spans="1:14" x14ac:dyDescent="0.25">
      <c r="A323">
        <v>89.189164000000005</v>
      </c>
      <c r="B323" s="1">
        <f>DATE(2010,7,29) + TIME(4,32,23)</f>
        <v>40388.189155092594</v>
      </c>
      <c r="C323">
        <v>80</v>
      </c>
      <c r="D323">
        <v>79.920112610000004</v>
      </c>
      <c r="E323">
        <v>60</v>
      </c>
      <c r="F323">
        <v>14.998422623</v>
      </c>
      <c r="G323">
        <v>1393.6743164</v>
      </c>
      <c r="H323">
        <v>1378.2452393000001</v>
      </c>
      <c r="I323">
        <v>1240.0761719</v>
      </c>
      <c r="J323">
        <v>1194.8172606999999</v>
      </c>
      <c r="K323">
        <v>2750</v>
      </c>
      <c r="L323">
        <v>0</v>
      </c>
      <c r="M323">
        <v>0</v>
      </c>
      <c r="N323">
        <v>2750</v>
      </c>
    </row>
    <row r="324" spans="1:14" x14ac:dyDescent="0.25">
      <c r="A324">
        <v>90.066226999999998</v>
      </c>
      <c r="B324" s="1">
        <f>DATE(2010,7,30) + TIME(1,35,21)</f>
        <v>40389.06621527778</v>
      </c>
      <c r="C324">
        <v>80</v>
      </c>
      <c r="D324">
        <v>79.920211792000003</v>
      </c>
      <c r="E324">
        <v>60</v>
      </c>
      <c r="F324">
        <v>14.998440742</v>
      </c>
      <c r="G324">
        <v>1393.597168</v>
      </c>
      <c r="H324">
        <v>1378.1724853999999</v>
      </c>
      <c r="I324">
        <v>1240.0994873</v>
      </c>
      <c r="J324">
        <v>1194.8391113</v>
      </c>
      <c r="K324">
        <v>2750</v>
      </c>
      <c r="L324">
        <v>0</v>
      </c>
      <c r="M324">
        <v>0</v>
      </c>
      <c r="N324">
        <v>2750</v>
      </c>
    </row>
    <row r="325" spans="1:14" x14ac:dyDescent="0.25">
      <c r="A325">
        <v>90.954284999999999</v>
      </c>
      <c r="B325" s="1">
        <f>DATE(2010,7,30) + TIME(22,54,10)</f>
        <v>40389.954282407409</v>
      </c>
      <c r="C325">
        <v>80</v>
      </c>
      <c r="D325">
        <v>79.920303344999994</v>
      </c>
      <c r="E325">
        <v>60</v>
      </c>
      <c r="F325">
        <v>14.998458862</v>
      </c>
      <c r="G325">
        <v>1393.5197754000001</v>
      </c>
      <c r="H325">
        <v>1378.0994873</v>
      </c>
      <c r="I325">
        <v>1240.1232910000001</v>
      </c>
      <c r="J325">
        <v>1194.8614502</v>
      </c>
      <c r="K325">
        <v>2750</v>
      </c>
      <c r="L325">
        <v>0</v>
      </c>
      <c r="M325">
        <v>0</v>
      </c>
      <c r="N325">
        <v>2750</v>
      </c>
    </row>
    <row r="326" spans="1:14" x14ac:dyDescent="0.25">
      <c r="A326">
        <v>91.854870000000005</v>
      </c>
      <c r="B326" s="1">
        <f>DATE(2010,7,31) + TIME(20,31,0)</f>
        <v>40390.854861111111</v>
      </c>
      <c r="C326">
        <v>80</v>
      </c>
      <c r="D326">
        <v>79.920402526999993</v>
      </c>
      <c r="E326">
        <v>60</v>
      </c>
      <c r="F326">
        <v>14.998477936</v>
      </c>
      <c r="G326">
        <v>1393.4420166</v>
      </c>
      <c r="H326">
        <v>1378.0262451000001</v>
      </c>
      <c r="I326">
        <v>1240.1477050999999</v>
      </c>
      <c r="J326">
        <v>1194.8842772999999</v>
      </c>
      <c r="K326">
        <v>2750</v>
      </c>
      <c r="L326">
        <v>0</v>
      </c>
      <c r="M326">
        <v>0</v>
      </c>
      <c r="N326">
        <v>2750</v>
      </c>
    </row>
    <row r="327" spans="1:14" x14ac:dyDescent="0.25">
      <c r="A327">
        <v>92</v>
      </c>
      <c r="B327" s="1">
        <f>DATE(2010,8,1) + TIME(0,0,0)</f>
        <v>40391</v>
      </c>
      <c r="C327">
        <v>80</v>
      </c>
      <c r="D327">
        <v>79.920410156000003</v>
      </c>
      <c r="E327">
        <v>60</v>
      </c>
      <c r="F327">
        <v>14.998484612</v>
      </c>
      <c r="G327">
        <v>1393.3663329999999</v>
      </c>
      <c r="H327">
        <v>1377.9549560999999</v>
      </c>
      <c r="I327">
        <v>1240.1707764</v>
      </c>
      <c r="J327">
        <v>1194.9058838000001</v>
      </c>
      <c r="K327">
        <v>2750</v>
      </c>
      <c r="L327">
        <v>0</v>
      </c>
      <c r="M327">
        <v>0</v>
      </c>
      <c r="N327">
        <v>2750</v>
      </c>
    </row>
    <row r="328" spans="1:14" x14ac:dyDescent="0.25">
      <c r="A328">
        <v>92.451184999999995</v>
      </c>
      <c r="B328" s="1">
        <f>DATE(2010,8,1) + TIME(10,49,42)</f>
        <v>40391.451180555552</v>
      </c>
      <c r="C328">
        <v>80</v>
      </c>
      <c r="D328">
        <v>79.920455933</v>
      </c>
      <c r="E328">
        <v>60</v>
      </c>
      <c r="F328">
        <v>14.998497008999999</v>
      </c>
      <c r="G328">
        <v>1393.3499756000001</v>
      </c>
      <c r="H328">
        <v>1377.9394531</v>
      </c>
      <c r="I328">
        <v>1240.1765137</v>
      </c>
      <c r="J328">
        <v>1194.9112548999999</v>
      </c>
      <c r="K328">
        <v>2750</v>
      </c>
      <c r="L328">
        <v>0</v>
      </c>
      <c r="M328">
        <v>0</v>
      </c>
      <c r="N328">
        <v>2750</v>
      </c>
    </row>
    <row r="329" spans="1:14" x14ac:dyDescent="0.25">
      <c r="A329">
        <v>92.902368999999993</v>
      </c>
      <c r="B329" s="1">
        <f>DATE(2010,8,1) + TIME(21,39,24)</f>
        <v>40391.902361111112</v>
      </c>
      <c r="C329">
        <v>80</v>
      </c>
      <c r="D329">
        <v>79.920509338000002</v>
      </c>
      <c r="E329">
        <v>60</v>
      </c>
      <c r="F329">
        <v>14.998508452999999</v>
      </c>
      <c r="G329">
        <v>1393.3115233999999</v>
      </c>
      <c r="H329">
        <v>1377.9030762</v>
      </c>
      <c r="I329">
        <v>1240.1890868999999</v>
      </c>
      <c r="J329">
        <v>1194.9228516000001</v>
      </c>
      <c r="K329">
        <v>2750</v>
      </c>
      <c r="L329">
        <v>0</v>
      </c>
      <c r="M329">
        <v>0</v>
      </c>
      <c r="N329">
        <v>2750</v>
      </c>
    </row>
    <row r="330" spans="1:14" x14ac:dyDescent="0.25">
      <c r="A330">
        <v>93.353554000000003</v>
      </c>
      <c r="B330" s="1">
        <f>DATE(2010,8,2) + TIME(8,29,7)</f>
        <v>40392.35355324074</v>
      </c>
      <c r="C330">
        <v>80</v>
      </c>
      <c r="D330">
        <v>79.920555114999999</v>
      </c>
      <c r="E330">
        <v>60</v>
      </c>
      <c r="F330">
        <v>14.998519897</v>
      </c>
      <c r="G330">
        <v>1393.2728271000001</v>
      </c>
      <c r="H330">
        <v>1377.8665771000001</v>
      </c>
      <c r="I330">
        <v>1240.2017822</v>
      </c>
      <c r="J330">
        <v>1194.9348144999999</v>
      </c>
      <c r="K330">
        <v>2750</v>
      </c>
      <c r="L330">
        <v>0</v>
      </c>
      <c r="M330">
        <v>0</v>
      </c>
      <c r="N330">
        <v>2750</v>
      </c>
    </row>
    <row r="331" spans="1:14" x14ac:dyDescent="0.25">
      <c r="A331">
        <v>93.804738999999998</v>
      </c>
      <c r="B331" s="1">
        <f>DATE(2010,8,2) + TIME(19,18,49)</f>
        <v>40392.8047337963</v>
      </c>
      <c r="C331">
        <v>80</v>
      </c>
      <c r="D331">
        <v>79.920600891000007</v>
      </c>
      <c r="E331">
        <v>60</v>
      </c>
      <c r="F331">
        <v>14.998531342</v>
      </c>
      <c r="G331">
        <v>1393.234375</v>
      </c>
      <c r="H331">
        <v>1377.8303223</v>
      </c>
      <c r="I331">
        <v>1240.2145995999999</v>
      </c>
      <c r="J331">
        <v>1194.9467772999999</v>
      </c>
      <c r="K331">
        <v>2750</v>
      </c>
      <c r="L331">
        <v>0</v>
      </c>
      <c r="M331">
        <v>0</v>
      </c>
      <c r="N331">
        <v>2750</v>
      </c>
    </row>
    <row r="332" spans="1:14" x14ac:dyDescent="0.25">
      <c r="A332">
        <v>94.255922999999996</v>
      </c>
      <c r="B332" s="1">
        <f>DATE(2010,8,3) + TIME(6,8,31)</f>
        <v>40393.255914351852</v>
      </c>
      <c r="C332">
        <v>80</v>
      </c>
      <c r="D332">
        <v>79.920654296999999</v>
      </c>
      <c r="E332">
        <v>60</v>
      </c>
      <c r="F332">
        <v>14.998542786</v>
      </c>
      <c r="G332">
        <v>1393.1959228999999</v>
      </c>
      <c r="H332">
        <v>1377.7940673999999</v>
      </c>
      <c r="I332">
        <v>1240.2275391000001</v>
      </c>
      <c r="J332">
        <v>1194.9588623</v>
      </c>
      <c r="K332">
        <v>2750</v>
      </c>
      <c r="L332">
        <v>0</v>
      </c>
      <c r="M332">
        <v>0</v>
      </c>
      <c r="N332">
        <v>2750</v>
      </c>
    </row>
    <row r="333" spans="1:14" x14ac:dyDescent="0.25">
      <c r="A333">
        <v>94.707108000000005</v>
      </c>
      <c r="B333" s="1">
        <f>DATE(2010,8,3) + TIME(16,58,14)</f>
        <v>40393.707106481481</v>
      </c>
      <c r="C333">
        <v>80</v>
      </c>
      <c r="D333">
        <v>79.920700073000006</v>
      </c>
      <c r="E333">
        <v>60</v>
      </c>
      <c r="F333">
        <v>14.998553276000001</v>
      </c>
      <c r="G333">
        <v>1393.1577147999999</v>
      </c>
      <c r="H333">
        <v>1377.7580565999999</v>
      </c>
      <c r="I333">
        <v>1240.2404785000001</v>
      </c>
      <c r="J333">
        <v>1194.9709473</v>
      </c>
      <c r="K333">
        <v>2750</v>
      </c>
      <c r="L333">
        <v>0</v>
      </c>
      <c r="M333">
        <v>0</v>
      </c>
      <c r="N333">
        <v>2750</v>
      </c>
    </row>
    <row r="334" spans="1:14" x14ac:dyDescent="0.25">
      <c r="A334">
        <v>95.158293</v>
      </c>
      <c r="B334" s="1">
        <f>DATE(2010,8,4) + TIME(3,47,56)</f>
        <v>40394.15828703704</v>
      </c>
      <c r="C334">
        <v>80</v>
      </c>
      <c r="D334">
        <v>79.920753478999998</v>
      </c>
      <c r="E334">
        <v>60</v>
      </c>
      <c r="F334">
        <v>14.998564719999999</v>
      </c>
      <c r="G334">
        <v>1393.119751</v>
      </c>
      <c r="H334">
        <v>1377.722168</v>
      </c>
      <c r="I334">
        <v>1240.253418</v>
      </c>
      <c r="J334">
        <v>1194.9830322</v>
      </c>
      <c r="K334">
        <v>2750</v>
      </c>
      <c r="L334">
        <v>0</v>
      </c>
      <c r="M334">
        <v>0</v>
      </c>
      <c r="N334">
        <v>2750</v>
      </c>
    </row>
    <row r="335" spans="1:14" x14ac:dyDescent="0.25">
      <c r="A335">
        <v>95.609476999999998</v>
      </c>
      <c r="B335" s="1">
        <f>DATE(2010,8,4) + TIME(14,37,38)</f>
        <v>40394.609467592592</v>
      </c>
      <c r="C335">
        <v>80</v>
      </c>
      <c r="D335">
        <v>79.920799255000006</v>
      </c>
      <c r="E335">
        <v>60</v>
      </c>
      <c r="F335">
        <v>14.998576163999999</v>
      </c>
      <c r="G335">
        <v>1393.0817870999999</v>
      </c>
      <c r="H335">
        <v>1377.6864014</v>
      </c>
      <c r="I335">
        <v>1240.2666016000001</v>
      </c>
      <c r="J335">
        <v>1194.9953613</v>
      </c>
      <c r="K335">
        <v>2750</v>
      </c>
      <c r="L335">
        <v>0</v>
      </c>
      <c r="M335">
        <v>0</v>
      </c>
      <c r="N335">
        <v>2750</v>
      </c>
    </row>
    <row r="336" spans="1:14" x14ac:dyDescent="0.25">
      <c r="A336">
        <v>96.060661999999994</v>
      </c>
      <c r="B336" s="1">
        <f>DATE(2010,8,5) + TIME(1,27,21)</f>
        <v>40395.060659722221</v>
      </c>
      <c r="C336">
        <v>80</v>
      </c>
      <c r="D336">
        <v>79.920845032000003</v>
      </c>
      <c r="E336">
        <v>60</v>
      </c>
      <c r="F336">
        <v>14.998588562</v>
      </c>
      <c r="G336">
        <v>1393.0440673999999</v>
      </c>
      <c r="H336">
        <v>1377.6507568</v>
      </c>
      <c r="I336">
        <v>1240.2797852000001</v>
      </c>
      <c r="J336">
        <v>1195.0075684000001</v>
      </c>
      <c r="K336">
        <v>2750</v>
      </c>
      <c r="L336">
        <v>0</v>
      </c>
      <c r="M336">
        <v>0</v>
      </c>
      <c r="N336">
        <v>2750</v>
      </c>
    </row>
    <row r="337" spans="1:14" x14ac:dyDescent="0.25">
      <c r="A337">
        <v>96.511847000000003</v>
      </c>
      <c r="B337" s="1">
        <f>DATE(2010,8,5) + TIME(12,17,3)</f>
        <v>40395.511840277781</v>
      </c>
      <c r="C337">
        <v>80</v>
      </c>
      <c r="D337">
        <v>79.920898437999995</v>
      </c>
      <c r="E337">
        <v>60</v>
      </c>
      <c r="F337">
        <v>14.998600959999999</v>
      </c>
      <c r="G337">
        <v>1393.0065918</v>
      </c>
      <c r="H337">
        <v>1377.6153564000001</v>
      </c>
      <c r="I337">
        <v>1240.2929687999999</v>
      </c>
      <c r="J337">
        <v>1195.0198975000001</v>
      </c>
      <c r="K337">
        <v>2750</v>
      </c>
      <c r="L337">
        <v>0</v>
      </c>
      <c r="M337">
        <v>0</v>
      </c>
      <c r="N337">
        <v>2750</v>
      </c>
    </row>
    <row r="338" spans="1:14" x14ac:dyDescent="0.25">
      <c r="A338">
        <v>96.963031000000001</v>
      </c>
      <c r="B338" s="1">
        <f>DATE(2010,8,5) + TIME(23,6,45)</f>
        <v>40395.963020833333</v>
      </c>
      <c r="C338">
        <v>80</v>
      </c>
      <c r="D338">
        <v>79.920944214000002</v>
      </c>
      <c r="E338">
        <v>60</v>
      </c>
      <c r="F338">
        <v>14.998613358</v>
      </c>
      <c r="G338">
        <v>1392.9691161999999</v>
      </c>
      <c r="H338">
        <v>1377.5800781</v>
      </c>
      <c r="I338">
        <v>1240.3062743999999</v>
      </c>
      <c r="J338">
        <v>1195.0323486</v>
      </c>
      <c r="K338">
        <v>2750</v>
      </c>
      <c r="L338">
        <v>0</v>
      </c>
      <c r="M338">
        <v>0</v>
      </c>
      <c r="N338">
        <v>2750</v>
      </c>
    </row>
    <row r="339" spans="1:14" x14ac:dyDescent="0.25">
      <c r="A339">
        <v>97.414215999999996</v>
      </c>
      <c r="B339" s="1">
        <f>DATE(2010,8,6) + TIME(9,56,28)</f>
        <v>40396.414212962962</v>
      </c>
      <c r="C339">
        <v>80</v>
      </c>
      <c r="D339">
        <v>79.920989989999995</v>
      </c>
      <c r="E339">
        <v>60</v>
      </c>
      <c r="F339">
        <v>14.998626709</v>
      </c>
      <c r="G339">
        <v>1392.9318848</v>
      </c>
      <c r="H339">
        <v>1377.5447998</v>
      </c>
      <c r="I339">
        <v>1240.3197021000001</v>
      </c>
      <c r="J339">
        <v>1195.0447998</v>
      </c>
      <c r="K339">
        <v>2750</v>
      </c>
      <c r="L339">
        <v>0</v>
      </c>
      <c r="M339">
        <v>0</v>
      </c>
      <c r="N339">
        <v>2750</v>
      </c>
    </row>
    <row r="340" spans="1:14" x14ac:dyDescent="0.25">
      <c r="A340">
        <v>97.865401000000006</v>
      </c>
      <c r="B340" s="1">
        <f>DATE(2010,8,6) + TIME(20,46,10)</f>
        <v>40396.865393518521</v>
      </c>
      <c r="C340">
        <v>80</v>
      </c>
      <c r="D340">
        <v>79.921043396000002</v>
      </c>
      <c r="E340">
        <v>60</v>
      </c>
      <c r="F340">
        <v>14.99864006</v>
      </c>
      <c r="G340">
        <v>1392.8947754000001</v>
      </c>
      <c r="H340">
        <v>1377.5098877</v>
      </c>
      <c r="I340">
        <v>1240.3331298999999</v>
      </c>
      <c r="J340">
        <v>1195.0573730000001</v>
      </c>
      <c r="K340">
        <v>2750</v>
      </c>
      <c r="L340">
        <v>0</v>
      </c>
      <c r="M340">
        <v>0</v>
      </c>
      <c r="N340">
        <v>2750</v>
      </c>
    </row>
    <row r="341" spans="1:14" x14ac:dyDescent="0.25">
      <c r="A341">
        <v>98.316585000000003</v>
      </c>
      <c r="B341" s="1">
        <f>DATE(2010,8,7) + TIME(7,35,52)</f>
        <v>40397.316574074073</v>
      </c>
      <c r="C341">
        <v>80</v>
      </c>
      <c r="D341">
        <v>79.921089171999995</v>
      </c>
      <c r="E341">
        <v>60</v>
      </c>
      <c r="F341">
        <v>14.998653411999999</v>
      </c>
      <c r="G341">
        <v>1392.8577881000001</v>
      </c>
      <c r="H341">
        <v>1377.4749756000001</v>
      </c>
      <c r="I341">
        <v>1240.3466797000001</v>
      </c>
      <c r="J341">
        <v>1195.0699463000001</v>
      </c>
      <c r="K341">
        <v>2750</v>
      </c>
      <c r="L341">
        <v>0</v>
      </c>
      <c r="M341">
        <v>0</v>
      </c>
      <c r="N341">
        <v>2750</v>
      </c>
    </row>
    <row r="342" spans="1:14" x14ac:dyDescent="0.25">
      <c r="A342">
        <v>99.218954999999994</v>
      </c>
      <c r="B342" s="1">
        <f>DATE(2010,8,8) + TIME(5,15,17)</f>
        <v>40398.218946759262</v>
      </c>
      <c r="C342">
        <v>80</v>
      </c>
      <c r="D342">
        <v>79.921195983999993</v>
      </c>
      <c r="E342">
        <v>60</v>
      </c>
      <c r="F342">
        <v>14.998674393</v>
      </c>
      <c r="G342">
        <v>1392.8215332</v>
      </c>
      <c r="H342">
        <v>1377.4407959</v>
      </c>
      <c r="I342">
        <v>1240.3607178</v>
      </c>
      <c r="J342">
        <v>1195.0830077999999</v>
      </c>
      <c r="K342">
        <v>2750</v>
      </c>
      <c r="L342">
        <v>0</v>
      </c>
      <c r="M342">
        <v>0</v>
      </c>
      <c r="N342">
        <v>2750</v>
      </c>
    </row>
    <row r="343" spans="1:14" x14ac:dyDescent="0.25">
      <c r="A343">
        <v>100.123543</v>
      </c>
      <c r="B343" s="1">
        <f>DATE(2010,8,9) + TIME(2,57,54)</f>
        <v>40399.123541666668</v>
      </c>
      <c r="C343">
        <v>80</v>
      </c>
      <c r="D343">
        <v>79.921295165999993</v>
      </c>
      <c r="E343">
        <v>60</v>
      </c>
      <c r="F343">
        <v>14.998700142000001</v>
      </c>
      <c r="G343">
        <v>1392.7487793</v>
      </c>
      <c r="H343">
        <v>1377.3721923999999</v>
      </c>
      <c r="I343">
        <v>1240.3879394999999</v>
      </c>
      <c r="J343">
        <v>1195.1083983999999</v>
      </c>
      <c r="K343">
        <v>2750</v>
      </c>
      <c r="L343">
        <v>0</v>
      </c>
      <c r="M343">
        <v>0</v>
      </c>
      <c r="N343">
        <v>2750</v>
      </c>
    </row>
    <row r="344" spans="1:14" x14ac:dyDescent="0.25">
      <c r="A344">
        <v>101.03940299999999</v>
      </c>
      <c r="B344" s="1">
        <f>DATE(2010,8,10) + TIME(0,56,44)</f>
        <v>40400.039398148147</v>
      </c>
      <c r="C344">
        <v>80</v>
      </c>
      <c r="D344">
        <v>79.921394348000007</v>
      </c>
      <c r="E344">
        <v>60</v>
      </c>
      <c r="F344">
        <v>14.998731613</v>
      </c>
      <c r="G344">
        <v>1392.6761475000001</v>
      </c>
      <c r="H344">
        <v>1377.3035889</v>
      </c>
      <c r="I344">
        <v>1240.4156493999999</v>
      </c>
      <c r="J344">
        <v>1195.1341553</v>
      </c>
      <c r="K344">
        <v>2750</v>
      </c>
      <c r="L344">
        <v>0</v>
      </c>
      <c r="M344">
        <v>0</v>
      </c>
      <c r="N344">
        <v>2750</v>
      </c>
    </row>
    <row r="345" spans="1:14" x14ac:dyDescent="0.25">
      <c r="A345">
        <v>101.96798800000001</v>
      </c>
      <c r="B345" s="1">
        <f>DATE(2010,8,10) + TIME(23,13,54)</f>
        <v>40400.967986111114</v>
      </c>
      <c r="C345">
        <v>80</v>
      </c>
      <c r="D345">
        <v>79.921493530000006</v>
      </c>
      <c r="E345">
        <v>60</v>
      </c>
      <c r="F345">
        <v>14.998766899</v>
      </c>
      <c r="G345">
        <v>1392.6031493999999</v>
      </c>
      <c r="H345">
        <v>1377.2347411999999</v>
      </c>
      <c r="I345">
        <v>1240.4439697</v>
      </c>
      <c r="J345">
        <v>1195.1605225000001</v>
      </c>
      <c r="K345">
        <v>2750</v>
      </c>
      <c r="L345">
        <v>0</v>
      </c>
      <c r="M345">
        <v>0</v>
      </c>
      <c r="N345">
        <v>2750</v>
      </c>
    </row>
    <row r="346" spans="1:14" x14ac:dyDescent="0.25">
      <c r="A346">
        <v>102.91115499999999</v>
      </c>
      <c r="B346" s="1">
        <f>DATE(2010,8,11) + TIME(21,52,3)</f>
        <v>40401.911145833335</v>
      </c>
      <c r="C346">
        <v>80</v>
      </c>
      <c r="D346">
        <v>79.921592712000006</v>
      </c>
      <c r="E346">
        <v>60</v>
      </c>
      <c r="F346">
        <v>14.998806953000001</v>
      </c>
      <c r="G346">
        <v>1392.5296631000001</v>
      </c>
      <c r="H346">
        <v>1377.1654053</v>
      </c>
      <c r="I346">
        <v>1240.4731445</v>
      </c>
      <c r="J346">
        <v>1195.1875</v>
      </c>
      <c r="K346">
        <v>2750</v>
      </c>
      <c r="L346">
        <v>0</v>
      </c>
      <c r="M346">
        <v>0</v>
      </c>
      <c r="N346">
        <v>2750</v>
      </c>
    </row>
    <row r="347" spans="1:14" x14ac:dyDescent="0.25">
      <c r="A347">
        <v>103.383352</v>
      </c>
      <c r="B347" s="1">
        <f>DATE(2010,8,12) + TIME(9,12,1)</f>
        <v>40402.383344907408</v>
      </c>
      <c r="C347">
        <v>80</v>
      </c>
      <c r="D347">
        <v>79.921638489000003</v>
      </c>
      <c r="E347">
        <v>60</v>
      </c>
      <c r="F347">
        <v>14.998838425000001</v>
      </c>
      <c r="G347">
        <v>1392.4555664</v>
      </c>
      <c r="H347">
        <v>1377.0953368999999</v>
      </c>
      <c r="I347">
        <v>1240.5025635</v>
      </c>
      <c r="J347">
        <v>1195.2147216999999</v>
      </c>
      <c r="K347">
        <v>2750</v>
      </c>
      <c r="L347">
        <v>0</v>
      </c>
      <c r="M347">
        <v>0</v>
      </c>
      <c r="N347">
        <v>2750</v>
      </c>
    </row>
    <row r="348" spans="1:14" x14ac:dyDescent="0.25">
      <c r="A348">
        <v>103.855548</v>
      </c>
      <c r="B348" s="1">
        <f>DATE(2010,8,12) + TIME(20,31,59)</f>
        <v>40402.855543981481</v>
      </c>
      <c r="C348">
        <v>80</v>
      </c>
      <c r="D348">
        <v>79.921684264999996</v>
      </c>
      <c r="E348">
        <v>60</v>
      </c>
      <c r="F348">
        <v>14.998867989000001</v>
      </c>
      <c r="G348">
        <v>1392.4179687999999</v>
      </c>
      <c r="H348">
        <v>1377.0598144999999</v>
      </c>
      <c r="I348">
        <v>1240.5180664</v>
      </c>
      <c r="J348">
        <v>1195.229126</v>
      </c>
      <c r="K348">
        <v>2750</v>
      </c>
      <c r="L348">
        <v>0</v>
      </c>
      <c r="M348">
        <v>0</v>
      </c>
      <c r="N348">
        <v>2750</v>
      </c>
    </row>
    <row r="349" spans="1:14" x14ac:dyDescent="0.25">
      <c r="A349">
        <v>104.32774499999999</v>
      </c>
      <c r="B349" s="1">
        <f>DATE(2010,8,13) + TIME(7,51,57)</f>
        <v>40403.327743055554</v>
      </c>
      <c r="C349">
        <v>80</v>
      </c>
      <c r="D349">
        <v>79.921737671000002</v>
      </c>
      <c r="E349">
        <v>60</v>
      </c>
      <c r="F349">
        <v>14.998897552000001</v>
      </c>
      <c r="G349">
        <v>1392.3811035000001</v>
      </c>
      <c r="H349">
        <v>1377.0250243999999</v>
      </c>
      <c r="I349">
        <v>1240.5333252</v>
      </c>
      <c r="J349">
        <v>1195.2432861</v>
      </c>
      <c r="K349">
        <v>2750</v>
      </c>
      <c r="L349">
        <v>0</v>
      </c>
      <c r="M349">
        <v>0</v>
      </c>
      <c r="N349">
        <v>2750</v>
      </c>
    </row>
    <row r="350" spans="1:14" x14ac:dyDescent="0.25">
      <c r="A350">
        <v>104.799942</v>
      </c>
      <c r="B350" s="1">
        <f>DATE(2010,8,13) + TIME(19,11,54)</f>
        <v>40403.799930555557</v>
      </c>
      <c r="C350">
        <v>80</v>
      </c>
      <c r="D350">
        <v>79.921783446999996</v>
      </c>
      <c r="E350">
        <v>60</v>
      </c>
      <c r="F350">
        <v>14.998927116000001</v>
      </c>
      <c r="G350">
        <v>1392.3444824000001</v>
      </c>
      <c r="H350">
        <v>1376.9904785000001</v>
      </c>
      <c r="I350">
        <v>1240.5487060999999</v>
      </c>
      <c r="J350">
        <v>1195.2575684000001</v>
      </c>
      <c r="K350">
        <v>2750</v>
      </c>
      <c r="L350">
        <v>0</v>
      </c>
      <c r="M350">
        <v>0</v>
      </c>
      <c r="N350">
        <v>2750</v>
      </c>
    </row>
    <row r="351" spans="1:14" x14ac:dyDescent="0.25">
      <c r="A351">
        <v>105.272138</v>
      </c>
      <c r="B351" s="1">
        <f>DATE(2010,8,14) + TIME(6,31,52)</f>
        <v>40404.272129629629</v>
      </c>
      <c r="C351">
        <v>80</v>
      </c>
      <c r="D351">
        <v>79.921836853000002</v>
      </c>
      <c r="E351">
        <v>60</v>
      </c>
      <c r="F351">
        <v>14.998958588000001</v>
      </c>
      <c r="G351">
        <v>1392.3081055</v>
      </c>
      <c r="H351">
        <v>1376.9560547000001</v>
      </c>
      <c r="I351">
        <v>1240.5642089999999</v>
      </c>
      <c r="J351">
        <v>1195.2718506000001</v>
      </c>
      <c r="K351">
        <v>2750</v>
      </c>
      <c r="L351">
        <v>0</v>
      </c>
      <c r="M351">
        <v>0</v>
      </c>
      <c r="N351">
        <v>2750</v>
      </c>
    </row>
    <row r="352" spans="1:14" x14ac:dyDescent="0.25">
      <c r="A352">
        <v>105.74433500000001</v>
      </c>
      <c r="B352" s="1">
        <f>DATE(2010,8,14) + TIME(17,51,50)</f>
        <v>40404.744328703702</v>
      </c>
      <c r="C352">
        <v>80</v>
      </c>
      <c r="D352">
        <v>79.921890258999994</v>
      </c>
      <c r="E352">
        <v>60</v>
      </c>
      <c r="F352">
        <v>14.998991012999999</v>
      </c>
      <c r="G352">
        <v>1392.2717285000001</v>
      </c>
      <c r="H352">
        <v>1376.9217529</v>
      </c>
      <c r="I352">
        <v>1240.5798339999999</v>
      </c>
      <c r="J352">
        <v>1195.2862548999999</v>
      </c>
      <c r="K352">
        <v>2750</v>
      </c>
      <c r="L352">
        <v>0</v>
      </c>
      <c r="M352">
        <v>0</v>
      </c>
      <c r="N352">
        <v>2750</v>
      </c>
    </row>
    <row r="353" spans="1:14" x14ac:dyDescent="0.25">
      <c r="A353">
        <v>106.216532</v>
      </c>
      <c r="B353" s="1">
        <f>DATE(2010,8,15) + TIME(5,11,48)</f>
        <v>40405.216527777775</v>
      </c>
      <c r="C353">
        <v>80</v>
      </c>
      <c r="D353">
        <v>79.921936035000002</v>
      </c>
      <c r="E353">
        <v>60</v>
      </c>
      <c r="F353">
        <v>14.999024391000001</v>
      </c>
      <c r="G353">
        <v>1392.2355957</v>
      </c>
      <c r="H353">
        <v>1376.8875731999999</v>
      </c>
      <c r="I353">
        <v>1240.5955810999999</v>
      </c>
      <c r="J353">
        <v>1195.3007812000001</v>
      </c>
      <c r="K353">
        <v>2750</v>
      </c>
      <c r="L353">
        <v>0</v>
      </c>
      <c r="M353">
        <v>0</v>
      </c>
      <c r="N353">
        <v>2750</v>
      </c>
    </row>
    <row r="354" spans="1:14" x14ac:dyDescent="0.25">
      <c r="A354">
        <v>106.688728</v>
      </c>
      <c r="B354" s="1">
        <f>DATE(2010,8,15) + TIME(16,31,46)</f>
        <v>40405.688726851855</v>
      </c>
      <c r="C354">
        <v>80</v>
      </c>
      <c r="D354">
        <v>79.921989440999994</v>
      </c>
      <c r="E354">
        <v>60</v>
      </c>
      <c r="F354">
        <v>14.999060631000001</v>
      </c>
      <c r="G354">
        <v>1392.1994629000001</v>
      </c>
      <c r="H354">
        <v>1376.8533935999999</v>
      </c>
      <c r="I354">
        <v>1240.6113281</v>
      </c>
      <c r="J354">
        <v>1195.3154297000001</v>
      </c>
      <c r="K354">
        <v>2750</v>
      </c>
      <c r="L354">
        <v>0</v>
      </c>
      <c r="M354">
        <v>0</v>
      </c>
      <c r="N354">
        <v>2750</v>
      </c>
    </row>
    <row r="355" spans="1:14" x14ac:dyDescent="0.25">
      <c r="A355">
        <v>107.16092500000001</v>
      </c>
      <c r="B355" s="1">
        <f>DATE(2010,8,16) + TIME(3,51,43)</f>
        <v>40406.160914351851</v>
      </c>
      <c r="C355">
        <v>80</v>
      </c>
      <c r="D355">
        <v>79.922035217000001</v>
      </c>
      <c r="E355">
        <v>60</v>
      </c>
      <c r="F355">
        <v>14.999099730999999</v>
      </c>
      <c r="G355">
        <v>1392.1635742000001</v>
      </c>
      <c r="H355">
        <v>1376.8194579999999</v>
      </c>
      <c r="I355">
        <v>1240.6273193</v>
      </c>
      <c r="J355">
        <v>1195.3302002</v>
      </c>
      <c r="K355">
        <v>2750</v>
      </c>
      <c r="L355">
        <v>0</v>
      </c>
      <c r="M355">
        <v>0</v>
      </c>
      <c r="N355">
        <v>2750</v>
      </c>
    </row>
    <row r="356" spans="1:14" x14ac:dyDescent="0.25">
      <c r="A356">
        <v>107.633121</v>
      </c>
      <c r="B356" s="1">
        <f>DATE(2010,8,16) + TIME(15,11,41)</f>
        <v>40406.633113425924</v>
      </c>
      <c r="C356">
        <v>80</v>
      </c>
      <c r="D356">
        <v>79.922088622999993</v>
      </c>
      <c r="E356">
        <v>60</v>
      </c>
      <c r="F356">
        <v>14.999140739</v>
      </c>
      <c r="G356">
        <v>1392.1278076000001</v>
      </c>
      <c r="H356">
        <v>1376.7856445</v>
      </c>
      <c r="I356">
        <v>1240.6433105000001</v>
      </c>
      <c r="J356">
        <v>1195.3449707</v>
      </c>
      <c r="K356">
        <v>2750</v>
      </c>
      <c r="L356">
        <v>0</v>
      </c>
      <c r="M356">
        <v>0</v>
      </c>
      <c r="N356">
        <v>2750</v>
      </c>
    </row>
    <row r="357" spans="1:14" x14ac:dyDescent="0.25">
      <c r="A357">
        <v>108.105318</v>
      </c>
      <c r="B357" s="1">
        <f>DATE(2010,8,17) + TIME(2,31,39)</f>
        <v>40407.105312500003</v>
      </c>
      <c r="C357">
        <v>80</v>
      </c>
      <c r="D357">
        <v>79.922134399000001</v>
      </c>
      <c r="E357">
        <v>60</v>
      </c>
      <c r="F357">
        <v>14.999183655</v>
      </c>
      <c r="G357">
        <v>1392.0921631000001</v>
      </c>
      <c r="H357">
        <v>1376.7519531</v>
      </c>
      <c r="I357">
        <v>1240.6594238</v>
      </c>
      <c r="J357">
        <v>1195.3598632999999</v>
      </c>
      <c r="K357">
        <v>2750</v>
      </c>
      <c r="L357">
        <v>0</v>
      </c>
      <c r="M357">
        <v>0</v>
      </c>
      <c r="N357">
        <v>2750</v>
      </c>
    </row>
    <row r="358" spans="1:14" x14ac:dyDescent="0.25">
      <c r="A358">
        <v>108.57751500000001</v>
      </c>
      <c r="B358" s="1">
        <f>DATE(2010,8,17) + TIME(13,51,37)</f>
        <v>40407.577511574076</v>
      </c>
      <c r="C358">
        <v>80</v>
      </c>
      <c r="D358">
        <v>79.922187804999993</v>
      </c>
      <c r="E358">
        <v>60</v>
      </c>
      <c r="F358">
        <v>14.999230385000001</v>
      </c>
      <c r="G358">
        <v>1392.0566406</v>
      </c>
      <c r="H358">
        <v>1376.7183838000001</v>
      </c>
      <c r="I358">
        <v>1240.6756591999999</v>
      </c>
      <c r="J358">
        <v>1195.3748779</v>
      </c>
      <c r="K358">
        <v>2750</v>
      </c>
      <c r="L358">
        <v>0</v>
      </c>
      <c r="M358">
        <v>0</v>
      </c>
      <c r="N358">
        <v>2750</v>
      </c>
    </row>
    <row r="359" spans="1:14" x14ac:dyDescent="0.25">
      <c r="A359">
        <v>109.049711</v>
      </c>
      <c r="B359" s="1">
        <f>DATE(2010,8,18) + TIME(1,11,35)</f>
        <v>40408.049710648149</v>
      </c>
      <c r="C359">
        <v>80</v>
      </c>
      <c r="D359">
        <v>79.922241210999999</v>
      </c>
      <c r="E359">
        <v>60</v>
      </c>
      <c r="F359">
        <v>14.999279976</v>
      </c>
      <c r="G359">
        <v>1392.0212402</v>
      </c>
      <c r="H359">
        <v>1376.6849365</v>
      </c>
      <c r="I359">
        <v>1240.6920166</v>
      </c>
      <c r="J359">
        <v>1195.3898925999999</v>
      </c>
      <c r="K359">
        <v>2750</v>
      </c>
      <c r="L359">
        <v>0</v>
      </c>
      <c r="M359">
        <v>0</v>
      </c>
      <c r="N359">
        <v>2750</v>
      </c>
    </row>
    <row r="360" spans="1:14" x14ac:dyDescent="0.25">
      <c r="A360">
        <v>109.521908</v>
      </c>
      <c r="B360" s="1">
        <f>DATE(2010,8,18) + TIME(12,31,32)</f>
        <v>40408.521898148145</v>
      </c>
      <c r="C360">
        <v>80</v>
      </c>
      <c r="D360">
        <v>79.922286987000007</v>
      </c>
      <c r="E360">
        <v>60</v>
      </c>
      <c r="F360">
        <v>14.999333382</v>
      </c>
      <c r="G360">
        <v>1391.9859618999999</v>
      </c>
      <c r="H360">
        <v>1376.6516113</v>
      </c>
      <c r="I360">
        <v>1240.7084961</v>
      </c>
      <c r="J360">
        <v>1195.4051514</v>
      </c>
      <c r="K360">
        <v>2750</v>
      </c>
      <c r="L360">
        <v>0</v>
      </c>
      <c r="M360">
        <v>0</v>
      </c>
      <c r="N360">
        <v>2750</v>
      </c>
    </row>
    <row r="361" spans="1:14" x14ac:dyDescent="0.25">
      <c r="A361">
        <v>110.466301</v>
      </c>
      <c r="B361" s="1">
        <f>DATE(2010,8,19) + TIME(11,11,28)</f>
        <v>40409.466296296298</v>
      </c>
      <c r="C361">
        <v>80</v>
      </c>
      <c r="D361">
        <v>79.922393799000005</v>
      </c>
      <c r="E361">
        <v>60</v>
      </c>
      <c r="F361">
        <v>14.999415398</v>
      </c>
      <c r="G361">
        <v>1391.9512939000001</v>
      </c>
      <c r="H361">
        <v>1376.6188964999999</v>
      </c>
      <c r="I361">
        <v>1240.7254639</v>
      </c>
      <c r="J361">
        <v>1195.4208983999999</v>
      </c>
      <c r="K361">
        <v>2750</v>
      </c>
      <c r="L361">
        <v>0</v>
      </c>
      <c r="M361">
        <v>0</v>
      </c>
      <c r="N361">
        <v>2750</v>
      </c>
    </row>
    <row r="362" spans="1:14" x14ac:dyDescent="0.25">
      <c r="A362">
        <v>111.413342</v>
      </c>
      <c r="B362" s="1">
        <f>DATE(2010,8,20) + TIME(9,55,12)</f>
        <v>40410.41333333333</v>
      </c>
      <c r="C362">
        <v>80</v>
      </c>
      <c r="D362">
        <v>79.92250061</v>
      </c>
      <c r="E362">
        <v>60</v>
      </c>
      <c r="F362">
        <v>14.999526024</v>
      </c>
      <c r="G362">
        <v>1391.8818358999999</v>
      </c>
      <c r="H362">
        <v>1376.5533447</v>
      </c>
      <c r="I362">
        <v>1240.7587891000001</v>
      </c>
      <c r="J362">
        <v>1195.4514160000001</v>
      </c>
      <c r="K362">
        <v>2750</v>
      </c>
      <c r="L362">
        <v>0</v>
      </c>
      <c r="M362">
        <v>0</v>
      </c>
      <c r="N362">
        <v>2750</v>
      </c>
    </row>
    <row r="363" spans="1:14" x14ac:dyDescent="0.25">
      <c r="A363">
        <v>112.37363499999999</v>
      </c>
      <c r="B363" s="1">
        <f>DATE(2010,8,21) + TIME(8,58,2)</f>
        <v>40411.37363425926</v>
      </c>
      <c r="C363">
        <v>80</v>
      </c>
      <c r="D363">
        <v>79.922599792</v>
      </c>
      <c r="E363">
        <v>60</v>
      </c>
      <c r="F363">
        <v>14.999661445999999</v>
      </c>
      <c r="G363">
        <v>1391.8123779</v>
      </c>
      <c r="H363">
        <v>1376.4875488</v>
      </c>
      <c r="I363">
        <v>1240.7926024999999</v>
      </c>
      <c r="J363">
        <v>1195.4826660000001</v>
      </c>
      <c r="K363">
        <v>2750</v>
      </c>
      <c r="L363">
        <v>0</v>
      </c>
      <c r="M363">
        <v>0</v>
      </c>
      <c r="N363">
        <v>2750</v>
      </c>
    </row>
    <row r="364" spans="1:14" x14ac:dyDescent="0.25">
      <c r="A364">
        <v>112.86136500000001</v>
      </c>
      <c r="B364" s="1">
        <f>DATE(2010,8,21) + TIME(20,40,21)</f>
        <v>40411.861354166664</v>
      </c>
      <c r="C364">
        <v>80</v>
      </c>
      <c r="D364">
        <v>79.922645568999997</v>
      </c>
      <c r="E364">
        <v>60</v>
      </c>
      <c r="F364">
        <v>14.999773979</v>
      </c>
      <c r="G364">
        <v>1391.7423096</v>
      </c>
      <c r="H364">
        <v>1376.4212646000001</v>
      </c>
      <c r="I364">
        <v>1240.8270264</v>
      </c>
      <c r="J364">
        <v>1195.5142822</v>
      </c>
      <c r="K364">
        <v>2750</v>
      </c>
      <c r="L364">
        <v>0</v>
      </c>
      <c r="M364">
        <v>0</v>
      </c>
      <c r="N364">
        <v>2750</v>
      </c>
    </row>
    <row r="365" spans="1:14" x14ac:dyDescent="0.25">
      <c r="A365">
        <v>113.34909500000001</v>
      </c>
      <c r="B365" s="1">
        <f>DATE(2010,8,22) + TIME(8,22,41)</f>
        <v>40412.349085648151</v>
      </c>
      <c r="C365">
        <v>80</v>
      </c>
      <c r="D365">
        <v>79.922691345000004</v>
      </c>
      <c r="E365">
        <v>60</v>
      </c>
      <c r="F365">
        <v>14.999882698</v>
      </c>
      <c r="G365">
        <v>1391.7060547000001</v>
      </c>
      <c r="H365">
        <v>1376.3870850000001</v>
      </c>
      <c r="I365">
        <v>1240.8453368999999</v>
      </c>
      <c r="J365">
        <v>1195.5310059000001</v>
      </c>
      <c r="K365">
        <v>2750</v>
      </c>
      <c r="L365">
        <v>0</v>
      </c>
      <c r="M365">
        <v>0</v>
      </c>
      <c r="N365">
        <v>2750</v>
      </c>
    </row>
    <row r="366" spans="1:14" x14ac:dyDescent="0.25">
      <c r="A366">
        <v>113.836826</v>
      </c>
      <c r="B366" s="1">
        <f>DATE(2010,8,22) + TIME(20,5,1)</f>
        <v>40412.836817129632</v>
      </c>
      <c r="C366">
        <v>80</v>
      </c>
      <c r="D366">
        <v>79.922744750999996</v>
      </c>
      <c r="E366">
        <v>60</v>
      </c>
      <c r="F366">
        <v>14.999992370999999</v>
      </c>
      <c r="G366">
        <v>1391.6707764</v>
      </c>
      <c r="H366">
        <v>1376.3536377</v>
      </c>
      <c r="I366">
        <v>1240.8635254000001</v>
      </c>
      <c r="J366">
        <v>1195.5477295000001</v>
      </c>
      <c r="K366">
        <v>2750</v>
      </c>
      <c r="L366">
        <v>0</v>
      </c>
      <c r="M366">
        <v>0</v>
      </c>
      <c r="N366">
        <v>2750</v>
      </c>
    </row>
    <row r="367" spans="1:14" x14ac:dyDescent="0.25">
      <c r="A367">
        <v>114.324556</v>
      </c>
      <c r="B367" s="1">
        <f>DATE(2010,8,23) + TIME(7,47,21)</f>
        <v>40413.324548611112</v>
      </c>
      <c r="C367">
        <v>80</v>
      </c>
      <c r="D367">
        <v>79.922798157000003</v>
      </c>
      <c r="E367">
        <v>60</v>
      </c>
      <c r="F367">
        <v>15.000105858</v>
      </c>
      <c r="G367">
        <v>1391.6356201000001</v>
      </c>
      <c r="H367">
        <v>1376.3204346</v>
      </c>
      <c r="I367">
        <v>1240.8817139</v>
      </c>
      <c r="J367">
        <v>1195.5644531</v>
      </c>
      <c r="K367">
        <v>2750</v>
      </c>
      <c r="L367">
        <v>0</v>
      </c>
      <c r="M367">
        <v>0</v>
      </c>
      <c r="N367">
        <v>2750</v>
      </c>
    </row>
    <row r="368" spans="1:14" x14ac:dyDescent="0.25">
      <c r="A368">
        <v>114.812286</v>
      </c>
      <c r="B368" s="1">
        <f>DATE(2010,8,23) + TIME(19,29,41)</f>
        <v>40413.812280092592</v>
      </c>
      <c r="C368">
        <v>80</v>
      </c>
      <c r="D368">
        <v>79.922843932999996</v>
      </c>
      <c r="E368">
        <v>60</v>
      </c>
      <c r="F368">
        <v>15.000225067000001</v>
      </c>
      <c r="G368">
        <v>1391.6005858999999</v>
      </c>
      <c r="H368">
        <v>1376.2872314000001</v>
      </c>
      <c r="I368">
        <v>1240.9001464999999</v>
      </c>
      <c r="J368">
        <v>1195.5814209</v>
      </c>
      <c r="K368">
        <v>2750</v>
      </c>
      <c r="L368">
        <v>0</v>
      </c>
      <c r="M368">
        <v>0</v>
      </c>
      <c r="N368">
        <v>2750</v>
      </c>
    </row>
    <row r="369" spans="1:14" x14ac:dyDescent="0.25">
      <c r="A369">
        <v>115.300016</v>
      </c>
      <c r="B369" s="1">
        <f>DATE(2010,8,24) + TIME(7,12,1)</f>
        <v>40414.300011574072</v>
      </c>
      <c r="C369">
        <v>80</v>
      </c>
      <c r="D369">
        <v>79.922897339000002</v>
      </c>
      <c r="E369">
        <v>60</v>
      </c>
      <c r="F369">
        <v>15.000350952</v>
      </c>
      <c r="G369">
        <v>1391.5656738</v>
      </c>
      <c r="H369">
        <v>1376.2541504000001</v>
      </c>
      <c r="I369">
        <v>1240.9188231999999</v>
      </c>
      <c r="J369">
        <v>1195.5985106999999</v>
      </c>
      <c r="K369">
        <v>2750</v>
      </c>
      <c r="L369">
        <v>0</v>
      </c>
      <c r="M369">
        <v>0</v>
      </c>
      <c r="N369">
        <v>2750</v>
      </c>
    </row>
    <row r="370" spans="1:14" x14ac:dyDescent="0.25">
      <c r="A370">
        <v>115.787747</v>
      </c>
      <c r="B370" s="1">
        <f>DATE(2010,8,24) + TIME(18,54,21)</f>
        <v>40414.787743055553</v>
      </c>
      <c r="C370">
        <v>80</v>
      </c>
      <c r="D370">
        <v>79.922950744999994</v>
      </c>
      <c r="E370">
        <v>60</v>
      </c>
      <c r="F370">
        <v>15.000486373999999</v>
      </c>
      <c r="G370">
        <v>1391.5307617000001</v>
      </c>
      <c r="H370">
        <v>1376.2213135</v>
      </c>
      <c r="I370">
        <v>1240.9375</v>
      </c>
      <c r="J370">
        <v>1195.6157227000001</v>
      </c>
      <c r="K370">
        <v>2750</v>
      </c>
      <c r="L370">
        <v>0</v>
      </c>
      <c r="M370">
        <v>0</v>
      </c>
      <c r="N370">
        <v>2750</v>
      </c>
    </row>
    <row r="371" spans="1:14" x14ac:dyDescent="0.25">
      <c r="A371">
        <v>116.275477</v>
      </c>
      <c r="B371" s="1">
        <f>DATE(2010,8,25) + TIME(6,36,41)</f>
        <v>40415.27547453704</v>
      </c>
      <c r="C371">
        <v>80</v>
      </c>
      <c r="D371">
        <v>79.923004149999997</v>
      </c>
      <c r="E371">
        <v>60</v>
      </c>
      <c r="F371">
        <v>15.000630379</v>
      </c>
      <c r="G371">
        <v>1391.4960937999999</v>
      </c>
      <c r="H371">
        <v>1376.1884766000001</v>
      </c>
      <c r="I371">
        <v>1240.9564209</v>
      </c>
      <c r="J371">
        <v>1195.6330565999999</v>
      </c>
      <c r="K371">
        <v>2750</v>
      </c>
      <c r="L371">
        <v>0</v>
      </c>
      <c r="M371">
        <v>0</v>
      </c>
      <c r="N371">
        <v>2750</v>
      </c>
    </row>
    <row r="372" spans="1:14" x14ac:dyDescent="0.25">
      <c r="A372">
        <v>116.76320699999999</v>
      </c>
      <c r="B372" s="1">
        <f>DATE(2010,8,25) + TIME(18,19,1)</f>
        <v>40415.763206018521</v>
      </c>
      <c r="C372">
        <v>80</v>
      </c>
      <c r="D372">
        <v>79.923049926999994</v>
      </c>
      <c r="E372">
        <v>60</v>
      </c>
      <c r="F372">
        <v>15.000784874000001</v>
      </c>
      <c r="G372">
        <v>1391.4615478999999</v>
      </c>
      <c r="H372">
        <v>1376.1556396000001</v>
      </c>
      <c r="I372">
        <v>1240.9754639</v>
      </c>
      <c r="J372">
        <v>1195.6505127</v>
      </c>
      <c r="K372">
        <v>2750</v>
      </c>
      <c r="L372">
        <v>0</v>
      </c>
      <c r="M372">
        <v>0</v>
      </c>
      <c r="N372">
        <v>2750</v>
      </c>
    </row>
    <row r="373" spans="1:14" x14ac:dyDescent="0.25">
      <c r="A373">
        <v>117.250938</v>
      </c>
      <c r="B373" s="1">
        <f>DATE(2010,8,26) + TIME(6,1,21)</f>
        <v>40416.250937500001</v>
      </c>
      <c r="C373">
        <v>80</v>
      </c>
      <c r="D373">
        <v>79.923103333</v>
      </c>
      <c r="E373">
        <v>60</v>
      </c>
      <c r="F373">
        <v>15.00094986</v>
      </c>
      <c r="G373">
        <v>1391.427124</v>
      </c>
      <c r="H373">
        <v>1376.1230469</v>
      </c>
      <c r="I373">
        <v>1240.9946289</v>
      </c>
      <c r="J373">
        <v>1195.6680908000001</v>
      </c>
      <c r="K373">
        <v>2750</v>
      </c>
      <c r="L373">
        <v>0</v>
      </c>
      <c r="M373">
        <v>0</v>
      </c>
      <c r="N373">
        <v>2750</v>
      </c>
    </row>
    <row r="374" spans="1:14" x14ac:dyDescent="0.25">
      <c r="A374">
        <v>117.738668</v>
      </c>
      <c r="B374" s="1">
        <f>DATE(2010,8,26) + TIME(17,43,40)</f>
        <v>40416.738657407404</v>
      </c>
      <c r="C374">
        <v>80</v>
      </c>
      <c r="D374">
        <v>79.923156738000003</v>
      </c>
      <c r="E374">
        <v>60</v>
      </c>
      <c r="F374">
        <v>15.001127242999999</v>
      </c>
      <c r="G374">
        <v>1391.3927002</v>
      </c>
      <c r="H374">
        <v>1376.0905762</v>
      </c>
      <c r="I374">
        <v>1241.0140381000001</v>
      </c>
      <c r="J374">
        <v>1195.6857910000001</v>
      </c>
      <c r="K374">
        <v>2750</v>
      </c>
      <c r="L374">
        <v>0</v>
      </c>
      <c r="M374">
        <v>0</v>
      </c>
      <c r="N374">
        <v>2750</v>
      </c>
    </row>
    <row r="375" spans="1:14" x14ac:dyDescent="0.25">
      <c r="A375">
        <v>118.226398</v>
      </c>
      <c r="B375" s="1">
        <f>DATE(2010,8,27) + TIME(5,26,0)</f>
        <v>40417.226388888892</v>
      </c>
      <c r="C375">
        <v>80</v>
      </c>
      <c r="D375">
        <v>79.923202515</v>
      </c>
      <c r="E375">
        <v>60</v>
      </c>
      <c r="F375">
        <v>15.001317977999999</v>
      </c>
      <c r="G375">
        <v>1391.3585204999999</v>
      </c>
      <c r="H375">
        <v>1376.0581055</v>
      </c>
      <c r="I375">
        <v>1241.0335693</v>
      </c>
      <c r="J375">
        <v>1195.7036132999999</v>
      </c>
      <c r="K375">
        <v>2750</v>
      </c>
      <c r="L375">
        <v>0</v>
      </c>
      <c r="M375">
        <v>0</v>
      </c>
      <c r="N375">
        <v>2750</v>
      </c>
    </row>
    <row r="376" spans="1:14" x14ac:dyDescent="0.25">
      <c r="A376">
        <v>118.714128</v>
      </c>
      <c r="B376" s="1">
        <f>DATE(2010,8,27) + TIME(17,8,20)</f>
        <v>40417.714120370372</v>
      </c>
      <c r="C376">
        <v>80</v>
      </c>
      <c r="D376">
        <v>79.923255920000003</v>
      </c>
      <c r="E376">
        <v>60</v>
      </c>
      <c r="F376">
        <v>15.001521111000001</v>
      </c>
      <c r="G376">
        <v>1391.3243408000001</v>
      </c>
      <c r="H376">
        <v>1376.0257568</v>
      </c>
      <c r="I376">
        <v>1241.0532227000001</v>
      </c>
      <c r="J376">
        <v>1195.7216797000001</v>
      </c>
      <c r="K376">
        <v>2750</v>
      </c>
      <c r="L376">
        <v>0</v>
      </c>
      <c r="M376">
        <v>0</v>
      </c>
      <c r="N376">
        <v>2750</v>
      </c>
    </row>
    <row r="377" spans="1:14" x14ac:dyDescent="0.25">
      <c r="A377">
        <v>119.201859</v>
      </c>
      <c r="B377" s="1">
        <f>DATE(2010,8,28) + TIME(4,50,40)</f>
        <v>40418.201851851853</v>
      </c>
      <c r="C377">
        <v>80</v>
      </c>
      <c r="D377">
        <v>79.923309325999995</v>
      </c>
      <c r="E377">
        <v>60</v>
      </c>
      <c r="F377">
        <v>15.001739502</v>
      </c>
      <c r="G377">
        <v>1391.2902832</v>
      </c>
      <c r="H377">
        <v>1375.9936522999999</v>
      </c>
      <c r="I377">
        <v>1241.0729980000001</v>
      </c>
      <c r="J377">
        <v>1195.7398682</v>
      </c>
      <c r="K377">
        <v>2750</v>
      </c>
      <c r="L377">
        <v>0</v>
      </c>
      <c r="M377">
        <v>0</v>
      </c>
      <c r="N377">
        <v>2750</v>
      </c>
    </row>
    <row r="378" spans="1:14" x14ac:dyDescent="0.25">
      <c r="A378">
        <v>119.689397</v>
      </c>
      <c r="B378" s="1">
        <f>DATE(2010,8,28) + TIME(16,32,43)</f>
        <v>40418.689386574071</v>
      </c>
      <c r="C378">
        <v>80</v>
      </c>
      <c r="D378">
        <v>79.923355103000006</v>
      </c>
      <c r="E378">
        <v>60</v>
      </c>
      <c r="F378">
        <v>15.001974106</v>
      </c>
      <c r="G378">
        <v>1391.2564697</v>
      </c>
      <c r="H378">
        <v>1375.9614257999999</v>
      </c>
      <c r="I378">
        <v>1241.0930175999999</v>
      </c>
      <c r="J378">
        <v>1195.7581786999999</v>
      </c>
      <c r="K378">
        <v>2750</v>
      </c>
      <c r="L378">
        <v>0</v>
      </c>
      <c r="M378">
        <v>0</v>
      </c>
      <c r="N378">
        <v>2750</v>
      </c>
    </row>
    <row r="379" spans="1:14" x14ac:dyDescent="0.25">
      <c r="A379">
        <v>120.17619500000001</v>
      </c>
      <c r="B379" s="1">
        <f>DATE(2010,8,29) + TIME(4,13,43)</f>
        <v>40419.176192129627</v>
      </c>
      <c r="C379">
        <v>80</v>
      </c>
      <c r="D379">
        <v>79.923408507999994</v>
      </c>
      <c r="E379">
        <v>60</v>
      </c>
      <c r="F379">
        <v>15.002223968999999</v>
      </c>
      <c r="G379">
        <v>1391.2226562000001</v>
      </c>
      <c r="H379">
        <v>1375.9294434000001</v>
      </c>
      <c r="I379">
        <v>1241.1132812000001</v>
      </c>
      <c r="J379">
        <v>1195.7766113</v>
      </c>
      <c r="K379">
        <v>2750</v>
      </c>
      <c r="L379">
        <v>0</v>
      </c>
      <c r="M379">
        <v>0</v>
      </c>
      <c r="N379">
        <v>2750</v>
      </c>
    </row>
    <row r="380" spans="1:14" x14ac:dyDescent="0.25">
      <c r="A380">
        <v>121.14868800000001</v>
      </c>
      <c r="B380" s="1">
        <f>DATE(2010,8,30) + TIME(3,34,6)</f>
        <v>40420.148680555554</v>
      </c>
      <c r="C380">
        <v>80</v>
      </c>
      <c r="D380">
        <v>79.923515320000007</v>
      </c>
      <c r="E380">
        <v>60</v>
      </c>
      <c r="F380">
        <v>15.002610207</v>
      </c>
      <c r="G380">
        <v>1391.1893310999999</v>
      </c>
      <c r="H380">
        <v>1375.8980713000001</v>
      </c>
      <c r="I380">
        <v>1241.1339111</v>
      </c>
      <c r="J380">
        <v>1195.7957764</v>
      </c>
      <c r="K380">
        <v>2750</v>
      </c>
      <c r="L380">
        <v>0</v>
      </c>
      <c r="M380">
        <v>0</v>
      </c>
      <c r="N380">
        <v>2750</v>
      </c>
    </row>
    <row r="381" spans="1:14" x14ac:dyDescent="0.25">
      <c r="A381">
        <v>122.124866</v>
      </c>
      <c r="B381" s="1">
        <f>DATE(2010,8,31) + TIME(2,59,48)</f>
        <v>40421.124861111108</v>
      </c>
      <c r="C381">
        <v>80</v>
      </c>
      <c r="D381">
        <v>79.923622131000002</v>
      </c>
      <c r="E381">
        <v>60</v>
      </c>
      <c r="F381">
        <v>15.003134727000001</v>
      </c>
      <c r="G381">
        <v>1391.1229248</v>
      </c>
      <c r="H381">
        <v>1375.8352050999999</v>
      </c>
      <c r="I381">
        <v>1241.1746826000001</v>
      </c>
      <c r="J381">
        <v>1195.8330077999999</v>
      </c>
      <c r="K381">
        <v>2750</v>
      </c>
      <c r="L381">
        <v>0</v>
      </c>
      <c r="M381">
        <v>0</v>
      </c>
      <c r="N381">
        <v>2750</v>
      </c>
    </row>
    <row r="382" spans="1:14" x14ac:dyDescent="0.25">
      <c r="A382">
        <v>123</v>
      </c>
      <c r="B382" s="1">
        <f>DATE(2010,9,1) + TIME(0,0,0)</f>
        <v>40422</v>
      </c>
      <c r="C382">
        <v>80</v>
      </c>
      <c r="D382">
        <v>79.923706054999997</v>
      </c>
      <c r="E382">
        <v>60</v>
      </c>
      <c r="F382">
        <v>15.003740311</v>
      </c>
      <c r="G382">
        <v>1391.0562743999999</v>
      </c>
      <c r="H382">
        <v>1375.7719727000001</v>
      </c>
      <c r="I382">
        <v>1241.2164307</v>
      </c>
      <c r="J382">
        <v>1195.8710937999999</v>
      </c>
      <c r="K382">
        <v>2750</v>
      </c>
      <c r="L382">
        <v>0</v>
      </c>
      <c r="M382">
        <v>0</v>
      </c>
      <c r="N382">
        <v>2750</v>
      </c>
    </row>
    <row r="383" spans="1:14" x14ac:dyDescent="0.25">
      <c r="A383">
        <v>123.991648</v>
      </c>
      <c r="B383" s="1">
        <f>DATE(2010,9,1) + TIME(23,47,58)</f>
        <v>40422.991643518515</v>
      </c>
      <c r="C383">
        <v>80</v>
      </c>
      <c r="D383">
        <v>79.923812866000006</v>
      </c>
      <c r="E383">
        <v>60</v>
      </c>
      <c r="F383">
        <v>15.004457474000001</v>
      </c>
      <c r="G383">
        <v>1390.9968262</v>
      </c>
      <c r="H383">
        <v>1375.7156981999999</v>
      </c>
      <c r="I383">
        <v>1241.2547606999999</v>
      </c>
      <c r="J383">
        <v>1195.90625</v>
      </c>
      <c r="K383">
        <v>2750</v>
      </c>
      <c r="L383">
        <v>0</v>
      </c>
      <c r="M383">
        <v>0</v>
      </c>
      <c r="N383">
        <v>2750</v>
      </c>
    </row>
    <row r="384" spans="1:14" x14ac:dyDescent="0.25">
      <c r="A384">
        <v>124.489836</v>
      </c>
      <c r="B384" s="1">
        <f>DATE(2010,9,2) + TIME(11,45,21)</f>
        <v>40423.48982638889</v>
      </c>
      <c r="C384">
        <v>80</v>
      </c>
      <c r="D384">
        <v>79.923858643000003</v>
      </c>
      <c r="E384">
        <v>60</v>
      </c>
      <c r="F384">
        <v>15.005047798</v>
      </c>
      <c r="G384">
        <v>1390.9299315999999</v>
      </c>
      <c r="H384">
        <v>1375.6523437999999</v>
      </c>
      <c r="I384">
        <v>1241.2983397999999</v>
      </c>
      <c r="J384">
        <v>1195.9456786999999</v>
      </c>
      <c r="K384">
        <v>2750</v>
      </c>
      <c r="L384">
        <v>0</v>
      </c>
      <c r="M384">
        <v>0</v>
      </c>
      <c r="N384">
        <v>2750</v>
      </c>
    </row>
    <row r="385" spans="1:14" x14ac:dyDescent="0.25">
      <c r="A385">
        <v>125.469711</v>
      </c>
      <c r="B385" s="1">
        <f>DATE(2010,9,3) + TIME(11,16,23)</f>
        <v>40424.469710648147</v>
      </c>
      <c r="C385">
        <v>80</v>
      </c>
      <c r="D385">
        <v>79.923965453999998</v>
      </c>
      <c r="E385">
        <v>60</v>
      </c>
      <c r="F385">
        <v>15.005859375</v>
      </c>
      <c r="G385">
        <v>1390.8959961</v>
      </c>
      <c r="H385">
        <v>1375.6201172000001</v>
      </c>
      <c r="I385">
        <v>1241.3214111</v>
      </c>
      <c r="J385">
        <v>1195.9671631000001</v>
      </c>
      <c r="K385">
        <v>2750</v>
      </c>
      <c r="L385">
        <v>0</v>
      </c>
      <c r="M385">
        <v>0</v>
      </c>
      <c r="N385">
        <v>2750</v>
      </c>
    </row>
    <row r="386" spans="1:14" x14ac:dyDescent="0.25">
      <c r="A386">
        <v>126.458646</v>
      </c>
      <c r="B386" s="1">
        <f>DATE(2010,9,4) + TIME(11,0,27)</f>
        <v>40425.458645833336</v>
      </c>
      <c r="C386">
        <v>80</v>
      </c>
      <c r="D386">
        <v>79.924064635999997</v>
      </c>
      <c r="E386">
        <v>60</v>
      </c>
      <c r="F386">
        <v>15.006856918</v>
      </c>
      <c r="G386">
        <v>1390.8308105000001</v>
      </c>
      <c r="H386">
        <v>1375.5583495999999</v>
      </c>
      <c r="I386">
        <v>1241.3659668</v>
      </c>
      <c r="J386">
        <v>1196.0079346</v>
      </c>
      <c r="K386">
        <v>2750</v>
      </c>
      <c r="L386">
        <v>0</v>
      </c>
      <c r="M386">
        <v>0</v>
      </c>
      <c r="N386">
        <v>2750</v>
      </c>
    </row>
    <row r="387" spans="1:14" x14ac:dyDescent="0.25">
      <c r="A387">
        <v>127.44838</v>
      </c>
      <c r="B387" s="1">
        <f>DATE(2010,9,5) + TIME(10,45,40)</f>
        <v>40426.448379629626</v>
      </c>
      <c r="C387">
        <v>80</v>
      </c>
      <c r="D387">
        <v>79.924171447999996</v>
      </c>
      <c r="E387">
        <v>60</v>
      </c>
      <c r="F387">
        <v>15.008026123</v>
      </c>
      <c r="G387">
        <v>1390.7650146000001</v>
      </c>
      <c r="H387">
        <v>1375.4959716999999</v>
      </c>
      <c r="I387">
        <v>1241.4119873</v>
      </c>
      <c r="J387">
        <v>1196.0500488</v>
      </c>
      <c r="K387">
        <v>2750</v>
      </c>
      <c r="L387">
        <v>0</v>
      </c>
      <c r="M387">
        <v>0</v>
      </c>
      <c r="N387">
        <v>2750</v>
      </c>
    </row>
    <row r="388" spans="1:14" x14ac:dyDescent="0.25">
      <c r="A388">
        <v>128.44162</v>
      </c>
      <c r="B388" s="1">
        <f>DATE(2010,9,6) + TIME(10,35,55)</f>
        <v>40427.441608796296</v>
      </c>
      <c r="C388">
        <v>80</v>
      </c>
      <c r="D388">
        <v>79.924270629999995</v>
      </c>
      <c r="E388">
        <v>60</v>
      </c>
      <c r="F388">
        <v>15.009372710999999</v>
      </c>
      <c r="G388">
        <v>1390.6994629000001</v>
      </c>
      <c r="H388">
        <v>1375.4339600000001</v>
      </c>
      <c r="I388">
        <v>1241.4591064000001</v>
      </c>
      <c r="J388">
        <v>1196.0931396000001</v>
      </c>
      <c r="K388">
        <v>2750</v>
      </c>
      <c r="L388">
        <v>0</v>
      </c>
      <c r="M388">
        <v>0</v>
      </c>
      <c r="N388">
        <v>2750</v>
      </c>
    </row>
    <row r="389" spans="1:14" x14ac:dyDescent="0.25">
      <c r="A389">
        <v>128.94061199999999</v>
      </c>
      <c r="B389" s="1">
        <f>DATE(2010,9,6) + TIME(22,34,28)</f>
        <v>40427.940601851849</v>
      </c>
      <c r="C389">
        <v>80</v>
      </c>
      <c r="D389">
        <v>79.924316406000003</v>
      </c>
      <c r="E389">
        <v>60</v>
      </c>
      <c r="F389">
        <v>15.010447502</v>
      </c>
      <c r="G389">
        <v>1390.6340332</v>
      </c>
      <c r="H389">
        <v>1375.3718262</v>
      </c>
      <c r="I389">
        <v>1241.5069579999999</v>
      </c>
      <c r="J389">
        <v>1196.1364745999999</v>
      </c>
      <c r="K389">
        <v>2750</v>
      </c>
      <c r="L389">
        <v>0</v>
      </c>
      <c r="M389">
        <v>0</v>
      </c>
      <c r="N389">
        <v>2750</v>
      </c>
    </row>
    <row r="390" spans="1:14" x14ac:dyDescent="0.25">
      <c r="A390">
        <v>129.439605</v>
      </c>
      <c r="B390" s="1">
        <f>DATE(2010,9,7) + TIME(10,33,1)</f>
        <v>40428.43959490741</v>
      </c>
      <c r="C390">
        <v>80</v>
      </c>
      <c r="D390">
        <v>79.924362183</v>
      </c>
      <c r="E390">
        <v>60</v>
      </c>
      <c r="F390">
        <v>15.011477470000001</v>
      </c>
      <c r="G390">
        <v>1390.6005858999999</v>
      </c>
      <c r="H390">
        <v>1375.3400879000001</v>
      </c>
      <c r="I390">
        <v>1241.5319824000001</v>
      </c>
      <c r="J390">
        <v>1196.1595459</v>
      </c>
      <c r="K390">
        <v>2750</v>
      </c>
      <c r="L390">
        <v>0</v>
      </c>
      <c r="M390">
        <v>0</v>
      </c>
      <c r="N390">
        <v>2750</v>
      </c>
    </row>
    <row r="391" spans="1:14" x14ac:dyDescent="0.25">
      <c r="A391">
        <v>129.93859699999999</v>
      </c>
      <c r="B391" s="1">
        <f>DATE(2010,9,7) + TIME(22,31,34)</f>
        <v>40428.938587962963</v>
      </c>
      <c r="C391">
        <v>80</v>
      </c>
      <c r="D391">
        <v>79.924415588000002</v>
      </c>
      <c r="E391">
        <v>60</v>
      </c>
      <c r="F391">
        <v>15.012504578</v>
      </c>
      <c r="G391">
        <v>1390.5678711</v>
      </c>
      <c r="H391">
        <v>1375.309082</v>
      </c>
      <c r="I391">
        <v>1241.5570068</v>
      </c>
      <c r="J391">
        <v>1196.1826172000001</v>
      </c>
      <c r="K391">
        <v>2750</v>
      </c>
      <c r="L391">
        <v>0</v>
      </c>
      <c r="M391">
        <v>0</v>
      </c>
      <c r="N391">
        <v>2750</v>
      </c>
    </row>
    <row r="392" spans="1:14" x14ac:dyDescent="0.25">
      <c r="A392">
        <v>130.437589</v>
      </c>
      <c r="B392" s="1">
        <f>DATE(2010,9,8) + TIME(10,30,7)</f>
        <v>40429.437581018516</v>
      </c>
      <c r="C392">
        <v>80</v>
      </c>
      <c r="D392">
        <v>79.924468993999994</v>
      </c>
      <c r="E392">
        <v>60</v>
      </c>
      <c r="F392">
        <v>15.013558388</v>
      </c>
      <c r="G392">
        <v>1390.5352783000001</v>
      </c>
      <c r="H392">
        <v>1375.2780762</v>
      </c>
      <c r="I392">
        <v>1241.5822754000001</v>
      </c>
      <c r="J392">
        <v>1196.2058105000001</v>
      </c>
      <c r="K392">
        <v>2750</v>
      </c>
      <c r="L392">
        <v>0</v>
      </c>
      <c r="M392">
        <v>0</v>
      </c>
      <c r="N392">
        <v>2750</v>
      </c>
    </row>
    <row r="393" spans="1:14" x14ac:dyDescent="0.25">
      <c r="A393">
        <v>130.93658199999999</v>
      </c>
      <c r="B393" s="1">
        <f>DATE(2010,9,8) + TIME(22,28,40)</f>
        <v>40429.936574074076</v>
      </c>
      <c r="C393">
        <v>80</v>
      </c>
      <c r="D393">
        <v>79.924514771000005</v>
      </c>
      <c r="E393">
        <v>60</v>
      </c>
      <c r="F393">
        <v>15.014655113</v>
      </c>
      <c r="G393">
        <v>1390.5028076000001</v>
      </c>
      <c r="H393">
        <v>1375.2471923999999</v>
      </c>
      <c r="I393">
        <v>1241.6077881000001</v>
      </c>
      <c r="J393">
        <v>1196.2293701000001</v>
      </c>
      <c r="K393">
        <v>2750</v>
      </c>
      <c r="L393">
        <v>0</v>
      </c>
      <c r="M393">
        <v>0</v>
      </c>
      <c r="N393">
        <v>2750</v>
      </c>
    </row>
    <row r="394" spans="1:14" x14ac:dyDescent="0.25">
      <c r="A394">
        <v>131.435574</v>
      </c>
      <c r="B394" s="1">
        <f>DATE(2010,9,9) + TIME(10,27,13)</f>
        <v>40430.435567129629</v>
      </c>
      <c r="C394">
        <v>80</v>
      </c>
      <c r="D394">
        <v>79.924568175999994</v>
      </c>
      <c r="E394">
        <v>60</v>
      </c>
      <c r="F394">
        <v>15.015809059</v>
      </c>
      <c r="G394">
        <v>1390.4703368999999</v>
      </c>
      <c r="H394">
        <v>1375.2164307</v>
      </c>
      <c r="I394">
        <v>1241.6336670000001</v>
      </c>
      <c r="J394">
        <v>1196.2531738</v>
      </c>
      <c r="K394">
        <v>2750</v>
      </c>
      <c r="L394">
        <v>0</v>
      </c>
      <c r="M394">
        <v>0</v>
      </c>
      <c r="N394">
        <v>2750</v>
      </c>
    </row>
    <row r="395" spans="1:14" x14ac:dyDescent="0.25">
      <c r="A395">
        <v>131.93456699999999</v>
      </c>
      <c r="B395" s="1">
        <f>DATE(2010,9,9) + TIME(22,25,46)</f>
        <v>40430.934560185182</v>
      </c>
      <c r="C395">
        <v>80</v>
      </c>
      <c r="D395">
        <v>79.924621582</v>
      </c>
      <c r="E395">
        <v>60</v>
      </c>
      <c r="F395">
        <v>15.017029762</v>
      </c>
      <c r="G395">
        <v>1390.4379882999999</v>
      </c>
      <c r="H395">
        <v>1375.1856689000001</v>
      </c>
      <c r="I395">
        <v>1241.6599120999999</v>
      </c>
      <c r="J395">
        <v>1196.2772216999999</v>
      </c>
      <c r="K395">
        <v>2750</v>
      </c>
      <c r="L395">
        <v>0</v>
      </c>
      <c r="M395">
        <v>0</v>
      </c>
      <c r="N395">
        <v>2750</v>
      </c>
    </row>
    <row r="396" spans="1:14" x14ac:dyDescent="0.25">
      <c r="A396">
        <v>132.433559</v>
      </c>
      <c r="B396" s="1">
        <f>DATE(2010,9,10) + TIME(10,24,19)</f>
        <v>40431.433553240742</v>
      </c>
      <c r="C396">
        <v>80</v>
      </c>
      <c r="D396">
        <v>79.924667357999994</v>
      </c>
      <c r="E396">
        <v>60</v>
      </c>
      <c r="F396">
        <v>15.018323898</v>
      </c>
      <c r="G396">
        <v>1390.4057617000001</v>
      </c>
      <c r="H396">
        <v>1375.1550293</v>
      </c>
      <c r="I396">
        <v>1241.6864014</v>
      </c>
      <c r="J396">
        <v>1196.3016356999999</v>
      </c>
      <c r="K396">
        <v>2750</v>
      </c>
      <c r="L396">
        <v>0</v>
      </c>
      <c r="M396">
        <v>0</v>
      </c>
      <c r="N396">
        <v>2750</v>
      </c>
    </row>
    <row r="397" spans="1:14" x14ac:dyDescent="0.25">
      <c r="A397">
        <v>132.93255099999999</v>
      </c>
      <c r="B397" s="1">
        <f>DATE(2010,9,10) + TIME(22,22,52)</f>
        <v>40431.932546296295</v>
      </c>
      <c r="C397">
        <v>80</v>
      </c>
      <c r="D397">
        <v>79.924720764</v>
      </c>
      <c r="E397">
        <v>60</v>
      </c>
      <c r="F397">
        <v>15.019698142999999</v>
      </c>
      <c r="G397">
        <v>1390.3735352000001</v>
      </c>
      <c r="H397">
        <v>1375.1245117000001</v>
      </c>
      <c r="I397">
        <v>1241.7131348</v>
      </c>
      <c r="J397">
        <v>1196.3264160000001</v>
      </c>
      <c r="K397">
        <v>2750</v>
      </c>
      <c r="L397">
        <v>0</v>
      </c>
      <c r="M397">
        <v>0</v>
      </c>
      <c r="N397">
        <v>2750</v>
      </c>
    </row>
    <row r="398" spans="1:14" x14ac:dyDescent="0.25">
      <c r="A398">
        <v>133.431544</v>
      </c>
      <c r="B398" s="1">
        <f>DATE(2010,9,11) + TIME(10,21,25)</f>
        <v>40432.431539351855</v>
      </c>
      <c r="C398">
        <v>80</v>
      </c>
      <c r="D398">
        <v>79.924774170000006</v>
      </c>
      <c r="E398">
        <v>60</v>
      </c>
      <c r="F398">
        <v>15.021160126</v>
      </c>
      <c r="G398">
        <v>1390.3414307</v>
      </c>
      <c r="H398">
        <v>1375.0939940999999</v>
      </c>
      <c r="I398">
        <v>1241.7402344</v>
      </c>
      <c r="J398">
        <v>1196.3514404</v>
      </c>
      <c r="K398">
        <v>2750</v>
      </c>
      <c r="L398">
        <v>0</v>
      </c>
      <c r="M398">
        <v>0</v>
      </c>
      <c r="N398">
        <v>2750</v>
      </c>
    </row>
    <row r="399" spans="1:14" x14ac:dyDescent="0.25">
      <c r="A399">
        <v>133.93053599999999</v>
      </c>
      <c r="B399" s="1">
        <f>DATE(2010,9,11) + TIME(22,19,58)</f>
        <v>40432.930532407408</v>
      </c>
      <c r="C399">
        <v>80</v>
      </c>
      <c r="D399">
        <v>79.924819946</v>
      </c>
      <c r="E399">
        <v>60</v>
      </c>
      <c r="F399">
        <v>15.022714615</v>
      </c>
      <c r="G399">
        <v>1390.3094481999999</v>
      </c>
      <c r="H399">
        <v>1375.0635986</v>
      </c>
      <c r="I399">
        <v>1241.7677002</v>
      </c>
      <c r="J399">
        <v>1196.3767089999999</v>
      </c>
      <c r="K399">
        <v>2750</v>
      </c>
      <c r="L399">
        <v>0</v>
      </c>
      <c r="M399">
        <v>0</v>
      </c>
      <c r="N399">
        <v>2750</v>
      </c>
    </row>
    <row r="400" spans="1:14" x14ac:dyDescent="0.25">
      <c r="A400">
        <v>134.429528</v>
      </c>
      <c r="B400" s="1">
        <f>DATE(2010,9,12) + TIME(10,18,31)</f>
        <v>40433.429525462961</v>
      </c>
      <c r="C400">
        <v>80</v>
      </c>
      <c r="D400">
        <v>79.924873352000006</v>
      </c>
      <c r="E400">
        <v>60</v>
      </c>
      <c r="F400">
        <v>15.024367332000001</v>
      </c>
      <c r="G400">
        <v>1390.2774658000001</v>
      </c>
      <c r="H400">
        <v>1375.0332031</v>
      </c>
      <c r="I400">
        <v>1241.7955322</v>
      </c>
      <c r="J400">
        <v>1196.4024658000001</v>
      </c>
      <c r="K400">
        <v>2750</v>
      </c>
      <c r="L400">
        <v>0</v>
      </c>
      <c r="M400">
        <v>0</v>
      </c>
      <c r="N400">
        <v>2750</v>
      </c>
    </row>
    <row r="401" spans="1:14" x14ac:dyDescent="0.25">
      <c r="A401">
        <v>134.92852099999999</v>
      </c>
      <c r="B401" s="1">
        <f>DATE(2010,9,12) + TIME(22,17,4)</f>
        <v>40433.928518518522</v>
      </c>
      <c r="C401">
        <v>80</v>
      </c>
      <c r="D401">
        <v>79.924926757999998</v>
      </c>
      <c r="E401">
        <v>60</v>
      </c>
      <c r="F401">
        <v>15.026124000999999</v>
      </c>
      <c r="G401">
        <v>1390.2456055</v>
      </c>
      <c r="H401">
        <v>1375.0029297000001</v>
      </c>
      <c r="I401">
        <v>1241.8236084</v>
      </c>
      <c r="J401">
        <v>1196.4284668</v>
      </c>
      <c r="K401">
        <v>2750</v>
      </c>
      <c r="L401">
        <v>0</v>
      </c>
      <c r="M401">
        <v>0</v>
      </c>
      <c r="N401">
        <v>2750</v>
      </c>
    </row>
    <row r="402" spans="1:14" x14ac:dyDescent="0.25">
      <c r="A402">
        <v>135.42603700000001</v>
      </c>
      <c r="B402" s="1">
        <f>DATE(2010,9,13) + TIME(10,13,29)</f>
        <v>40434.426030092596</v>
      </c>
      <c r="C402">
        <v>80</v>
      </c>
      <c r="D402">
        <v>79.924972534000005</v>
      </c>
      <c r="E402">
        <v>60</v>
      </c>
      <c r="F402">
        <v>15.027988433999999</v>
      </c>
      <c r="G402">
        <v>1390.2137451000001</v>
      </c>
      <c r="H402">
        <v>1374.9727783000001</v>
      </c>
      <c r="I402">
        <v>1241.8520507999999</v>
      </c>
      <c r="J402">
        <v>1196.4548339999999</v>
      </c>
      <c r="K402">
        <v>2750</v>
      </c>
      <c r="L402">
        <v>0</v>
      </c>
      <c r="M402">
        <v>0</v>
      </c>
      <c r="N402">
        <v>2750</v>
      </c>
    </row>
    <row r="403" spans="1:14" x14ac:dyDescent="0.25">
      <c r="A403">
        <v>135.92204699999999</v>
      </c>
      <c r="B403" s="1">
        <f>DATE(2010,9,13) + TIME(22,7,44)</f>
        <v>40434.922037037039</v>
      </c>
      <c r="C403">
        <v>80</v>
      </c>
      <c r="D403">
        <v>79.925025939999998</v>
      </c>
      <c r="E403">
        <v>60</v>
      </c>
      <c r="F403">
        <v>15.029965401</v>
      </c>
      <c r="G403">
        <v>1390.1821289</v>
      </c>
      <c r="H403">
        <v>1374.9426269999999</v>
      </c>
      <c r="I403">
        <v>1241.8807373</v>
      </c>
      <c r="J403">
        <v>1196.4815673999999</v>
      </c>
      <c r="K403">
        <v>2750</v>
      </c>
      <c r="L403">
        <v>0</v>
      </c>
      <c r="M403">
        <v>0</v>
      </c>
      <c r="N403">
        <v>2750</v>
      </c>
    </row>
    <row r="404" spans="1:14" x14ac:dyDescent="0.25">
      <c r="A404">
        <v>136.416752</v>
      </c>
      <c r="B404" s="1">
        <f>DATE(2010,9,14) + TIME(10,0,7)</f>
        <v>40435.416747685187</v>
      </c>
      <c r="C404">
        <v>80</v>
      </c>
      <c r="D404">
        <v>79.925071716000005</v>
      </c>
      <c r="E404">
        <v>60</v>
      </c>
      <c r="F404">
        <v>15.032060623</v>
      </c>
      <c r="G404">
        <v>1390.1506348</v>
      </c>
      <c r="H404">
        <v>1374.9127197</v>
      </c>
      <c r="I404">
        <v>1241.9097899999999</v>
      </c>
      <c r="J404">
        <v>1196.5085449000001</v>
      </c>
      <c r="K404">
        <v>2750</v>
      </c>
      <c r="L404">
        <v>0</v>
      </c>
      <c r="M404">
        <v>0</v>
      </c>
      <c r="N404">
        <v>2750</v>
      </c>
    </row>
    <row r="405" spans="1:14" x14ac:dyDescent="0.25">
      <c r="A405">
        <v>136.91034300000001</v>
      </c>
      <c r="B405" s="1">
        <f>DATE(2010,9,14) + TIME(21,50,53)</f>
        <v>40435.91033564815</v>
      </c>
      <c r="C405">
        <v>80</v>
      </c>
      <c r="D405">
        <v>79.925125121999997</v>
      </c>
      <c r="E405">
        <v>60</v>
      </c>
      <c r="F405">
        <v>15.034280776999999</v>
      </c>
      <c r="G405">
        <v>1390.1193848</v>
      </c>
      <c r="H405">
        <v>1374.8829346</v>
      </c>
      <c r="I405">
        <v>1241.9390868999999</v>
      </c>
      <c r="J405">
        <v>1196.5358887</v>
      </c>
      <c r="K405">
        <v>2750</v>
      </c>
      <c r="L405">
        <v>0</v>
      </c>
      <c r="M405">
        <v>0</v>
      </c>
      <c r="N405">
        <v>2750</v>
      </c>
    </row>
    <row r="406" spans="1:14" x14ac:dyDescent="0.25">
      <c r="A406">
        <v>137.403019</v>
      </c>
      <c r="B406" s="1">
        <f>DATE(2010,9,15) + TIME(9,40,20)</f>
        <v>40436.403009259258</v>
      </c>
      <c r="C406">
        <v>80</v>
      </c>
      <c r="D406">
        <v>79.925170898000005</v>
      </c>
      <c r="E406">
        <v>60</v>
      </c>
      <c r="F406">
        <v>15.036630629999999</v>
      </c>
      <c r="G406">
        <v>1390.0881348</v>
      </c>
      <c r="H406">
        <v>1374.8532714999999</v>
      </c>
      <c r="I406">
        <v>1241.9686279</v>
      </c>
      <c r="J406">
        <v>1196.5635986</v>
      </c>
      <c r="K406">
        <v>2750</v>
      </c>
      <c r="L406">
        <v>0</v>
      </c>
      <c r="M406">
        <v>0</v>
      </c>
      <c r="N406">
        <v>2750</v>
      </c>
    </row>
    <row r="407" spans="1:14" x14ac:dyDescent="0.25">
      <c r="A407">
        <v>137.89497299999999</v>
      </c>
      <c r="B407" s="1">
        <f>DATE(2010,9,15) + TIME(21,28,45)</f>
        <v>40436.894965277781</v>
      </c>
      <c r="C407">
        <v>80</v>
      </c>
      <c r="D407">
        <v>79.925224303999997</v>
      </c>
      <c r="E407">
        <v>60</v>
      </c>
      <c r="F407">
        <v>15.039120673999999</v>
      </c>
      <c r="G407">
        <v>1390.0571289</v>
      </c>
      <c r="H407">
        <v>1374.8237305</v>
      </c>
      <c r="I407">
        <v>1241.9986572</v>
      </c>
      <c r="J407">
        <v>1196.5915527</v>
      </c>
      <c r="K407">
        <v>2750</v>
      </c>
      <c r="L407">
        <v>0</v>
      </c>
      <c r="M407">
        <v>0</v>
      </c>
      <c r="N407">
        <v>2750</v>
      </c>
    </row>
    <row r="408" spans="1:14" x14ac:dyDescent="0.25">
      <c r="A408">
        <v>138.877825</v>
      </c>
      <c r="B408" s="1">
        <f>DATE(2010,9,16) + TIME(21,4,4)</f>
        <v>40437.877824074072</v>
      </c>
      <c r="C408">
        <v>80</v>
      </c>
      <c r="D408">
        <v>79.925331115999995</v>
      </c>
      <c r="E408">
        <v>60</v>
      </c>
      <c r="F408">
        <v>15.04291153</v>
      </c>
      <c r="G408">
        <v>1390.0263672000001</v>
      </c>
      <c r="H408">
        <v>1374.7945557</v>
      </c>
      <c r="I408">
        <v>1242.0288086</v>
      </c>
      <c r="J408">
        <v>1196.6209716999999</v>
      </c>
      <c r="K408">
        <v>2750</v>
      </c>
      <c r="L408">
        <v>0</v>
      </c>
      <c r="M408">
        <v>0</v>
      </c>
      <c r="N408">
        <v>2750</v>
      </c>
    </row>
    <row r="409" spans="1:14" x14ac:dyDescent="0.25">
      <c r="A409">
        <v>139.865566</v>
      </c>
      <c r="B409" s="1">
        <f>DATE(2010,9,17) + TIME(20,46,24)</f>
        <v>40438.865555555552</v>
      </c>
      <c r="C409">
        <v>80</v>
      </c>
      <c r="D409">
        <v>79.925430297999995</v>
      </c>
      <c r="E409">
        <v>60</v>
      </c>
      <c r="F409">
        <v>15.047995566999999</v>
      </c>
      <c r="G409">
        <v>1389.9652100000001</v>
      </c>
      <c r="H409">
        <v>1374.7364502</v>
      </c>
      <c r="I409">
        <v>1242.0899658000001</v>
      </c>
      <c r="J409">
        <v>1196.6781006000001</v>
      </c>
      <c r="K409">
        <v>2750</v>
      </c>
      <c r="L409">
        <v>0</v>
      </c>
      <c r="M409">
        <v>0</v>
      </c>
      <c r="N409">
        <v>2750</v>
      </c>
    </row>
    <row r="410" spans="1:14" x14ac:dyDescent="0.25">
      <c r="A410">
        <v>140.87177399999999</v>
      </c>
      <c r="B410" s="1">
        <f>DATE(2010,9,18) + TIME(20,55,21)</f>
        <v>40439.871770833335</v>
      </c>
      <c r="C410">
        <v>80</v>
      </c>
      <c r="D410">
        <v>79.925529479999994</v>
      </c>
      <c r="E410">
        <v>60</v>
      </c>
      <c r="F410">
        <v>15.054109573</v>
      </c>
      <c r="G410">
        <v>1389.9035644999999</v>
      </c>
      <c r="H410">
        <v>1374.6778564000001</v>
      </c>
      <c r="I410">
        <v>1242.1531981999999</v>
      </c>
      <c r="J410">
        <v>1196.7376709</v>
      </c>
      <c r="K410">
        <v>2750</v>
      </c>
      <c r="L410">
        <v>0</v>
      </c>
      <c r="M410">
        <v>0</v>
      </c>
      <c r="N410">
        <v>2750</v>
      </c>
    </row>
    <row r="411" spans="1:14" x14ac:dyDescent="0.25">
      <c r="A411">
        <v>141.38194799999999</v>
      </c>
      <c r="B411" s="1">
        <f>DATE(2010,9,19) + TIME(9,10,0)</f>
        <v>40440.381944444445</v>
      </c>
      <c r="C411">
        <v>80</v>
      </c>
      <c r="D411">
        <v>79.925575256000002</v>
      </c>
      <c r="E411">
        <v>60</v>
      </c>
      <c r="F411">
        <v>15.059080123999999</v>
      </c>
      <c r="G411">
        <v>1389.8411865</v>
      </c>
      <c r="H411">
        <v>1374.6184082</v>
      </c>
      <c r="I411">
        <v>1242.2197266000001</v>
      </c>
      <c r="J411">
        <v>1196.7987060999999</v>
      </c>
      <c r="K411">
        <v>2750</v>
      </c>
      <c r="L411">
        <v>0</v>
      </c>
      <c r="M411">
        <v>0</v>
      </c>
      <c r="N411">
        <v>2750</v>
      </c>
    </row>
    <row r="412" spans="1:14" x14ac:dyDescent="0.25">
      <c r="A412">
        <v>142.35244399999999</v>
      </c>
      <c r="B412" s="1">
        <f>DATE(2010,9,20) + TIME(8,27,31)</f>
        <v>40441.352442129632</v>
      </c>
      <c r="C412">
        <v>80</v>
      </c>
      <c r="D412">
        <v>79.925674438000001</v>
      </c>
      <c r="E412">
        <v>60</v>
      </c>
      <c r="F412">
        <v>15.06571579</v>
      </c>
      <c r="G412">
        <v>1389.8089600000001</v>
      </c>
      <c r="H412">
        <v>1374.5877685999999</v>
      </c>
      <c r="I412">
        <v>1242.2537841999999</v>
      </c>
      <c r="J412">
        <v>1196.8336182</v>
      </c>
      <c r="K412">
        <v>2750</v>
      </c>
      <c r="L412">
        <v>0</v>
      </c>
      <c r="M412">
        <v>0</v>
      </c>
      <c r="N412">
        <v>2750</v>
      </c>
    </row>
    <row r="413" spans="1:14" x14ac:dyDescent="0.25">
      <c r="A413">
        <v>143.36162300000001</v>
      </c>
      <c r="B413" s="1">
        <f>DATE(2010,9,21) + TIME(8,40,44)</f>
        <v>40442.361620370371</v>
      </c>
      <c r="C413">
        <v>80</v>
      </c>
      <c r="D413">
        <v>79.925773621000005</v>
      </c>
      <c r="E413">
        <v>60</v>
      </c>
      <c r="F413">
        <v>15.073749542</v>
      </c>
      <c r="G413">
        <v>1389.7493896000001</v>
      </c>
      <c r="H413">
        <v>1374.5310059000001</v>
      </c>
      <c r="I413">
        <v>1242.3201904</v>
      </c>
      <c r="J413">
        <v>1196.8970947</v>
      </c>
      <c r="K413">
        <v>2750</v>
      </c>
      <c r="L413">
        <v>0</v>
      </c>
      <c r="M413">
        <v>0</v>
      </c>
      <c r="N413">
        <v>2750</v>
      </c>
    </row>
    <row r="414" spans="1:14" x14ac:dyDescent="0.25">
      <c r="A414">
        <v>144.370878</v>
      </c>
      <c r="B414" s="1">
        <f>DATE(2010,9,22) + TIME(8,54,3)</f>
        <v>40443.370868055557</v>
      </c>
      <c r="C414">
        <v>80</v>
      </c>
      <c r="D414">
        <v>79.925880432</v>
      </c>
      <c r="E414">
        <v>60</v>
      </c>
      <c r="F414">
        <v>15.083069801000001</v>
      </c>
      <c r="G414">
        <v>1389.6872559000001</v>
      </c>
      <c r="H414">
        <v>1374.4718018000001</v>
      </c>
      <c r="I414">
        <v>1242.3913574000001</v>
      </c>
      <c r="J414">
        <v>1196.9654541</v>
      </c>
      <c r="K414">
        <v>2750</v>
      </c>
      <c r="L414">
        <v>0</v>
      </c>
      <c r="M414">
        <v>0</v>
      </c>
      <c r="N414">
        <v>2750</v>
      </c>
    </row>
    <row r="415" spans="1:14" x14ac:dyDescent="0.25">
      <c r="A415">
        <v>144.87707700000001</v>
      </c>
      <c r="B415" s="1">
        <f>DATE(2010,9,22) + TIME(21,2,59)</f>
        <v>40443.877071759256</v>
      </c>
      <c r="C415">
        <v>80</v>
      </c>
      <c r="D415">
        <v>79.925926208000007</v>
      </c>
      <c r="E415">
        <v>60</v>
      </c>
      <c r="F415">
        <v>15.090463637999999</v>
      </c>
      <c r="G415">
        <v>1389.6253661999999</v>
      </c>
      <c r="H415">
        <v>1374.4128418</v>
      </c>
      <c r="I415">
        <v>1242.4654541</v>
      </c>
      <c r="J415">
        <v>1197.0344238</v>
      </c>
      <c r="K415">
        <v>2750</v>
      </c>
      <c r="L415">
        <v>0</v>
      </c>
      <c r="M415">
        <v>0</v>
      </c>
      <c r="N415">
        <v>2750</v>
      </c>
    </row>
    <row r="416" spans="1:14" x14ac:dyDescent="0.25">
      <c r="A416">
        <v>145.383276</v>
      </c>
      <c r="B416" s="1">
        <f>DATE(2010,9,23) + TIME(9,11,55)</f>
        <v>40444.383275462962</v>
      </c>
      <c r="C416">
        <v>80</v>
      </c>
      <c r="D416">
        <v>79.925971985000004</v>
      </c>
      <c r="E416">
        <v>60</v>
      </c>
      <c r="F416">
        <v>15.097474097999999</v>
      </c>
      <c r="G416">
        <v>1389.5935059000001</v>
      </c>
      <c r="H416">
        <v>1374.3825684000001</v>
      </c>
      <c r="I416">
        <v>1242.5031738</v>
      </c>
      <c r="J416">
        <v>1197.0723877</v>
      </c>
      <c r="K416">
        <v>2750</v>
      </c>
      <c r="L416">
        <v>0</v>
      </c>
      <c r="M416">
        <v>0</v>
      </c>
      <c r="N416">
        <v>2750</v>
      </c>
    </row>
    <row r="417" spans="1:14" x14ac:dyDescent="0.25">
      <c r="A417">
        <v>145.88947400000001</v>
      </c>
      <c r="B417" s="1">
        <f>DATE(2010,9,23) + TIME(21,20,50)</f>
        <v>40444.889467592591</v>
      </c>
      <c r="C417">
        <v>80</v>
      </c>
      <c r="D417">
        <v>79.926017760999997</v>
      </c>
      <c r="E417">
        <v>60</v>
      </c>
      <c r="F417">
        <v>15.104400634999999</v>
      </c>
      <c r="G417">
        <v>1389.5623779</v>
      </c>
      <c r="H417">
        <v>1374.3529053</v>
      </c>
      <c r="I417">
        <v>1242.5413818</v>
      </c>
      <c r="J417">
        <v>1197.1104736</v>
      </c>
      <c r="K417">
        <v>2750</v>
      </c>
      <c r="L417">
        <v>0</v>
      </c>
      <c r="M417">
        <v>0</v>
      </c>
      <c r="N417">
        <v>2750</v>
      </c>
    </row>
    <row r="418" spans="1:14" x14ac:dyDescent="0.25">
      <c r="A418">
        <v>146.39567299999999</v>
      </c>
      <c r="B418" s="1">
        <f>DATE(2010,9,24) + TIME(9,29,46)</f>
        <v>40445.395671296297</v>
      </c>
      <c r="C418">
        <v>80</v>
      </c>
      <c r="D418">
        <v>79.926071167000003</v>
      </c>
      <c r="E418">
        <v>60</v>
      </c>
      <c r="F418">
        <v>15.111432076</v>
      </c>
      <c r="G418">
        <v>1389.5314940999999</v>
      </c>
      <c r="H418">
        <v>1374.3233643000001</v>
      </c>
      <c r="I418">
        <v>1242.5803223</v>
      </c>
      <c r="J418">
        <v>1197.1491699000001</v>
      </c>
      <c r="K418">
        <v>2750</v>
      </c>
      <c r="L418">
        <v>0</v>
      </c>
      <c r="M418">
        <v>0</v>
      </c>
      <c r="N418">
        <v>2750</v>
      </c>
    </row>
    <row r="419" spans="1:14" x14ac:dyDescent="0.25">
      <c r="A419">
        <v>146.901872</v>
      </c>
      <c r="B419" s="1">
        <f>DATE(2010,9,24) + TIME(21,38,41)</f>
        <v>40445.901863425926</v>
      </c>
      <c r="C419">
        <v>80</v>
      </c>
      <c r="D419">
        <v>79.926124572999996</v>
      </c>
      <c r="E419">
        <v>60</v>
      </c>
      <c r="F419">
        <v>15.118688583000001</v>
      </c>
      <c r="G419">
        <v>1389.5004882999999</v>
      </c>
      <c r="H419">
        <v>1374.2939452999999</v>
      </c>
      <c r="I419">
        <v>1242.6198730000001</v>
      </c>
      <c r="J419">
        <v>1197.1887207</v>
      </c>
      <c r="K419">
        <v>2750</v>
      </c>
      <c r="L419">
        <v>0</v>
      </c>
      <c r="M419">
        <v>0</v>
      </c>
      <c r="N419">
        <v>2750</v>
      </c>
    </row>
    <row r="420" spans="1:14" x14ac:dyDescent="0.25">
      <c r="A420">
        <v>147.40807100000001</v>
      </c>
      <c r="B420" s="1">
        <f>DATE(2010,9,25) + TIME(9,47,37)</f>
        <v>40446.408067129632</v>
      </c>
      <c r="C420">
        <v>80</v>
      </c>
      <c r="D420">
        <v>79.926170349000003</v>
      </c>
      <c r="E420">
        <v>60</v>
      </c>
      <c r="F420">
        <v>15.126250267</v>
      </c>
      <c r="G420">
        <v>1389.4696045000001</v>
      </c>
      <c r="H420">
        <v>1374.2644043</v>
      </c>
      <c r="I420">
        <v>1242.6600341999999</v>
      </c>
      <c r="J420">
        <v>1197.2288818</v>
      </c>
      <c r="K420">
        <v>2750</v>
      </c>
      <c r="L420">
        <v>0</v>
      </c>
      <c r="M420">
        <v>0</v>
      </c>
      <c r="N420">
        <v>2750</v>
      </c>
    </row>
    <row r="421" spans="1:14" x14ac:dyDescent="0.25">
      <c r="A421">
        <v>147.91426999999999</v>
      </c>
      <c r="B421" s="1">
        <f>DATE(2010,9,25) + TIME(21,56,32)</f>
        <v>40446.914259259262</v>
      </c>
      <c r="C421">
        <v>80</v>
      </c>
      <c r="D421">
        <v>79.926223754999995</v>
      </c>
      <c r="E421">
        <v>60</v>
      </c>
      <c r="F421">
        <v>15.134174347</v>
      </c>
      <c r="G421">
        <v>1389.4388428</v>
      </c>
      <c r="H421">
        <v>1374.2349853999999</v>
      </c>
      <c r="I421">
        <v>1242.7009277</v>
      </c>
      <c r="J421">
        <v>1197.2698975000001</v>
      </c>
      <c r="K421">
        <v>2750</v>
      </c>
      <c r="L421">
        <v>0</v>
      </c>
      <c r="M421">
        <v>0</v>
      </c>
      <c r="N421">
        <v>2750</v>
      </c>
    </row>
    <row r="422" spans="1:14" x14ac:dyDescent="0.25">
      <c r="A422">
        <v>148.420468</v>
      </c>
      <c r="B422" s="1">
        <f>DATE(2010,9,26) + TIME(10,5,28)</f>
        <v>40447.42046296296</v>
      </c>
      <c r="C422">
        <v>80</v>
      </c>
      <c r="D422">
        <v>79.926269531000003</v>
      </c>
      <c r="E422">
        <v>60</v>
      </c>
      <c r="F422">
        <v>15.142503738</v>
      </c>
      <c r="G422">
        <v>1389.4079589999999</v>
      </c>
      <c r="H422">
        <v>1374.2056885</v>
      </c>
      <c r="I422">
        <v>1242.7424315999999</v>
      </c>
      <c r="J422">
        <v>1197.3117675999999</v>
      </c>
      <c r="K422">
        <v>2750</v>
      </c>
      <c r="L422">
        <v>0</v>
      </c>
      <c r="M422">
        <v>0</v>
      </c>
      <c r="N422">
        <v>2750</v>
      </c>
    </row>
    <row r="423" spans="1:14" x14ac:dyDescent="0.25">
      <c r="A423">
        <v>148.92666700000001</v>
      </c>
      <c r="B423" s="1">
        <f>DATE(2010,9,26) + TIME(22,14,24)</f>
        <v>40447.926666666666</v>
      </c>
      <c r="C423">
        <v>80</v>
      </c>
      <c r="D423">
        <v>79.926322936999995</v>
      </c>
      <c r="E423">
        <v>60</v>
      </c>
      <c r="F423">
        <v>15.151272774000001</v>
      </c>
      <c r="G423">
        <v>1389.3771973</v>
      </c>
      <c r="H423">
        <v>1374.1762695</v>
      </c>
      <c r="I423">
        <v>1242.784668</v>
      </c>
      <c r="J423">
        <v>1197.3544922000001</v>
      </c>
      <c r="K423">
        <v>2750</v>
      </c>
      <c r="L423">
        <v>0</v>
      </c>
      <c r="M423">
        <v>0</v>
      </c>
      <c r="N423">
        <v>2750</v>
      </c>
    </row>
    <row r="424" spans="1:14" x14ac:dyDescent="0.25">
      <c r="A424">
        <v>149.43163000000001</v>
      </c>
      <c r="B424" s="1">
        <f>DATE(2010,9,27) + TIME(10,21,32)</f>
        <v>40448.431620370371</v>
      </c>
      <c r="C424">
        <v>80</v>
      </c>
      <c r="D424">
        <v>79.926368713000002</v>
      </c>
      <c r="E424">
        <v>60</v>
      </c>
      <c r="F424">
        <v>15.160499572999999</v>
      </c>
      <c r="G424">
        <v>1389.3465576000001</v>
      </c>
      <c r="H424">
        <v>1374.1469727000001</v>
      </c>
      <c r="I424">
        <v>1242.8275146000001</v>
      </c>
      <c r="J424">
        <v>1197.3981934000001</v>
      </c>
      <c r="K424">
        <v>2750</v>
      </c>
      <c r="L424">
        <v>0</v>
      </c>
      <c r="M424">
        <v>0</v>
      </c>
      <c r="N424">
        <v>2750</v>
      </c>
    </row>
    <row r="425" spans="1:14" x14ac:dyDescent="0.25">
      <c r="A425">
        <v>149.93530699999999</v>
      </c>
      <c r="B425" s="1">
        <f>DATE(2010,9,27) + TIME(22,26,50)</f>
        <v>40448.935300925928</v>
      </c>
      <c r="C425">
        <v>80</v>
      </c>
      <c r="D425">
        <v>79.926422118999994</v>
      </c>
      <c r="E425">
        <v>60</v>
      </c>
      <c r="F425">
        <v>15.170206070000001</v>
      </c>
      <c r="G425">
        <v>1389.315918</v>
      </c>
      <c r="H425">
        <v>1374.1176757999999</v>
      </c>
      <c r="I425">
        <v>1242.8709716999999</v>
      </c>
      <c r="J425">
        <v>1197.4426269999999</v>
      </c>
      <c r="K425">
        <v>2750</v>
      </c>
      <c r="L425">
        <v>0</v>
      </c>
      <c r="M425">
        <v>0</v>
      </c>
      <c r="N425">
        <v>2750</v>
      </c>
    </row>
    <row r="426" spans="1:14" x14ac:dyDescent="0.25">
      <c r="A426">
        <v>150.43782100000001</v>
      </c>
      <c r="B426" s="1">
        <f>DATE(2010,9,28) + TIME(10,30,27)</f>
        <v>40449.4378125</v>
      </c>
      <c r="C426">
        <v>80</v>
      </c>
      <c r="D426">
        <v>79.926467896000005</v>
      </c>
      <c r="E426">
        <v>60</v>
      </c>
      <c r="F426">
        <v>15.180413246000001</v>
      </c>
      <c r="G426">
        <v>1389.2854004000001</v>
      </c>
      <c r="H426">
        <v>1374.0886230000001</v>
      </c>
      <c r="I426">
        <v>1242.9150391000001</v>
      </c>
      <c r="J426">
        <v>1197.4880370999999</v>
      </c>
      <c r="K426">
        <v>2750</v>
      </c>
      <c r="L426">
        <v>0</v>
      </c>
      <c r="M426">
        <v>0</v>
      </c>
      <c r="N426">
        <v>2750</v>
      </c>
    </row>
    <row r="427" spans="1:14" x14ac:dyDescent="0.25">
      <c r="A427">
        <v>150.93929399999999</v>
      </c>
      <c r="B427" s="1">
        <f>DATE(2010,9,28) + TIME(22,32,34)</f>
        <v>40449.939282407409</v>
      </c>
      <c r="C427">
        <v>80</v>
      </c>
      <c r="D427">
        <v>79.926521300999994</v>
      </c>
      <c r="E427">
        <v>60</v>
      </c>
      <c r="F427">
        <v>15.191147804</v>
      </c>
      <c r="G427">
        <v>1389.2550048999999</v>
      </c>
      <c r="H427">
        <v>1374.0595702999999</v>
      </c>
      <c r="I427">
        <v>1242.9597168</v>
      </c>
      <c r="J427">
        <v>1197.5343018000001</v>
      </c>
      <c r="K427">
        <v>2750</v>
      </c>
      <c r="L427">
        <v>0</v>
      </c>
      <c r="M427">
        <v>0</v>
      </c>
      <c r="N427">
        <v>2750</v>
      </c>
    </row>
    <row r="428" spans="1:14" x14ac:dyDescent="0.25">
      <c r="A428">
        <v>151.43986000000001</v>
      </c>
      <c r="B428" s="1">
        <f>DATE(2010,9,29) + TIME(10,33,23)</f>
        <v>40450.439849537041</v>
      </c>
      <c r="C428">
        <v>80</v>
      </c>
      <c r="D428">
        <v>79.926567078000005</v>
      </c>
      <c r="E428">
        <v>60</v>
      </c>
      <c r="F428">
        <v>15.202432632000001</v>
      </c>
      <c r="G428">
        <v>1389.2247314000001</v>
      </c>
      <c r="H428">
        <v>1374.0306396000001</v>
      </c>
      <c r="I428">
        <v>1243.0050048999999</v>
      </c>
      <c r="J428">
        <v>1197.581543</v>
      </c>
      <c r="K428">
        <v>2750</v>
      </c>
      <c r="L428">
        <v>0</v>
      </c>
      <c r="M428">
        <v>0</v>
      </c>
      <c r="N428">
        <v>2750</v>
      </c>
    </row>
    <row r="429" spans="1:14" x14ac:dyDescent="0.25">
      <c r="A429">
        <v>151.93966499999999</v>
      </c>
      <c r="B429" s="1">
        <f>DATE(2010,9,29) + TIME(22,33,7)</f>
        <v>40450.939664351848</v>
      </c>
      <c r="C429">
        <v>80</v>
      </c>
      <c r="D429">
        <v>79.926612853999998</v>
      </c>
      <c r="E429">
        <v>60</v>
      </c>
      <c r="F429">
        <v>15.214296341000001</v>
      </c>
      <c r="G429">
        <v>1389.1944579999999</v>
      </c>
      <c r="H429">
        <v>1374.0017089999999</v>
      </c>
      <c r="I429">
        <v>1243.0510254000001</v>
      </c>
      <c r="J429">
        <v>1197.6298827999999</v>
      </c>
      <c r="K429">
        <v>2750</v>
      </c>
      <c r="L429">
        <v>0</v>
      </c>
      <c r="M429">
        <v>0</v>
      </c>
      <c r="N429">
        <v>2750</v>
      </c>
    </row>
    <row r="430" spans="1:14" x14ac:dyDescent="0.25">
      <c r="A430">
        <v>152.438862</v>
      </c>
      <c r="B430" s="1">
        <f>DATE(2010,9,30) + TIME(10,31,57)</f>
        <v>40451.438854166663</v>
      </c>
      <c r="C430">
        <v>80</v>
      </c>
      <c r="D430">
        <v>79.926666260000005</v>
      </c>
      <c r="E430">
        <v>60</v>
      </c>
      <c r="F430">
        <v>15.226764679</v>
      </c>
      <c r="G430">
        <v>1389.1643065999999</v>
      </c>
      <c r="H430">
        <v>1373.9729004000001</v>
      </c>
      <c r="I430">
        <v>1243.0976562000001</v>
      </c>
      <c r="J430">
        <v>1197.6791992000001</v>
      </c>
      <c r="K430">
        <v>2750</v>
      </c>
      <c r="L430">
        <v>0</v>
      </c>
      <c r="M430">
        <v>0</v>
      </c>
      <c r="N430">
        <v>2750</v>
      </c>
    </row>
    <row r="431" spans="1:14" x14ac:dyDescent="0.25">
      <c r="A431">
        <v>153</v>
      </c>
      <c r="B431" s="1">
        <f>DATE(2010,10,1) + TIME(0,0,0)</f>
        <v>40452</v>
      </c>
      <c r="C431">
        <v>80</v>
      </c>
      <c r="D431">
        <v>79.926719665999997</v>
      </c>
      <c r="E431">
        <v>60</v>
      </c>
      <c r="F431">
        <v>15.240813255000001</v>
      </c>
      <c r="G431">
        <v>1389.1342772999999</v>
      </c>
      <c r="H431">
        <v>1373.9443358999999</v>
      </c>
      <c r="I431">
        <v>1243.1442870999999</v>
      </c>
      <c r="J431">
        <v>1197.7298584</v>
      </c>
      <c r="K431">
        <v>2750</v>
      </c>
      <c r="L431">
        <v>0</v>
      </c>
      <c r="M431">
        <v>0</v>
      </c>
      <c r="N431">
        <v>2750</v>
      </c>
    </row>
    <row r="432" spans="1:14" x14ac:dyDescent="0.25">
      <c r="A432">
        <v>153.498751</v>
      </c>
      <c r="B432" s="1">
        <f>DATE(2010,10,1) + TIME(11,58,12)</f>
        <v>40452.498749999999</v>
      </c>
      <c r="C432">
        <v>80</v>
      </c>
      <c r="D432">
        <v>79.926765442000004</v>
      </c>
      <c r="E432">
        <v>60</v>
      </c>
      <c r="F432">
        <v>15.254949570000001</v>
      </c>
      <c r="G432">
        <v>1389.1005858999999</v>
      </c>
      <c r="H432">
        <v>1373.9119873</v>
      </c>
      <c r="I432">
        <v>1243.1990966999999</v>
      </c>
      <c r="J432">
        <v>1197.7872314000001</v>
      </c>
      <c r="K432">
        <v>2750</v>
      </c>
      <c r="L432">
        <v>0</v>
      </c>
      <c r="M432">
        <v>0</v>
      </c>
      <c r="N432">
        <v>2750</v>
      </c>
    </row>
    <row r="433" spans="1:14" x14ac:dyDescent="0.25">
      <c r="A433">
        <v>154.48449299999999</v>
      </c>
      <c r="B433" s="1">
        <f>DATE(2010,10,2) + TIME(11,37,40)</f>
        <v>40453.484490740739</v>
      </c>
      <c r="C433">
        <v>80</v>
      </c>
      <c r="D433">
        <v>79.926872252999999</v>
      </c>
      <c r="E433">
        <v>60</v>
      </c>
      <c r="F433">
        <v>15.275957108</v>
      </c>
      <c r="G433">
        <v>1389.0706786999999</v>
      </c>
      <c r="H433">
        <v>1373.8834228999999</v>
      </c>
      <c r="I433">
        <v>1243.2458495999999</v>
      </c>
      <c r="J433">
        <v>1197.8439940999999</v>
      </c>
      <c r="K433">
        <v>2750</v>
      </c>
      <c r="L433">
        <v>0</v>
      </c>
      <c r="M433">
        <v>0</v>
      </c>
      <c r="N433">
        <v>2750</v>
      </c>
    </row>
    <row r="434" spans="1:14" x14ac:dyDescent="0.25">
      <c r="A434">
        <v>155.47351399999999</v>
      </c>
      <c r="B434" s="1">
        <f>DATE(2010,10,3) + TIME(11,21,51)</f>
        <v>40454.473506944443</v>
      </c>
      <c r="C434">
        <v>80</v>
      </c>
      <c r="D434">
        <v>79.926963806000003</v>
      </c>
      <c r="E434">
        <v>60</v>
      </c>
      <c r="F434">
        <v>15.303488731</v>
      </c>
      <c r="G434">
        <v>1389.0119629000001</v>
      </c>
      <c r="H434">
        <v>1373.8273925999999</v>
      </c>
      <c r="I434">
        <v>1243.3449707</v>
      </c>
      <c r="J434">
        <v>1197.9492187999999</v>
      </c>
      <c r="K434">
        <v>2750</v>
      </c>
      <c r="L434">
        <v>0</v>
      </c>
      <c r="M434">
        <v>0</v>
      </c>
      <c r="N434">
        <v>2750</v>
      </c>
    </row>
    <row r="435" spans="1:14" x14ac:dyDescent="0.25">
      <c r="A435">
        <v>156.480593</v>
      </c>
      <c r="B435" s="1">
        <f>DATE(2010,10,4) + TIME(11,32,3)</f>
        <v>40455.480590277781</v>
      </c>
      <c r="C435">
        <v>80</v>
      </c>
      <c r="D435">
        <v>79.927062988000003</v>
      </c>
      <c r="E435">
        <v>60</v>
      </c>
      <c r="F435">
        <v>15.335979461999999</v>
      </c>
      <c r="G435">
        <v>1388.9527588000001</v>
      </c>
      <c r="H435">
        <v>1373.7707519999999</v>
      </c>
      <c r="I435">
        <v>1243.4471435999999</v>
      </c>
      <c r="J435">
        <v>1198.0611572</v>
      </c>
      <c r="K435">
        <v>2750</v>
      </c>
      <c r="L435">
        <v>0</v>
      </c>
      <c r="M435">
        <v>0</v>
      </c>
      <c r="N435">
        <v>2750</v>
      </c>
    </row>
    <row r="436" spans="1:14" x14ac:dyDescent="0.25">
      <c r="A436">
        <v>156.993865</v>
      </c>
      <c r="B436" s="1">
        <f>DATE(2010,10,4) + TIME(23,51,9)</f>
        <v>40455.993854166663</v>
      </c>
      <c r="C436">
        <v>80</v>
      </c>
      <c r="D436">
        <v>79.927108765</v>
      </c>
      <c r="E436">
        <v>60</v>
      </c>
      <c r="F436">
        <v>15.362036705</v>
      </c>
      <c r="G436">
        <v>1388.8927002</v>
      </c>
      <c r="H436">
        <v>1373.7132568</v>
      </c>
      <c r="I436">
        <v>1243.5583495999999</v>
      </c>
      <c r="J436">
        <v>1198.1745605000001</v>
      </c>
      <c r="K436">
        <v>2750</v>
      </c>
      <c r="L436">
        <v>0</v>
      </c>
      <c r="M436">
        <v>0</v>
      </c>
      <c r="N436">
        <v>2750</v>
      </c>
    </row>
    <row r="437" spans="1:14" x14ac:dyDescent="0.25">
      <c r="A437">
        <v>157.948846</v>
      </c>
      <c r="B437" s="1">
        <f>DATE(2010,10,5) + TIME(22,46,20)</f>
        <v>40456.948842592596</v>
      </c>
      <c r="C437">
        <v>80</v>
      </c>
      <c r="D437">
        <v>79.927207946999999</v>
      </c>
      <c r="E437">
        <v>60</v>
      </c>
      <c r="F437">
        <v>15.396021843</v>
      </c>
      <c r="G437">
        <v>1388.8613281</v>
      </c>
      <c r="H437">
        <v>1373.6832274999999</v>
      </c>
      <c r="I437">
        <v>1243.6101074000001</v>
      </c>
      <c r="J437">
        <v>1198.2469481999999</v>
      </c>
      <c r="K437">
        <v>2750</v>
      </c>
      <c r="L437">
        <v>0</v>
      </c>
      <c r="M437">
        <v>0</v>
      </c>
      <c r="N437">
        <v>2750</v>
      </c>
    </row>
    <row r="438" spans="1:14" x14ac:dyDescent="0.25">
      <c r="A438">
        <v>158.456051</v>
      </c>
      <c r="B438" s="1">
        <f>DATE(2010,10,6) + TIME(10,56,42)</f>
        <v>40457.456041666665</v>
      </c>
      <c r="C438">
        <v>80</v>
      </c>
      <c r="D438">
        <v>79.927253723000007</v>
      </c>
      <c r="E438">
        <v>60</v>
      </c>
      <c r="F438">
        <v>15.424416541999999</v>
      </c>
      <c r="G438">
        <v>1388.8049315999999</v>
      </c>
      <c r="H438">
        <v>1373.6291504000001</v>
      </c>
      <c r="I438">
        <v>1243.7213135</v>
      </c>
      <c r="J438">
        <v>1198.3621826000001</v>
      </c>
      <c r="K438">
        <v>2750</v>
      </c>
      <c r="L438">
        <v>0</v>
      </c>
      <c r="M438">
        <v>0</v>
      </c>
      <c r="N438">
        <v>2750</v>
      </c>
    </row>
    <row r="439" spans="1:14" x14ac:dyDescent="0.25">
      <c r="A439">
        <v>159.407433</v>
      </c>
      <c r="B439" s="1">
        <f>DATE(2010,10,7) + TIME(9,46,42)</f>
        <v>40458.407430555555</v>
      </c>
      <c r="C439">
        <v>80</v>
      </c>
      <c r="D439">
        <v>79.927345275999997</v>
      </c>
      <c r="E439">
        <v>60</v>
      </c>
      <c r="F439">
        <v>15.46218586</v>
      </c>
      <c r="G439">
        <v>1388.7740478999999</v>
      </c>
      <c r="H439">
        <v>1373.5996094</v>
      </c>
      <c r="I439">
        <v>1243.7747803</v>
      </c>
      <c r="J439">
        <v>1198.4393310999999</v>
      </c>
      <c r="K439">
        <v>2750</v>
      </c>
      <c r="L439">
        <v>0</v>
      </c>
      <c r="M439">
        <v>0</v>
      </c>
      <c r="N439">
        <v>2750</v>
      </c>
    </row>
    <row r="440" spans="1:14" x14ac:dyDescent="0.25">
      <c r="A440">
        <v>160.41775100000001</v>
      </c>
      <c r="B440" s="1">
        <f>DATE(2010,10,8) + TIME(10,1,33)</f>
        <v>40459.417743055557</v>
      </c>
      <c r="C440">
        <v>80</v>
      </c>
      <c r="D440">
        <v>79.927444457999997</v>
      </c>
      <c r="E440">
        <v>60</v>
      </c>
      <c r="F440">
        <v>15.507930756</v>
      </c>
      <c r="G440">
        <v>1388.7176514</v>
      </c>
      <c r="H440">
        <v>1373.5456543</v>
      </c>
      <c r="I440">
        <v>1243.8864745999999</v>
      </c>
      <c r="J440">
        <v>1198.5704346</v>
      </c>
      <c r="K440">
        <v>2750</v>
      </c>
      <c r="L440">
        <v>0</v>
      </c>
      <c r="M440">
        <v>0</v>
      </c>
      <c r="N440">
        <v>2750</v>
      </c>
    </row>
    <row r="441" spans="1:14" x14ac:dyDescent="0.25">
      <c r="A441">
        <v>160.92568600000001</v>
      </c>
      <c r="B441" s="1">
        <f>DATE(2010,10,8) + TIME(22,12,59)</f>
        <v>40459.925682870373</v>
      </c>
      <c r="C441">
        <v>80</v>
      </c>
      <c r="D441">
        <v>79.927490234000004</v>
      </c>
      <c r="E441">
        <v>60</v>
      </c>
      <c r="F441">
        <v>15.544897079</v>
      </c>
      <c r="G441">
        <v>1388.6577147999999</v>
      </c>
      <c r="H441">
        <v>1373.4881591999999</v>
      </c>
      <c r="I441">
        <v>1244.0151367000001</v>
      </c>
      <c r="J441">
        <v>1198.7071533000001</v>
      </c>
      <c r="K441">
        <v>2750</v>
      </c>
      <c r="L441">
        <v>0</v>
      </c>
      <c r="M441">
        <v>0</v>
      </c>
      <c r="N441">
        <v>2750</v>
      </c>
    </row>
    <row r="442" spans="1:14" x14ac:dyDescent="0.25">
      <c r="A442">
        <v>161.899148</v>
      </c>
      <c r="B442" s="1">
        <f>DATE(2010,10,9) + TIME(21,34,46)</f>
        <v>40460.899143518516</v>
      </c>
      <c r="C442">
        <v>80</v>
      </c>
      <c r="D442">
        <v>79.927581786999994</v>
      </c>
      <c r="E442">
        <v>60</v>
      </c>
      <c r="F442">
        <v>15.593727112</v>
      </c>
      <c r="G442">
        <v>1388.6267089999999</v>
      </c>
      <c r="H442">
        <v>1373.4584961</v>
      </c>
      <c r="I442">
        <v>1244.0714111</v>
      </c>
      <c r="J442">
        <v>1198.7966309000001</v>
      </c>
      <c r="K442">
        <v>2750</v>
      </c>
      <c r="L442">
        <v>0</v>
      </c>
      <c r="M442">
        <v>0</v>
      </c>
      <c r="N442">
        <v>2750</v>
      </c>
    </row>
    <row r="443" spans="1:14" x14ac:dyDescent="0.25">
      <c r="A443">
        <v>162.40104500000001</v>
      </c>
      <c r="B443" s="1">
        <f>DATE(2010,10,10) + TIME(9,37,30)</f>
        <v>40461.401041666664</v>
      </c>
      <c r="C443">
        <v>80</v>
      </c>
      <c r="D443">
        <v>79.927627563000001</v>
      </c>
      <c r="E443">
        <v>60</v>
      </c>
      <c r="F443">
        <v>15.634230614</v>
      </c>
      <c r="G443">
        <v>1388.5694579999999</v>
      </c>
      <c r="H443">
        <v>1373.4035644999999</v>
      </c>
      <c r="I443">
        <v>1244.2019043</v>
      </c>
      <c r="J443">
        <v>1198.9381103999999</v>
      </c>
      <c r="K443">
        <v>2750</v>
      </c>
      <c r="L443">
        <v>0</v>
      </c>
      <c r="M443">
        <v>0</v>
      </c>
      <c r="N443">
        <v>2750</v>
      </c>
    </row>
    <row r="444" spans="1:14" x14ac:dyDescent="0.25">
      <c r="A444">
        <v>163.36473899999999</v>
      </c>
      <c r="B444" s="1">
        <f>DATE(2010,10,11) + TIME(8,45,13)</f>
        <v>40462.364733796298</v>
      </c>
      <c r="C444">
        <v>80</v>
      </c>
      <c r="D444">
        <v>79.927726746000005</v>
      </c>
      <c r="E444">
        <v>60</v>
      </c>
      <c r="F444">
        <v>15.688351631</v>
      </c>
      <c r="G444">
        <v>1388.5388184000001</v>
      </c>
      <c r="H444">
        <v>1373.3741454999999</v>
      </c>
      <c r="I444">
        <v>1244.2600098</v>
      </c>
      <c r="J444">
        <v>1199.0338135</v>
      </c>
      <c r="K444">
        <v>2750</v>
      </c>
      <c r="L444">
        <v>0</v>
      </c>
      <c r="M444">
        <v>0</v>
      </c>
      <c r="N444">
        <v>2750</v>
      </c>
    </row>
    <row r="445" spans="1:14" x14ac:dyDescent="0.25">
      <c r="A445">
        <v>164.35928200000001</v>
      </c>
      <c r="B445" s="1">
        <f>DATE(2010,10,12) + TIME(8,37,21)</f>
        <v>40463.359270833331</v>
      </c>
      <c r="C445">
        <v>80</v>
      </c>
      <c r="D445">
        <v>79.927818298000005</v>
      </c>
      <c r="E445">
        <v>60</v>
      </c>
      <c r="F445">
        <v>15.753004074</v>
      </c>
      <c r="G445">
        <v>1388.4819336</v>
      </c>
      <c r="H445">
        <v>1373.3195800999999</v>
      </c>
      <c r="I445">
        <v>1244.3886719</v>
      </c>
      <c r="J445">
        <v>1199.1958007999999</v>
      </c>
      <c r="K445">
        <v>2750</v>
      </c>
      <c r="L445">
        <v>0</v>
      </c>
      <c r="M445">
        <v>0</v>
      </c>
      <c r="N445">
        <v>2750</v>
      </c>
    </row>
    <row r="446" spans="1:14" x14ac:dyDescent="0.25">
      <c r="A446">
        <v>165.35615999999999</v>
      </c>
      <c r="B446" s="1">
        <f>DATE(2010,10,13) + TIME(8,32,52)</f>
        <v>40464.356157407405</v>
      </c>
      <c r="C446">
        <v>80</v>
      </c>
      <c r="D446">
        <v>79.927917480000005</v>
      </c>
      <c r="E446">
        <v>60</v>
      </c>
      <c r="F446">
        <v>15.826279639999999</v>
      </c>
      <c r="G446">
        <v>1388.4227295000001</v>
      </c>
      <c r="H446">
        <v>1373.2628173999999</v>
      </c>
      <c r="I446">
        <v>1244.5251464999999</v>
      </c>
      <c r="J446">
        <v>1199.3721923999999</v>
      </c>
      <c r="K446">
        <v>2750</v>
      </c>
      <c r="L446">
        <v>0</v>
      </c>
      <c r="M446">
        <v>0</v>
      </c>
      <c r="N446">
        <v>2750</v>
      </c>
    </row>
    <row r="447" spans="1:14" x14ac:dyDescent="0.25">
      <c r="A447">
        <v>166.35792000000001</v>
      </c>
      <c r="B447" s="1">
        <f>DATE(2010,10,14) + TIME(8,35,24)</f>
        <v>40465.357916666668</v>
      </c>
      <c r="C447">
        <v>80</v>
      </c>
      <c r="D447">
        <v>79.928009032999995</v>
      </c>
      <c r="E447">
        <v>60</v>
      </c>
      <c r="F447">
        <v>15.907260895</v>
      </c>
      <c r="G447">
        <v>1388.3635254000001</v>
      </c>
      <c r="H447">
        <v>1373.2058105000001</v>
      </c>
      <c r="I447">
        <v>1244.6657714999999</v>
      </c>
      <c r="J447">
        <v>1199.5589600000001</v>
      </c>
      <c r="K447">
        <v>2750</v>
      </c>
      <c r="L447">
        <v>0</v>
      </c>
      <c r="M447">
        <v>0</v>
      </c>
      <c r="N447">
        <v>2750</v>
      </c>
    </row>
    <row r="448" spans="1:14" x14ac:dyDescent="0.25">
      <c r="A448">
        <v>166.86247299999999</v>
      </c>
      <c r="B448" s="1">
        <f>DATE(2010,10,14) + TIME(20,41,57)</f>
        <v>40465.86246527778</v>
      </c>
      <c r="C448">
        <v>80</v>
      </c>
      <c r="D448">
        <v>79.928054810000006</v>
      </c>
      <c r="E448">
        <v>60</v>
      </c>
      <c r="F448">
        <v>15.969408035000001</v>
      </c>
      <c r="G448">
        <v>1388.3043213000001</v>
      </c>
      <c r="H448">
        <v>1373.1489257999999</v>
      </c>
      <c r="I448">
        <v>1244.8211670000001</v>
      </c>
      <c r="J448">
        <v>1199.7408447</v>
      </c>
      <c r="K448">
        <v>2750</v>
      </c>
      <c r="L448">
        <v>0</v>
      </c>
      <c r="M448">
        <v>0</v>
      </c>
      <c r="N448">
        <v>2750</v>
      </c>
    </row>
    <row r="449" spans="1:14" x14ac:dyDescent="0.25">
      <c r="A449">
        <v>167.83898600000001</v>
      </c>
      <c r="B449" s="1">
        <f>DATE(2010,10,15) + TIME(20,8,8)</f>
        <v>40466.83898148148</v>
      </c>
      <c r="C449">
        <v>80</v>
      </c>
      <c r="D449">
        <v>79.928146362000007</v>
      </c>
      <c r="E449">
        <v>60</v>
      </c>
      <c r="F449">
        <v>16.050529480000002</v>
      </c>
      <c r="G449">
        <v>1388.2735596</v>
      </c>
      <c r="H449">
        <v>1373.1193848</v>
      </c>
      <c r="I449">
        <v>1244.8843993999999</v>
      </c>
      <c r="J449">
        <v>1199.8660889</v>
      </c>
      <c r="K449">
        <v>2750</v>
      </c>
      <c r="L449">
        <v>0</v>
      </c>
      <c r="M449">
        <v>0</v>
      </c>
      <c r="N449">
        <v>2750</v>
      </c>
    </row>
    <row r="450" spans="1:14" x14ac:dyDescent="0.25">
      <c r="A450">
        <v>168.33718400000001</v>
      </c>
      <c r="B450" s="1">
        <f>DATE(2010,10,16) + TIME(8,5,32)</f>
        <v>40467.337175925924</v>
      </c>
      <c r="C450">
        <v>80</v>
      </c>
      <c r="D450">
        <v>79.928192139000004</v>
      </c>
      <c r="E450">
        <v>60</v>
      </c>
      <c r="F450">
        <v>16.116329192999999</v>
      </c>
      <c r="G450">
        <v>1388.2161865</v>
      </c>
      <c r="H450">
        <v>1373.0643310999999</v>
      </c>
      <c r="I450">
        <v>1245.0437012</v>
      </c>
      <c r="J450">
        <v>1200.0549315999999</v>
      </c>
      <c r="K450">
        <v>2750</v>
      </c>
      <c r="L450">
        <v>0</v>
      </c>
      <c r="M450">
        <v>0</v>
      </c>
      <c r="N450">
        <v>2750</v>
      </c>
    </row>
    <row r="451" spans="1:14" x14ac:dyDescent="0.25">
      <c r="A451">
        <v>169.30510599999999</v>
      </c>
      <c r="B451" s="1">
        <f>DATE(2010,10,17) + TIME(7,19,21)</f>
        <v>40468.305104166669</v>
      </c>
      <c r="C451">
        <v>80</v>
      </c>
      <c r="D451">
        <v>79.928291321000003</v>
      </c>
      <c r="E451">
        <v>60</v>
      </c>
      <c r="F451">
        <v>16.203714371</v>
      </c>
      <c r="G451">
        <v>1388.1857910000001</v>
      </c>
      <c r="H451">
        <v>1373.0350341999999</v>
      </c>
      <c r="I451">
        <v>1245.1087646000001</v>
      </c>
      <c r="J451">
        <v>1200.1877440999999</v>
      </c>
      <c r="K451">
        <v>2750</v>
      </c>
      <c r="L451">
        <v>0</v>
      </c>
      <c r="M451">
        <v>0</v>
      </c>
      <c r="N451">
        <v>2750</v>
      </c>
    </row>
    <row r="452" spans="1:14" x14ac:dyDescent="0.25">
      <c r="A452">
        <v>170.29411099999999</v>
      </c>
      <c r="B452" s="1">
        <f>DATE(2010,10,18) + TIME(7,3,31)</f>
        <v>40469.294108796297</v>
      </c>
      <c r="C452">
        <v>80</v>
      </c>
      <c r="D452">
        <v>79.928382873999993</v>
      </c>
      <c r="E452">
        <v>60</v>
      </c>
      <c r="F452">
        <v>16.306447983000002</v>
      </c>
      <c r="G452">
        <v>1388.1287841999999</v>
      </c>
      <c r="H452">
        <v>1372.9801024999999</v>
      </c>
      <c r="I452">
        <v>1245.2625731999999</v>
      </c>
      <c r="J452">
        <v>1200.4064940999999</v>
      </c>
      <c r="K452">
        <v>2750</v>
      </c>
      <c r="L452">
        <v>0</v>
      </c>
      <c r="M452">
        <v>0</v>
      </c>
      <c r="N452">
        <v>2750</v>
      </c>
    </row>
    <row r="453" spans="1:14" x14ac:dyDescent="0.25">
      <c r="A453">
        <v>171.28815299999999</v>
      </c>
      <c r="B453" s="1">
        <f>DATE(2010,10,19) + TIME(6,54,56)</f>
        <v>40470.288148148145</v>
      </c>
      <c r="C453">
        <v>80</v>
      </c>
      <c r="D453">
        <v>79.928474425999994</v>
      </c>
      <c r="E453">
        <v>60</v>
      </c>
      <c r="F453">
        <v>16.421123505000001</v>
      </c>
      <c r="G453">
        <v>1388.0700684000001</v>
      </c>
      <c r="H453">
        <v>1372.9237060999999</v>
      </c>
      <c r="I453">
        <v>1245.4230957</v>
      </c>
      <c r="J453">
        <v>1200.6422118999999</v>
      </c>
      <c r="K453">
        <v>2750</v>
      </c>
      <c r="L453">
        <v>0</v>
      </c>
      <c r="M453">
        <v>0</v>
      </c>
      <c r="N453">
        <v>2750</v>
      </c>
    </row>
    <row r="454" spans="1:14" x14ac:dyDescent="0.25">
      <c r="A454">
        <v>172.28982099999999</v>
      </c>
      <c r="B454" s="1">
        <f>DATE(2010,10,20) + TIME(6,57,20)</f>
        <v>40471.289814814816</v>
      </c>
      <c r="C454">
        <v>80</v>
      </c>
      <c r="D454">
        <v>79.928565978999998</v>
      </c>
      <c r="E454">
        <v>60</v>
      </c>
      <c r="F454">
        <v>16.546222687</v>
      </c>
      <c r="G454">
        <v>1388.0111084</v>
      </c>
      <c r="H454">
        <v>1372.8669434000001</v>
      </c>
      <c r="I454">
        <v>1245.5880127</v>
      </c>
      <c r="J454">
        <v>1200.8916016000001</v>
      </c>
      <c r="K454">
        <v>2750</v>
      </c>
      <c r="L454">
        <v>0</v>
      </c>
      <c r="M454">
        <v>0</v>
      </c>
      <c r="N454">
        <v>2750</v>
      </c>
    </row>
    <row r="455" spans="1:14" x14ac:dyDescent="0.25">
      <c r="A455">
        <v>173.301481</v>
      </c>
      <c r="B455" s="1">
        <f>DATE(2010,10,21) + TIME(7,14,7)</f>
        <v>40472.301469907405</v>
      </c>
      <c r="C455">
        <v>80</v>
      </c>
      <c r="D455">
        <v>79.928665160999998</v>
      </c>
      <c r="E455">
        <v>60</v>
      </c>
      <c r="F455">
        <v>16.681476592999999</v>
      </c>
      <c r="G455">
        <v>1387.9517822</v>
      </c>
      <c r="H455">
        <v>1372.8096923999999</v>
      </c>
      <c r="I455">
        <v>1245.7578125</v>
      </c>
      <c r="J455">
        <v>1201.1549072</v>
      </c>
      <c r="K455">
        <v>2750</v>
      </c>
      <c r="L455">
        <v>0</v>
      </c>
      <c r="M455">
        <v>0</v>
      </c>
      <c r="N455">
        <v>2750</v>
      </c>
    </row>
    <row r="456" spans="1:14" x14ac:dyDescent="0.25">
      <c r="A456">
        <v>173.81363300000001</v>
      </c>
      <c r="B456" s="1">
        <f>DATE(2010,10,21) + TIME(19,31,37)</f>
        <v>40472.813622685186</v>
      </c>
      <c r="C456">
        <v>80</v>
      </c>
      <c r="D456">
        <v>79.928703307999996</v>
      </c>
      <c r="E456">
        <v>60</v>
      </c>
      <c r="F456">
        <v>16.784059525</v>
      </c>
      <c r="G456">
        <v>1387.8922118999999</v>
      </c>
      <c r="H456">
        <v>1372.7524414</v>
      </c>
      <c r="I456">
        <v>1245.9487305</v>
      </c>
      <c r="J456">
        <v>1201.4061279</v>
      </c>
      <c r="K456">
        <v>2750</v>
      </c>
      <c r="L456">
        <v>0</v>
      </c>
      <c r="M456">
        <v>0</v>
      </c>
      <c r="N456">
        <v>2750</v>
      </c>
    </row>
    <row r="457" spans="1:14" x14ac:dyDescent="0.25">
      <c r="A457">
        <v>174.79477199999999</v>
      </c>
      <c r="B457" s="1">
        <f>DATE(2010,10,22) + TIME(19,4,28)</f>
        <v>40473.794768518521</v>
      </c>
      <c r="C457">
        <v>80</v>
      </c>
      <c r="D457">
        <v>79.928802489999995</v>
      </c>
      <c r="E457">
        <v>60</v>
      </c>
      <c r="F457">
        <v>16.915031432999999</v>
      </c>
      <c r="G457">
        <v>1387.8610839999999</v>
      </c>
      <c r="H457">
        <v>1372.7222899999999</v>
      </c>
      <c r="I457">
        <v>1246.0213623</v>
      </c>
      <c r="J457">
        <v>1201.5870361</v>
      </c>
      <c r="K457">
        <v>2750</v>
      </c>
      <c r="L457">
        <v>0</v>
      </c>
      <c r="M457">
        <v>0</v>
      </c>
      <c r="N457">
        <v>2750</v>
      </c>
    </row>
    <row r="458" spans="1:14" x14ac:dyDescent="0.25">
      <c r="A458">
        <v>175.806588</v>
      </c>
      <c r="B458" s="1">
        <f>DATE(2010,10,23) + TIME(19,21,29)</f>
        <v>40474.806585648148</v>
      </c>
      <c r="C458">
        <v>80</v>
      </c>
      <c r="D458">
        <v>79.928894043</v>
      </c>
      <c r="E458">
        <v>60</v>
      </c>
      <c r="F458">
        <v>17.064752579</v>
      </c>
      <c r="G458">
        <v>1387.8034668</v>
      </c>
      <c r="H458">
        <v>1372.6667480000001</v>
      </c>
      <c r="I458">
        <v>1246.1984863</v>
      </c>
      <c r="J458">
        <v>1201.8710937999999</v>
      </c>
      <c r="K458">
        <v>2750</v>
      </c>
      <c r="L458">
        <v>0</v>
      </c>
      <c r="M458">
        <v>0</v>
      </c>
      <c r="N458">
        <v>2750</v>
      </c>
    </row>
    <row r="459" spans="1:14" x14ac:dyDescent="0.25">
      <c r="A459">
        <v>176.82558700000001</v>
      </c>
      <c r="B459" s="1">
        <f>DATE(2010,10,24) + TIME(19,48,50)</f>
        <v>40475.825578703705</v>
      </c>
      <c r="C459">
        <v>80</v>
      </c>
      <c r="D459">
        <v>79.928993224999999</v>
      </c>
      <c r="E459">
        <v>60</v>
      </c>
      <c r="F459">
        <v>17.229120255000002</v>
      </c>
      <c r="G459">
        <v>1387.7437743999999</v>
      </c>
      <c r="H459">
        <v>1372.6092529</v>
      </c>
      <c r="I459">
        <v>1246.3845214999999</v>
      </c>
      <c r="J459">
        <v>1202.1768798999999</v>
      </c>
      <c r="K459">
        <v>2750</v>
      </c>
      <c r="L459">
        <v>0</v>
      </c>
      <c r="M459">
        <v>0</v>
      </c>
      <c r="N459">
        <v>2750</v>
      </c>
    </row>
    <row r="460" spans="1:14" x14ac:dyDescent="0.25">
      <c r="A460">
        <v>177.85480100000001</v>
      </c>
      <c r="B460" s="1">
        <f>DATE(2010,10,25) + TIME(20,30,54)</f>
        <v>40476.854791666665</v>
      </c>
      <c r="C460">
        <v>80</v>
      </c>
      <c r="D460">
        <v>79.929084778000004</v>
      </c>
      <c r="E460">
        <v>60</v>
      </c>
      <c r="F460">
        <v>17.405864716</v>
      </c>
      <c r="G460">
        <v>1387.6837158000001</v>
      </c>
      <c r="H460">
        <v>1372.5512695</v>
      </c>
      <c r="I460">
        <v>1246.5749512</v>
      </c>
      <c r="J460">
        <v>1202.4984131000001</v>
      </c>
      <c r="K460">
        <v>2750</v>
      </c>
      <c r="L460">
        <v>0</v>
      </c>
      <c r="M460">
        <v>0</v>
      </c>
      <c r="N460">
        <v>2750</v>
      </c>
    </row>
    <row r="461" spans="1:14" x14ac:dyDescent="0.25">
      <c r="A461">
        <v>178.89774499999999</v>
      </c>
      <c r="B461" s="1">
        <f>DATE(2010,10,26) + TIME(21,32,45)</f>
        <v>40477.897743055553</v>
      </c>
      <c r="C461">
        <v>80</v>
      </c>
      <c r="D461">
        <v>79.929183960000003</v>
      </c>
      <c r="E461">
        <v>60</v>
      </c>
      <c r="F461">
        <v>17.594392775999999</v>
      </c>
      <c r="G461">
        <v>1387.6232910000001</v>
      </c>
      <c r="H461">
        <v>1372.4929199000001</v>
      </c>
      <c r="I461">
        <v>1246.7706298999999</v>
      </c>
      <c r="J461">
        <v>1202.8355713000001</v>
      </c>
      <c r="K461">
        <v>2750</v>
      </c>
      <c r="L461">
        <v>0</v>
      </c>
      <c r="M461">
        <v>0</v>
      </c>
      <c r="N461">
        <v>2750</v>
      </c>
    </row>
    <row r="462" spans="1:14" x14ac:dyDescent="0.25">
      <c r="A462">
        <v>179.95701500000001</v>
      </c>
      <c r="B462" s="1">
        <f>DATE(2010,10,27) + TIME(22,58,6)</f>
        <v>40478.957013888888</v>
      </c>
      <c r="C462">
        <v>80</v>
      </c>
      <c r="D462">
        <v>79.929283142000003</v>
      </c>
      <c r="E462">
        <v>60</v>
      </c>
      <c r="F462">
        <v>17.794822693</v>
      </c>
      <c r="G462">
        <v>1387.5621338000001</v>
      </c>
      <c r="H462">
        <v>1372.4338379000001</v>
      </c>
      <c r="I462">
        <v>1246.9722899999999</v>
      </c>
      <c r="J462">
        <v>1203.1894531</v>
      </c>
      <c r="K462">
        <v>2750</v>
      </c>
      <c r="L462">
        <v>0</v>
      </c>
      <c r="M462">
        <v>0</v>
      </c>
      <c r="N462">
        <v>2750</v>
      </c>
    </row>
    <row r="463" spans="1:14" x14ac:dyDescent="0.25">
      <c r="A463">
        <v>181.03522799999999</v>
      </c>
      <c r="B463" s="1">
        <f>DATE(2010,10,29) + TIME(0,50,43)</f>
        <v>40480.035219907404</v>
      </c>
      <c r="C463">
        <v>80</v>
      </c>
      <c r="D463">
        <v>79.929382324000002</v>
      </c>
      <c r="E463">
        <v>60</v>
      </c>
      <c r="F463">
        <v>18.007547378999998</v>
      </c>
      <c r="G463">
        <v>1387.5002440999999</v>
      </c>
      <c r="H463">
        <v>1372.3741454999999</v>
      </c>
      <c r="I463">
        <v>1247.1806641000001</v>
      </c>
      <c r="J463">
        <v>1203.5609131000001</v>
      </c>
      <c r="K463">
        <v>2750</v>
      </c>
      <c r="L463">
        <v>0</v>
      </c>
      <c r="M463">
        <v>0</v>
      </c>
      <c r="N463">
        <v>2750</v>
      </c>
    </row>
    <row r="464" spans="1:14" x14ac:dyDescent="0.25">
      <c r="A464">
        <v>182.122454</v>
      </c>
      <c r="B464" s="1">
        <f>DATE(2010,10,30) + TIME(2,56,20)</f>
        <v>40481.122453703705</v>
      </c>
      <c r="C464">
        <v>80</v>
      </c>
      <c r="D464">
        <v>79.929481506000002</v>
      </c>
      <c r="E464">
        <v>60</v>
      </c>
      <c r="F464">
        <v>18.232034682999998</v>
      </c>
      <c r="G464">
        <v>1387.4373779</v>
      </c>
      <c r="H464">
        <v>1372.3134766000001</v>
      </c>
      <c r="I464">
        <v>1247.3966064000001</v>
      </c>
      <c r="J464">
        <v>1203.9503173999999</v>
      </c>
      <c r="K464">
        <v>2750</v>
      </c>
      <c r="L464">
        <v>0</v>
      </c>
      <c r="M464">
        <v>0</v>
      </c>
      <c r="N464">
        <v>2750</v>
      </c>
    </row>
    <row r="465" spans="1:14" x14ac:dyDescent="0.25">
      <c r="A465">
        <v>183.221991</v>
      </c>
      <c r="B465" s="1">
        <f>DATE(2010,10,31) + TIME(5,19,40)</f>
        <v>40482.221990740742</v>
      </c>
      <c r="C465">
        <v>80</v>
      </c>
      <c r="D465">
        <v>79.929580688000001</v>
      </c>
      <c r="E465">
        <v>60</v>
      </c>
      <c r="F465">
        <v>18.467748642</v>
      </c>
      <c r="G465">
        <v>1387.3743896000001</v>
      </c>
      <c r="H465">
        <v>1372.2525635</v>
      </c>
      <c r="I465">
        <v>1247.6175536999999</v>
      </c>
      <c r="J465">
        <v>1204.3551024999999</v>
      </c>
      <c r="K465">
        <v>2750</v>
      </c>
      <c r="L465">
        <v>0</v>
      </c>
      <c r="M465">
        <v>0</v>
      </c>
      <c r="N465">
        <v>2750</v>
      </c>
    </row>
    <row r="466" spans="1:14" x14ac:dyDescent="0.25">
      <c r="A466">
        <v>184</v>
      </c>
      <c r="B466" s="1">
        <f>DATE(2010,11,1) + TIME(0,0,0)</f>
        <v>40483</v>
      </c>
      <c r="C466">
        <v>80</v>
      </c>
      <c r="D466">
        <v>79.929649353000002</v>
      </c>
      <c r="E466">
        <v>60</v>
      </c>
      <c r="F466">
        <v>18.678558349999999</v>
      </c>
      <c r="G466">
        <v>1387.3110352000001</v>
      </c>
      <c r="H466">
        <v>1372.1915283000001</v>
      </c>
      <c r="I466">
        <v>1247.8537598</v>
      </c>
      <c r="J466">
        <v>1204.7513428</v>
      </c>
      <c r="K466">
        <v>2750</v>
      </c>
      <c r="L466">
        <v>0</v>
      </c>
      <c r="M466">
        <v>0</v>
      </c>
      <c r="N466">
        <v>2750</v>
      </c>
    </row>
    <row r="467" spans="1:14" x14ac:dyDescent="0.25">
      <c r="A467">
        <v>184.000001</v>
      </c>
      <c r="B467" s="1">
        <f>DATE(2010,11,1) + TIME(0,0,0)</f>
        <v>40483</v>
      </c>
      <c r="C467">
        <v>80</v>
      </c>
      <c r="D467">
        <v>79.929504394999995</v>
      </c>
      <c r="E467">
        <v>60</v>
      </c>
      <c r="F467">
        <v>18.678724289000002</v>
      </c>
      <c r="G467">
        <v>1371.192749</v>
      </c>
      <c r="H467">
        <v>1357.3046875</v>
      </c>
      <c r="I467">
        <v>1291.5581055</v>
      </c>
      <c r="J467">
        <v>1248.9034423999999</v>
      </c>
      <c r="K467">
        <v>0</v>
      </c>
      <c r="L467">
        <v>2750</v>
      </c>
      <c r="M467">
        <v>2750</v>
      </c>
      <c r="N467">
        <v>0</v>
      </c>
    </row>
    <row r="468" spans="1:14" x14ac:dyDescent="0.25">
      <c r="A468">
        <v>184.00000399999999</v>
      </c>
      <c r="B468" s="1">
        <f>DATE(2010,11,1) + TIME(0,0,0)</f>
        <v>40483</v>
      </c>
      <c r="C468">
        <v>80</v>
      </c>
      <c r="D468">
        <v>79.929145813000005</v>
      </c>
      <c r="E468">
        <v>60</v>
      </c>
      <c r="F468">
        <v>18.679204940999998</v>
      </c>
      <c r="G468">
        <v>1368.6694336</v>
      </c>
      <c r="H468">
        <v>1354.7802733999999</v>
      </c>
      <c r="I468">
        <v>1294.3957519999999</v>
      </c>
      <c r="J468">
        <v>1251.8514404</v>
      </c>
      <c r="K468">
        <v>0</v>
      </c>
      <c r="L468">
        <v>2750</v>
      </c>
      <c r="M468">
        <v>2750</v>
      </c>
      <c r="N468">
        <v>0</v>
      </c>
    </row>
    <row r="469" spans="1:14" x14ac:dyDescent="0.25">
      <c r="A469">
        <v>184.000013</v>
      </c>
      <c r="B469" s="1">
        <f>DATE(2010,11,1) + TIME(0,0,1)</f>
        <v>40483.000011574077</v>
      </c>
      <c r="C469">
        <v>80</v>
      </c>
      <c r="D469">
        <v>79.928421021000005</v>
      </c>
      <c r="E469">
        <v>60</v>
      </c>
      <c r="F469">
        <v>18.680488585999999</v>
      </c>
      <c r="G469">
        <v>1363.5750731999999</v>
      </c>
      <c r="H469">
        <v>1349.6849365</v>
      </c>
      <c r="I469">
        <v>1301.5952147999999</v>
      </c>
      <c r="J469">
        <v>1259.2729492000001</v>
      </c>
      <c r="K469">
        <v>0</v>
      </c>
      <c r="L469">
        <v>2750</v>
      </c>
      <c r="M469">
        <v>2750</v>
      </c>
      <c r="N469">
        <v>0</v>
      </c>
    </row>
    <row r="470" spans="1:14" x14ac:dyDescent="0.25">
      <c r="A470">
        <v>184.00004000000001</v>
      </c>
      <c r="B470" s="1">
        <f>DATE(2010,11,1) + TIME(0,0,3)</f>
        <v>40483.000034722223</v>
      </c>
      <c r="C470">
        <v>80</v>
      </c>
      <c r="D470">
        <v>79.927360535000005</v>
      </c>
      <c r="E470">
        <v>60</v>
      </c>
      <c r="F470">
        <v>18.683555602999999</v>
      </c>
      <c r="G470">
        <v>1356.1333007999999</v>
      </c>
      <c r="H470">
        <v>1342.2442627</v>
      </c>
      <c r="I470">
        <v>1316.2587891000001</v>
      </c>
      <c r="J470">
        <v>1274.1947021000001</v>
      </c>
      <c r="K470">
        <v>0</v>
      </c>
      <c r="L470">
        <v>2750</v>
      </c>
      <c r="M470">
        <v>2750</v>
      </c>
      <c r="N470">
        <v>0</v>
      </c>
    </row>
    <row r="471" spans="1:14" x14ac:dyDescent="0.25">
      <c r="A471">
        <v>184.00012100000001</v>
      </c>
      <c r="B471" s="1">
        <f>DATE(2010,11,1) + TIME(0,0,10)</f>
        <v>40483.000115740739</v>
      </c>
      <c r="C471">
        <v>80</v>
      </c>
      <c r="D471">
        <v>79.926155089999995</v>
      </c>
      <c r="E471">
        <v>60</v>
      </c>
      <c r="F471">
        <v>18.690299988</v>
      </c>
      <c r="G471">
        <v>1347.8402100000001</v>
      </c>
      <c r="H471">
        <v>1333.9641113</v>
      </c>
      <c r="I471">
        <v>1337.9085693</v>
      </c>
      <c r="J471">
        <v>1295.9222411999999</v>
      </c>
      <c r="K471">
        <v>0</v>
      </c>
      <c r="L471">
        <v>2750</v>
      </c>
      <c r="M471">
        <v>2750</v>
      </c>
      <c r="N471">
        <v>0</v>
      </c>
    </row>
    <row r="472" spans="1:14" x14ac:dyDescent="0.25">
      <c r="A472">
        <v>184.00036399999999</v>
      </c>
      <c r="B472" s="1">
        <f>DATE(2010,11,1) + TIME(0,0,31)</f>
        <v>40483.000358796293</v>
      </c>
      <c r="C472">
        <v>80</v>
      </c>
      <c r="D472">
        <v>79.924880981000001</v>
      </c>
      <c r="E472">
        <v>60</v>
      </c>
      <c r="F472">
        <v>18.706224442</v>
      </c>
      <c r="G472">
        <v>1339.5008545000001</v>
      </c>
      <c r="H472">
        <v>1325.6407471</v>
      </c>
      <c r="I472">
        <v>1362.1992187999999</v>
      </c>
      <c r="J472">
        <v>1320.1950684000001</v>
      </c>
      <c r="K472">
        <v>0</v>
      </c>
      <c r="L472">
        <v>2750</v>
      </c>
      <c r="M472">
        <v>2750</v>
      </c>
      <c r="N472">
        <v>0</v>
      </c>
    </row>
    <row r="473" spans="1:14" x14ac:dyDescent="0.25">
      <c r="A473">
        <v>184.001093</v>
      </c>
      <c r="B473" s="1">
        <f>DATE(2010,11,1) + TIME(0,1,34)</f>
        <v>40483.001087962963</v>
      </c>
      <c r="C473">
        <v>80</v>
      </c>
      <c r="D473">
        <v>79.923416137999993</v>
      </c>
      <c r="E473">
        <v>60</v>
      </c>
      <c r="F473">
        <v>18.748876572</v>
      </c>
      <c r="G473">
        <v>1331.0922852000001</v>
      </c>
      <c r="H473">
        <v>1317.2333983999999</v>
      </c>
      <c r="I473">
        <v>1386.5845947</v>
      </c>
      <c r="J473">
        <v>1344.5968018000001</v>
      </c>
      <c r="K473">
        <v>0</v>
      </c>
      <c r="L473">
        <v>2750</v>
      </c>
      <c r="M473">
        <v>2750</v>
      </c>
      <c r="N473">
        <v>0</v>
      </c>
    </row>
    <row r="474" spans="1:14" x14ac:dyDescent="0.25">
      <c r="A474">
        <v>184.00327999999999</v>
      </c>
      <c r="B474" s="1">
        <f>DATE(2010,11,1) + TIME(0,4,43)</f>
        <v>40483.003275462965</v>
      </c>
      <c r="C474">
        <v>80</v>
      </c>
      <c r="D474">
        <v>79.921310425000001</v>
      </c>
      <c r="E474">
        <v>60</v>
      </c>
      <c r="F474">
        <v>18.871498108000001</v>
      </c>
      <c r="G474">
        <v>1322.109375</v>
      </c>
      <c r="H474">
        <v>1308.1832274999999</v>
      </c>
      <c r="I474">
        <v>1410.3222656</v>
      </c>
      <c r="J474">
        <v>1368.3829346</v>
      </c>
      <c r="K474">
        <v>0</v>
      </c>
      <c r="L474">
        <v>2750</v>
      </c>
      <c r="M474">
        <v>2750</v>
      </c>
      <c r="N474">
        <v>0</v>
      </c>
    </row>
    <row r="475" spans="1:14" x14ac:dyDescent="0.25">
      <c r="A475">
        <v>184.00984099999999</v>
      </c>
      <c r="B475" s="1">
        <f>DATE(2010,11,1) + TIME(0,14,10)</f>
        <v>40483.009837962964</v>
      </c>
      <c r="C475">
        <v>80</v>
      </c>
      <c r="D475">
        <v>79.917411803999997</v>
      </c>
      <c r="E475">
        <v>60</v>
      </c>
      <c r="F475">
        <v>19.232545853000001</v>
      </c>
      <c r="G475">
        <v>1312.1387939000001</v>
      </c>
      <c r="H475">
        <v>1298.1124268000001</v>
      </c>
      <c r="I475">
        <v>1431.3570557</v>
      </c>
      <c r="J475">
        <v>1389.6168213000001</v>
      </c>
      <c r="K475">
        <v>0</v>
      </c>
      <c r="L475">
        <v>2750</v>
      </c>
      <c r="M475">
        <v>2750</v>
      </c>
      <c r="N475">
        <v>0</v>
      </c>
    </row>
    <row r="476" spans="1:14" x14ac:dyDescent="0.25">
      <c r="A476">
        <v>184.027828</v>
      </c>
      <c r="B476" s="1">
        <f>DATE(2010,11,1) + TIME(0,40,4)</f>
        <v>40483.027824074074</v>
      </c>
      <c r="C476">
        <v>80</v>
      </c>
      <c r="D476">
        <v>79.909431458</v>
      </c>
      <c r="E476">
        <v>60</v>
      </c>
      <c r="F476">
        <v>20.199615478999998</v>
      </c>
      <c r="G476">
        <v>1303.2969971</v>
      </c>
      <c r="H476">
        <v>1289.2163086</v>
      </c>
      <c r="I476">
        <v>1444.7565918</v>
      </c>
      <c r="J476">
        <v>1403.8270264</v>
      </c>
      <c r="K476">
        <v>0</v>
      </c>
      <c r="L476">
        <v>2750</v>
      </c>
      <c r="M476">
        <v>2750</v>
      </c>
      <c r="N476">
        <v>0</v>
      </c>
    </row>
    <row r="477" spans="1:14" x14ac:dyDescent="0.25">
      <c r="A477">
        <v>184.04632599999999</v>
      </c>
      <c r="B477" s="1">
        <f>DATE(2010,11,1) + TIME(1,6,42)</f>
        <v>40483.046319444446</v>
      </c>
      <c r="C477">
        <v>80</v>
      </c>
      <c r="D477">
        <v>79.902030945000007</v>
      </c>
      <c r="E477">
        <v>60</v>
      </c>
      <c r="F477">
        <v>21.172924041999998</v>
      </c>
      <c r="G477">
        <v>1299.5878906</v>
      </c>
      <c r="H477">
        <v>1285.4926757999999</v>
      </c>
      <c r="I477">
        <v>1448.4169922000001</v>
      </c>
      <c r="J477">
        <v>1408.3674315999999</v>
      </c>
      <c r="K477">
        <v>0</v>
      </c>
      <c r="L477">
        <v>2750</v>
      </c>
      <c r="M477">
        <v>2750</v>
      </c>
      <c r="N477">
        <v>0</v>
      </c>
    </row>
    <row r="478" spans="1:14" x14ac:dyDescent="0.25">
      <c r="A478">
        <v>184.065246</v>
      </c>
      <c r="B478" s="1">
        <f>DATE(2010,11,1) + TIME(1,33,57)</f>
        <v>40483.065243055556</v>
      </c>
      <c r="C478">
        <v>80</v>
      </c>
      <c r="D478">
        <v>79.894798279</v>
      </c>
      <c r="E478">
        <v>60</v>
      </c>
      <c r="F478">
        <v>22.145763397</v>
      </c>
      <c r="G478">
        <v>1297.8596190999999</v>
      </c>
      <c r="H478">
        <v>1283.7587891000001</v>
      </c>
      <c r="I478">
        <v>1448.9680175999999</v>
      </c>
      <c r="J478">
        <v>1409.8026123</v>
      </c>
      <c r="K478">
        <v>0</v>
      </c>
      <c r="L478">
        <v>2750</v>
      </c>
      <c r="M478">
        <v>2750</v>
      </c>
      <c r="N478">
        <v>0</v>
      </c>
    </row>
    <row r="479" spans="1:14" x14ac:dyDescent="0.25">
      <c r="A479">
        <v>184.08459300000001</v>
      </c>
      <c r="B479" s="1">
        <f>DATE(2010,11,1) + TIME(2,1,48)</f>
        <v>40483.084583333337</v>
      </c>
      <c r="C479">
        <v>80</v>
      </c>
      <c r="D479">
        <v>79.887596130000006</v>
      </c>
      <c r="E479">
        <v>60</v>
      </c>
      <c r="F479">
        <v>23.117053985999998</v>
      </c>
      <c r="G479">
        <v>1297.0043945</v>
      </c>
      <c r="H479">
        <v>1282.9011230000001</v>
      </c>
      <c r="I479">
        <v>1448.3771973</v>
      </c>
      <c r="J479">
        <v>1410.0758057</v>
      </c>
      <c r="K479">
        <v>0</v>
      </c>
      <c r="L479">
        <v>2750</v>
      </c>
      <c r="M479">
        <v>2750</v>
      </c>
      <c r="N479">
        <v>0</v>
      </c>
    </row>
    <row r="480" spans="1:14" x14ac:dyDescent="0.25">
      <c r="A480">
        <v>184.10436999999999</v>
      </c>
      <c r="B480" s="1">
        <f>DATE(2010,11,1) + TIME(2,30,17)</f>
        <v>40483.104363425926</v>
      </c>
      <c r="C480">
        <v>80</v>
      </c>
      <c r="D480">
        <v>79.880348205999994</v>
      </c>
      <c r="E480">
        <v>60</v>
      </c>
      <c r="F480">
        <v>24.085760117</v>
      </c>
      <c r="G480">
        <v>1296.5637207</v>
      </c>
      <c r="H480">
        <v>1282.4588623</v>
      </c>
      <c r="I480">
        <v>1447.3582764</v>
      </c>
      <c r="J480">
        <v>1409.8920897999999</v>
      </c>
      <c r="K480">
        <v>0</v>
      </c>
      <c r="L480">
        <v>2750</v>
      </c>
      <c r="M480">
        <v>2750</v>
      </c>
      <c r="N480">
        <v>0</v>
      </c>
    </row>
    <row r="481" spans="1:14" x14ac:dyDescent="0.25">
      <c r="A481">
        <v>184.124606</v>
      </c>
      <c r="B481" s="1">
        <f>DATE(2010,11,1) + TIME(2,59,25)</f>
        <v>40483.124594907407</v>
      </c>
      <c r="C481">
        <v>80</v>
      </c>
      <c r="D481">
        <v>79.873023986999996</v>
      </c>
      <c r="E481">
        <v>60</v>
      </c>
      <c r="F481">
        <v>25.052181244</v>
      </c>
      <c r="G481">
        <v>1296.3284911999999</v>
      </c>
      <c r="H481">
        <v>1282.2226562000001</v>
      </c>
      <c r="I481">
        <v>1446.1961670000001</v>
      </c>
      <c r="J481">
        <v>1409.5347899999999</v>
      </c>
      <c r="K481">
        <v>0</v>
      </c>
      <c r="L481">
        <v>2750</v>
      </c>
      <c r="M481">
        <v>2750</v>
      </c>
      <c r="N481">
        <v>0</v>
      </c>
    </row>
    <row r="482" spans="1:14" x14ac:dyDescent="0.25">
      <c r="A482">
        <v>184.145329</v>
      </c>
      <c r="B482" s="1">
        <f>DATE(2010,11,1) + TIME(3,29,16)</f>
        <v>40483.145324074074</v>
      </c>
      <c r="C482">
        <v>80</v>
      </c>
      <c r="D482">
        <v>79.865600585999999</v>
      </c>
      <c r="E482">
        <v>60</v>
      </c>
      <c r="F482">
        <v>26.016958237000001</v>
      </c>
      <c r="G482">
        <v>1296.1988524999999</v>
      </c>
      <c r="H482">
        <v>1282.0924072</v>
      </c>
      <c r="I482">
        <v>1445.0080565999999</v>
      </c>
      <c r="J482">
        <v>1409.1208495999999</v>
      </c>
      <c r="K482">
        <v>0</v>
      </c>
      <c r="L482">
        <v>2750</v>
      </c>
      <c r="M482">
        <v>2750</v>
      </c>
      <c r="N482">
        <v>0</v>
      </c>
    </row>
    <row r="483" spans="1:14" x14ac:dyDescent="0.25">
      <c r="A483">
        <v>184.16656</v>
      </c>
      <c r="B483" s="1">
        <f>DATE(2010,11,1) + TIME(3,59,50)</f>
        <v>40483.166550925926</v>
      </c>
      <c r="C483">
        <v>80</v>
      </c>
      <c r="D483">
        <v>79.858070373999993</v>
      </c>
      <c r="E483">
        <v>60</v>
      </c>
      <c r="F483">
        <v>26.979312897</v>
      </c>
      <c r="G483">
        <v>1296.1252440999999</v>
      </c>
      <c r="H483">
        <v>1282.0181885</v>
      </c>
      <c r="I483">
        <v>1443.8408202999999</v>
      </c>
      <c r="J483">
        <v>1408.6981201000001</v>
      </c>
      <c r="K483">
        <v>0</v>
      </c>
      <c r="L483">
        <v>2750</v>
      </c>
      <c r="M483">
        <v>2750</v>
      </c>
      <c r="N483">
        <v>0</v>
      </c>
    </row>
    <row r="484" spans="1:14" x14ac:dyDescent="0.25">
      <c r="A484">
        <v>184.18833000000001</v>
      </c>
      <c r="B484" s="1">
        <f>DATE(2010,11,1) + TIME(4,31,11)</f>
        <v>40483.188321759262</v>
      </c>
      <c r="C484">
        <v>80</v>
      </c>
      <c r="D484">
        <v>79.850418090999995</v>
      </c>
      <c r="E484">
        <v>60</v>
      </c>
      <c r="F484">
        <v>27.939208984</v>
      </c>
      <c r="G484">
        <v>1296.0825195</v>
      </c>
      <c r="H484">
        <v>1281.9749756000001</v>
      </c>
      <c r="I484">
        <v>1442.7113036999999</v>
      </c>
      <c r="J484">
        <v>1408.2844238</v>
      </c>
      <c r="K484">
        <v>0</v>
      </c>
      <c r="L484">
        <v>2750</v>
      </c>
      <c r="M484">
        <v>2750</v>
      </c>
      <c r="N484">
        <v>0</v>
      </c>
    </row>
    <row r="485" spans="1:14" x14ac:dyDescent="0.25">
      <c r="A485">
        <v>184.21066400000001</v>
      </c>
      <c r="B485" s="1">
        <f>DATE(2010,11,1) + TIME(5,3,21)</f>
        <v>40483.210659722223</v>
      </c>
      <c r="C485">
        <v>80</v>
      </c>
      <c r="D485">
        <v>79.842643738000007</v>
      </c>
      <c r="E485">
        <v>60</v>
      </c>
      <c r="F485">
        <v>28.896442412999999</v>
      </c>
      <c r="G485">
        <v>1296.057251</v>
      </c>
      <c r="H485">
        <v>1281.9492187999999</v>
      </c>
      <c r="I485">
        <v>1441.6239014</v>
      </c>
      <c r="J485">
        <v>1407.885376</v>
      </c>
      <c r="K485">
        <v>0</v>
      </c>
      <c r="L485">
        <v>2750</v>
      </c>
      <c r="M485">
        <v>2750</v>
      </c>
      <c r="N485">
        <v>0</v>
      </c>
    </row>
    <row r="486" spans="1:14" x14ac:dyDescent="0.25">
      <c r="A486">
        <v>184.23358999999999</v>
      </c>
      <c r="B486" s="1">
        <f>DATE(2010,11,1) + TIME(5,36,22)</f>
        <v>40483.233587962961</v>
      </c>
      <c r="C486">
        <v>80</v>
      </c>
      <c r="D486">
        <v>79.834732056000007</v>
      </c>
      <c r="E486">
        <v>60</v>
      </c>
      <c r="F486">
        <v>29.850654601999999</v>
      </c>
      <c r="G486">
        <v>1296.0422363</v>
      </c>
      <c r="H486">
        <v>1281.9335937999999</v>
      </c>
      <c r="I486">
        <v>1440.5784911999999</v>
      </c>
      <c r="J486">
        <v>1407.5018310999999</v>
      </c>
      <c r="K486">
        <v>0</v>
      </c>
      <c r="L486">
        <v>2750</v>
      </c>
      <c r="M486">
        <v>2750</v>
      </c>
      <c r="N486">
        <v>0</v>
      </c>
    </row>
    <row r="487" spans="1:14" x14ac:dyDescent="0.25">
      <c r="A487">
        <v>184.25715</v>
      </c>
      <c r="B487" s="1">
        <f>DATE(2010,11,1) + TIME(6,10,17)</f>
        <v>40483.257141203707</v>
      </c>
      <c r="C487">
        <v>80</v>
      </c>
      <c r="D487">
        <v>79.826675414999997</v>
      </c>
      <c r="E487">
        <v>60</v>
      </c>
      <c r="F487">
        <v>30.802314758000001</v>
      </c>
      <c r="G487">
        <v>1296.0332031</v>
      </c>
      <c r="H487">
        <v>1281.9240723</v>
      </c>
      <c r="I487">
        <v>1439.5725098</v>
      </c>
      <c r="J487">
        <v>1407.1329346</v>
      </c>
      <c r="K487">
        <v>0</v>
      </c>
      <c r="L487">
        <v>2750</v>
      </c>
      <c r="M487">
        <v>2750</v>
      </c>
      <c r="N487">
        <v>0</v>
      </c>
    </row>
    <row r="488" spans="1:14" x14ac:dyDescent="0.25">
      <c r="A488">
        <v>184.281384</v>
      </c>
      <c r="B488" s="1">
        <f>DATE(2010,11,1) + TIME(6,45,11)</f>
        <v>40483.281377314815</v>
      </c>
      <c r="C488">
        <v>80</v>
      </c>
      <c r="D488">
        <v>79.818458557</v>
      </c>
      <c r="E488">
        <v>60</v>
      </c>
      <c r="F488">
        <v>31.751199721999999</v>
      </c>
      <c r="G488">
        <v>1296.0277100000001</v>
      </c>
      <c r="H488">
        <v>1281.9182129000001</v>
      </c>
      <c r="I488">
        <v>1438.6033935999999</v>
      </c>
      <c r="J488">
        <v>1406.7770995999999</v>
      </c>
      <c r="K488">
        <v>0</v>
      </c>
      <c r="L488">
        <v>2750</v>
      </c>
      <c r="M488">
        <v>2750</v>
      </c>
      <c r="N488">
        <v>0</v>
      </c>
    </row>
    <row r="489" spans="1:14" x14ac:dyDescent="0.25">
      <c r="A489">
        <v>184.30633399999999</v>
      </c>
      <c r="B489" s="1">
        <f>DATE(2010,11,1) + TIME(7,21,7)</f>
        <v>40483.306331018517</v>
      </c>
      <c r="C489">
        <v>80</v>
      </c>
      <c r="D489">
        <v>79.810081482000001</v>
      </c>
      <c r="E489">
        <v>60</v>
      </c>
      <c r="F489">
        <v>32.697208404999998</v>
      </c>
      <c r="G489">
        <v>1296.0245361</v>
      </c>
      <c r="H489">
        <v>1281.9144286999999</v>
      </c>
      <c r="I489">
        <v>1437.6687012</v>
      </c>
      <c r="J489">
        <v>1406.4328613</v>
      </c>
      <c r="K489">
        <v>0</v>
      </c>
      <c r="L489">
        <v>2750</v>
      </c>
      <c r="M489">
        <v>2750</v>
      </c>
      <c r="N489">
        <v>0</v>
      </c>
    </row>
    <row r="490" spans="1:14" x14ac:dyDescent="0.25">
      <c r="A490">
        <v>184.33204699999999</v>
      </c>
      <c r="B490" s="1">
        <f>DATE(2010,11,1) + TIME(7,58,8)</f>
        <v>40483.332037037035</v>
      </c>
      <c r="C490">
        <v>80</v>
      </c>
      <c r="D490">
        <v>79.801528931000007</v>
      </c>
      <c r="E490">
        <v>60</v>
      </c>
      <c r="F490">
        <v>33.640266418000003</v>
      </c>
      <c r="G490">
        <v>1296.0225829999999</v>
      </c>
      <c r="H490">
        <v>1281.9119873</v>
      </c>
      <c r="I490">
        <v>1436.7659911999999</v>
      </c>
      <c r="J490">
        <v>1406.098999</v>
      </c>
      <c r="K490">
        <v>0</v>
      </c>
      <c r="L490">
        <v>2750</v>
      </c>
      <c r="M490">
        <v>2750</v>
      </c>
      <c r="N490">
        <v>0</v>
      </c>
    </row>
    <row r="491" spans="1:14" x14ac:dyDescent="0.25">
      <c r="A491">
        <v>184.35856999999999</v>
      </c>
      <c r="B491" s="1">
        <f>DATE(2010,11,1) + TIME(8,36,20)</f>
        <v>40483.358564814815</v>
      </c>
      <c r="C491">
        <v>80</v>
      </c>
      <c r="D491">
        <v>79.792785644999995</v>
      </c>
      <c r="E491">
        <v>60</v>
      </c>
      <c r="F491">
        <v>34.580116271999998</v>
      </c>
      <c r="G491">
        <v>1296.0213623</v>
      </c>
      <c r="H491">
        <v>1281.9102783000001</v>
      </c>
      <c r="I491">
        <v>1435.8935547000001</v>
      </c>
      <c r="J491">
        <v>1405.7746582</v>
      </c>
      <c r="K491">
        <v>0</v>
      </c>
      <c r="L491">
        <v>2750</v>
      </c>
      <c r="M491">
        <v>2750</v>
      </c>
      <c r="N491">
        <v>0</v>
      </c>
    </row>
    <row r="492" spans="1:14" x14ac:dyDescent="0.25">
      <c r="A492">
        <v>184.38595900000001</v>
      </c>
      <c r="B492" s="1">
        <f>DATE(2010,11,1) + TIME(9,15,46)</f>
        <v>40483.385949074072</v>
      </c>
      <c r="C492">
        <v>80</v>
      </c>
      <c r="D492">
        <v>79.783836364999999</v>
      </c>
      <c r="E492">
        <v>60</v>
      </c>
      <c r="F492">
        <v>35.516635895</v>
      </c>
      <c r="G492">
        <v>1296.0205077999999</v>
      </c>
      <c r="H492">
        <v>1281.9089355000001</v>
      </c>
      <c r="I492">
        <v>1435.0493164</v>
      </c>
      <c r="J492">
        <v>1405.4587402</v>
      </c>
      <c r="K492">
        <v>0</v>
      </c>
      <c r="L492">
        <v>2750</v>
      </c>
      <c r="M492">
        <v>2750</v>
      </c>
      <c r="N492">
        <v>0</v>
      </c>
    </row>
    <row r="493" spans="1:14" x14ac:dyDescent="0.25">
      <c r="A493">
        <v>184.414277</v>
      </c>
      <c r="B493" s="1">
        <f>DATE(2010,11,1) + TIME(9,56,33)</f>
        <v>40483.414270833331</v>
      </c>
      <c r="C493">
        <v>80</v>
      </c>
      <c r="D493">
        <v>79.774681091000005</v>
      </c>
      <c r="E493">
        <v>60</v>
      </c>
      <c r="F493">
        <v>36.449741363999998</v>
      </c>
      <c r="G493">
        <v>1296.0197754000001</v>
      </c>
      <c r="H493">
        <v>1281.9077147999999</v>
      </c>
      <c r="I493">
        <v>1434.2319336</v>
      </c>
      <c r="J493">
        <v>1405.1506348</v>
      </c>
      <c r="K493">
        <v>0</v>
      </c>
      <c r="L493">
        <v>2750</v>
      </c>
      <c r="M493">
        <v>2750</v>
      </c>
      <c r="N493">
        <v>0</v>
      </c>
    </row>
    <row r="494" spans="1:14" x14ac:dyDescent="0.25">
      <c r="A494">
        <v>184.44359</v>
      </c>
      <c r="B494" s="1">
        <f>DATE(2010,11,1) + TIME(10,38,46)</f>
        <v>40483.44358796296</v>
      </c>
      <c r="C494">
        <v>80</v>
      </c>
      <c r="D494">
        <v>79.765289307000003</v>
      </c>
      <c r="E494">
        <v>60</v>
      </c>
      <c r="F494">
        <v>37.379291533999996</v>
      </c>
      <c r="G494">
        <v>1296.0191649999999</v>
      </c>
      <c r="H494">
        <v>1281.9066161999999</v>
      </c>
      <c r="I494">
        <v>1433.4395752</v>
      </c>
      <c r="J494">
        <v>1404.8496094</v>
      </c>
      <c r="K494">
        <v>0</v>
      </c>
      <c r="L494">
        <v>2750</v>
      </c>
      <c r="M494">
        <v>2750</v>
      </c>
      <c r="N494">
        <v>0</v>
      </c>
    </row>
    <row r="495" spans="1:14" x14ac:dyDescent="0.25">
      <c r="A495">
        <v>184.47397699999999</v>
      </c>
      <c r="B495" s="1">
        <f>DATE(2010,11,1) + TIME(11,22,31)</f>
        <v>40483.473969907405</v>
      </c>
      <c r="C495">
        <v>80</v>
      </c>
      <c r="D495">
        <v>79.755645752000007</v>
      </c>
      <c r="E495">
        <v>60</v>
      </c>
      <c r="F495">
        <v>38.305114746000001</v>
      </c>
      <c r="G495">
        <v>1296.0185547000001</v>
      </c>
      <c r="H495">
        <v>1281.9053954999999</v>
      </c>
      <c r="I495">
        <v>1432.6710204999999</v>
      </c>
      <c r="J495">
        <v>1404.5548096</v>
      </c>
      <c r="K495">
        <v>0</v>
      </c>
      <c r="L495">
        <v>2750</v>
      </c>
      <c r="M495">
        <v>2750</v>
      </c>
      <c r="N495">
        <v>0</v>
      </c>
    </row>
    <row r="496" spans="1:14" x14ac:dyDescent="0.25">
      <c r="A496">
        <v>184.50551999999999</v>
      </c>
      <c r="B496" s="1">
        <f>DATE(2010,11,1) + TIME(12,7,56)</f>
        <v>40483.505509259259</v>
      </c>
      <c r="C496">
        <v>80</v>
      </c>
      <c r="D496">
        <v>79.745742797999995</v>
      </c>
      <c r="E496">
        <v>60</v>
      </c>
      <c r="F496">
        <v>39.227031707999998</v>
      </c>
      <c r="G496">
        <v>1296.0179443</v>
      </c>
      <c r="H496">
        <v>1281.9041748</v>
      </c>
      <c r="I496">
        <v>1431.9246826000001</v>
      </c>
      <c r="J496">
        <v>1404.2657471</v>
      </c>
      <c r="K496">
        <v>0</v>
      </c>
      <c r="L496">
        <v>2750</v>
      </c>
      <c r="M496">
        <v>2750</v>
      </c>
      <c r="N496">
        <v>0</v>
      </c>
    </row>
    <row r="497" spans="1:14" x14ac:dyDescent="0.25">
      <c r="A497">
        <v>184.53831299999999</v>
      </c>
      <c r="B497" s="1">
        <f>DATE(2010,11,1) + TIME(12,55,10)</f>
        <v>40483.538310185184</v>
      </c>
      <c r="C497">
        <v>80</v>
      </c>
      <c r="D497">
        <v>79.735542296999995</v>
      </c>
      <c r="E497">
        <v>60</v>
      </c>
      <c r="F497">
        <v>40.144863129000001</v>
      </c>
      <c r="G497">
        <v>1296.0170897999999</v>
      </c>
      <c r="H497">
        <v>1281.902832</v>
      </c>
      <c r="I497">
        <v>1431.1995850000001</v>
      </c>
      <c r="J497">
        <v>1403.9818115</v>
      </c>
      <c r="K497">
        <v>0</v>
      </c>
      <c r="L497">
        <v>2750</v>
      </c>
      <c r="M497">
        <v>2750</v>
      </c>
      <c r="N497">
        <v>0</v>
      </c>
    </row>
    <row r="498" spans="1:14" x14ac:dyDescent="0.25">
      <c r="A498">
        <v>184.572463</v>
      </c>
      <c r="B498" s="1">
        <f>DATE(2010,11,1) + TIME(13,44,20)</f>
        <v>40483.572453703702</v>
      </c>
      <c r="C498">
        <v>80</v>
      </c>
      <c r="D498">
        <v>79.725036621000001</v>
      </c>
      <c r="E498">
        <v>60</v>
      </c>
      <c r="F498">
        <v>41.058517455999997</v>
      </c>
      <c r="G498">
        <v>1296.0162353999999</v>
      </c>
      <c r="H498">
        <v>1281.9012451000001</v>
      </c>
      <c r="I498">
        <v>1430.4942627</v>
      </c>
      <c r="J498">
        <v>1403.7023925999999</v>
      </c>
      <c r="K498">
        <v>0</v>
      </c>
      <c r="L498">
        <v>2750</v>
      </c>
      <c r="M498">
        <v>2750</v>
      </c>
      <c r="N498">
        <v>0</v>
      </c>
    </row>
    <row r="499" spans="1:14" x14ac:dyDescent="0.25">
      <c r="A499">
        <v>184.60808900000001</v>
      </c>
      <c r="B499" s="1">
        <f>DATE(2010,11,1) + TIME(14,35,38)</f>
        <v>40483.608078703706</v>
      </c>
      <c r="C499">
        <v>80</v>
      </c>
      <c r="D499">
        <v>79.714187621999997</v>
      </c>
      <c r="E499">
        <v>60</v>
      </c>
      <c r="F499">
        <v>41.967552185000002</v>
      </c>
      <c r="G499">
        <v>1296.0151367000001</v>
      </c>
      <c r="H499">
        <v>1281.8996582</v>
      </c>
      <c r="I499">
        <v>1429.8076172000001</v>
      </c>
      <c r="J499">
        <v>1403.4268798999999</v>
      </c>
      <c r="K499">
        <v>0</v>
      </c>
      <c r="L499">
        <v>2750</v>
      </c>
      <c r="M499">
        <v>2750</v>
      </c>
      <c r="N499">
        <v>0</v>
      </c>
    </row>
    <row r="500" spans="1:14" x14ac:dyDescent="0.25">
      <c r="A500">
        <v>184.64532500000001</v>
      </c>
      <c r="B500" s="1">
        <f>DATE(2010,11,1) + TIME(15,29,16)</f>
        <v>40483.645324074074</v>
      </c>
      <c r="C500">
        <v>80</v>
      </c>
      <c r="D500">
        <v>79.702964782999999</v>
      </c>
      <c r="E500">
        <v>60</v>
      </c>
      <c r="F500">
        <v>42.871658324999999</v>
      </c>
      <c r="G500">
        <v>1296.0140381000001</v>
      </c>
      <c r="H500">
        <v>1281.8978271000001</v>
      </c>
      <c r="I500">
        <v>1429.1384277</v>
      </c>
      <c r="J500">
        <v>1403.1547852000001</v>
      </c>
      <c r="K500">
        <v>0</v>
      </c>
      <c r="L500">
        <v>2750</v>
      </c>
      <c r="M500">
        <v>2750</v>
      </c>
      <c r="N500">
        <v>0</v>
      </c>
    </row>
    <row r="501" spans="1:14" x14ac:dyDescent="0.25">
      <c r="A501">
        <v>184.684324</v>
      </c>
      <c r="B501" s="1">
        <f>DATE(2010,11,1) + TIME(16,25,25)</f>
        <v>40483.684317129628</v>
      </c>
      <c r="C501">
        <v>80</v>
      </c>
      <c r="D501">
        <v>79.691337584999999</v>
      </c>
      <c r="E501">
        <v>60</v>
      </c>
      <c r="F501">
        <v>43.770462035999998</v>
      </c>
      <c r="G501">
        <v>1296.0126952999999</v>
      </c>
      <c r="H501">
        <v>1281.895874</v>
      </c>
      <c r="I501">
        <v>1428.4858397999999</v>
      </c>
      <c r="J501">
        <v>1402.8852539</v>
      </c>
      <c r="K501">
        <v>0</v>
      </c>
      <c r="L501">
        <v>2750</v>
      </c>
      <c r="M501">
        <v>2750</v>
      </c>
      <c r="N501">
        <v>0</v>
      </c>
    </row>
    <row r="502" spans="1:14" x14ac:dyDescent="0.25">
      <c r="A502">
        <v>184.72525400000001</v>
      </c>
      <c r="B502" s="1">
        <f>DATE(2010,11,1) + TIME(17,24,21)</f>
        <v>40483.725243055553</v>
      </c>
      <c r="C502">
        <v>80</v>
      </c>
      <c r="D502">
        <v>79.679275512999993</v>
      </c>
      <c r="E502">
        <v>60</v>
      </c>
      <c r="F502">
        <v>44.663414001</v>
      </c>
      <c r="G502">
        <v>1296.0112305</v>
      </c>
      <c r="H502">
        <v>1281.8937988</v>
      </c>
      <c r="I502">
        <v>1427.8486327999999</v>
      </c>
      <c r="J502">
        <v>1402.6179199000001</v>
      </c>
      <c r="K502">
        <v>0</v>
      </c>
      <c r="L502">
        <v>2750</v>
      </c>
      <c r="M502">
        <v>2750</v>
      </c>
      <c r="N502">
        <v>0</v>
      </c>
    </row>
    <row r="503" spans="1:14" x14ac:dyDescent="0.25">
      <c r="A503">
        <v>184.768326</v>
      </c>
      <c r="B503" s="1">
        <f>DATE(2010,11,1) + TIME(18,26,23)</f>
        <v>40483.768321759257</v>
      </c>
      <c r="C503">
        <v>80</v>
      </c>
      <c r="D503">
        <v>79.666717528999996</v>
      </c>
      <c r="E503">
        <v>60</v>
      </c>
      <c r="F503">
        <v>45.550235747999999</v>
      </c>
      <c r="G503">
        <v>1296.0097656</v>
      </c>
      <c r="H503">
        <v>1281.8916016000001</v>
      </c>
      <c r="I503">
        <v>1427.2257079999999</v>
      </c>
      <c r="J503">
        <v>1402.3520507999999</v>
      </c>
      <c r="K503">
        <v>0</v>
      </c>
      <c r="L503">
        <v>2750</v>
      </c>
      <c r="M503">
        <v>2750</v>
      </c>
      <c r="N503">
        <v>0</v>
      </c>
    </row>
    <row r="504" spans="1:14" x14ac:dyDescent="0.25">
      <c r="A504">
        <v>184.813774</v>
      </c>
      <c r="B504" s="1">
        <f>DATE(2010,11,1) + TIME(19,31,50)</f>
        <v>40483.813773148147</v>
      </c>
      <c r="C504">
        <v>80</v>
      </c>
      <c r="D504">
        <v>79.653617858999993</v>
      </c>
      <c r="E504">
        <v>60</v>
      </c>
      <c r="F504">
        <v>46.430416106999999</v>
      </c>
      <c r="G504">
        <v>1296.0080565999999</v>
      </c>
      <c r="H504">
        <v>1281.8891602000001</v>
      </c>
      <c r="I504">
        <v>1426.6160889</v>
      </c>
      <c r="J504">
        <v>1402.0870361</v>
      </c>
      <c r="K504">
        <v>0</v>
      </c>
      <c r="L504">
        <v>2750</v>
      </c>
      <c r="M504">
        <v>2750</v>
      </c>
      <c r="N504">
        <v>0</v>
      </c>
    </row>
    <row r="505" spans="1:14" x14ac:dyDescent="0.25">
      <c r="A505">
        <v>184.861873</v>
      </c>
      <c r="B505" s="1">
        <f>DATE(2010,11,1) + TIME(20,41,5)</f>
        <v>40483.861863425926</v>
      </c>
      <c r="C505">
        <v>80</v>
      </c>
      <c r="D505">
        <v>79.639930724999999</v>
      </c>
      <c r="E505">
        <v>60</v>
      </c>
      <c r="F505">
        <v>47.303382874</v>
      </c>
      <c r="G505">
        <v>1296.0062256000001</v>
      </c>
      <c r="H505">
        <v>1281.8865966999999</v>
      </c>
      <c r="I505">
        <v>1426.0185547000001</v>
      </c>
      <c r="J505">
        <v>1401.8221435999999</v>
      </c>
      <c r="K505">
        <v>0</v>
      </c>
      <c r="L505">
        <v>2750</v>
      </c>
      <c r="M505">
        <v>2750</v>
      </c>
      <c r="N505">
        <v>0</v>
      </c>
    </row>
    <row r="506" spans="1:14" x14ac:dyDescent="0.25">
      <c r="A506">
        <v>184.91293899999999</v>
      </c>
      <c r="B506" s="1">
        <f>DATE(2010,11,1) + TIME(21,54,37)</f>
        <v>40483.912928240738</v>
      </c>
      <c r="C506">
        <v>80</v>
      </c>
      <c r="D506">
        <v>79.625564574999999</v>
      </c>
      <c r="E506">
        <v>60</v>
      </c>
      <c r="F506">
        <v>48.168365479000002</v>
      </c>
      <c r="G506">
        <v>1296.0041504000001</v>
      </c>
      <c r="H506">
        <v>1281.8837891000001</v>
      </c>
      <c r="I506">
        <v>1425.4321289</v>
      </c>
      <c r="J506">
        <v>1401.5565185999999</v>
      </c>
      <c r="K506">
        <v>0</v>
      </c>
      <c r="L506">
        <v>2750</v>
      </c>
      <c r="M506">
        <v>2750</v>
      </c>
      <c r="N506">
        <v>0</v>
      </c>
    </row>
    <row r="507" spans="1:14" x14ac:dyDescent="0.25">
      <c r="A507">
        <v>184.96734599999999</v>
      </c>
      <c r="B507" s="1">
        <f>DATE(2010,11,1) + TIME(23,12,58)</f>
        <v>40483.96733796296</v>
      </c>
      <c r="C507">
        <v>80</v>
      </c>
      <c r="D507">
        <v>79.610458374000004</v>
      </c>
      <c r="E507">
        <v>60</v>
      </c>
      <c r="F507">
        <v>49.024459839000002</v>
      </c>
      <c r="G507">
        <v>1296.0020752</v>
      </c>
      <c r="H507">
        <v>1281.8808594</v>
      </c>
      <c r="I507">
        <v>1424.855957</v>
      </c>
      <c r="J507">
        <v>1401.2894286999999</v>
      </c>
      <c r="K507">
        <v>0</v>
      </c>
      <c r="L507">
        <v>2750</v>
      </c>
      <c r="M507">
        <v>2750</v>
      </c>
      <c r="N507">
        <v>0</v>
      </c>
    </row>
    <row r="508" spans="1:14" x14ac:dyDescent="0.25">
      <c r="A508">
        <v>185.02554799999999</v>
      </c>
      <c r="B508" s="1">
        <f>DATE(2010,11,2) + TIME(0,36,47)</f>
        <v>40484.025543981479</v>
      </c>
      <c r="C508">
        <v>80</v>
      </c>
      <c r="D508">
        <v>79.594505310000002</v>
      </c>
      <c r="E508">
        <v>60</v>
      </c>
      <c r="F508">
        <v>49.870758057000003</v>
      </c>
      <c r="G508">
        <v>1295.9996338000001</v>
      </c>
      <c r="H508">
        <v>1281.8776855000001</v>
      </c>
      <c r="I508">
        <v>1424.2888184000001</v>
      </c>
      <c r="J508">
        <v>1401.0201416</v>
      </c>
      <c r="K508">
        <v>0</v>
      </c>
      <c r="L508">
        <v>2750</v>
      </c>
      <c r="M508">
        <v>2750</v>
      </c>
      <c r="N508">
        <v>0</v>
      </c>
    </row>
    <row r="509" spans="1:14" x14ac:dyDescent="0.25">
      <c r="A509">
        <v>185.08809500000001</v>
      </c>
      <c r="B509" s="1">
        <f>DATE(2010,11,2) + TIME(2,6,51)</f>
        <v>40484.088090277779</v>
      </c>
      <c r="C509">
        <v>80</v>
      </c>
      <c r="D509">
        <v>79.577590942</v>
      </c>
      <c r="E509">
        <v>60</v>
      </c>
      <c r="F509">
        <v>50.705856322999999</v>
      </c>
      <c r="G509">
        <v>1295.9971923999999</v>
      </c>
      <c r="H509">
        <v>1281.8742675999999</v>
      </c>
      <c r="I509">
        <v>1423.7293701000001</v>
      </c>
      <c r="J509">
        <v>1400.7474365</v>
      </c>
      <c r="K509">
        <v>0</v>
      </c>
      <c r="L509">
        <v>2750</v>
      </c>
      <c r="M509">
        <v>2750</v>
      </c>
      <c r="N509">
        <v>0</v>
      </c>
    </row>
    <row r="510" spans="1:14" x14ac:dyDescent="0.25">
      <c r="A510">
        <v>185.15566200000001</v>
      </c>
      <c r="B510" s="1">
        <f>DATE(2010,11,2) + TIME(3,44,9)</f>
        <v>40484.155659722222</v>
      </c>
      <c r="C510">
        <v>80</v>
      </c>
      <c r="D510">
        <v>79.559577942000004</v>
      </c>
      <c r="E510">
        <v>60</v>
      </c>
      <c r="F510">
        <v>51.528797150000003</v>
      </c>
      <c r="G510">
        <v>1295.9943848</v>
      </c>
      <c r="H510">
        <v>1281.8706055</v>
      </c>
      <c r="I510">
        <v>1423.1766356999999</v>
      </c>
      <c r="J510">
        <v>1400.4703368999999</v>
      </c>
      <c r="K510">
        <v>0</v>
      </c>
      <c r="L510">
        <v>2750</v>
      </c>
      <c r="M510">
        <v>2750</v>
      </c>
      <c r="N510">
        <v>0</v>
      </c>
    </row>
    <row r="511" spans="1:14" x14ac:dyDescent="0.25">
      <c r="A511">
        <v>185.22908799999999</v>
      </c>
      <c r="B511" s="1">
        <f>DATE(2010,11,2) + TIME(5,29,53)</f>
        <v>40484.229085648149</v>
      </c>
      <c r="C511">
        <v>80</v>
      </c>
      <c r="D511">
        <v>79.540290833</v>
      </c>
      <c r="E511">
        <v>60</v>
      </c>
      <c r="F511">
        <v>52.338211059999999</v>
      </c>
      <c r="G511">
        <v>1295.9914550999999</v>
      </c>
      <c r="H511">
        <v>1281.8666992000001</v>
      </c>
      <c r="I511">
        <v>1422.6291504000001</v>
      </c>
      <c r="J511">
        <v>1400.1875</v>
      </c>
      <c r="K511">
        <v>0</v>
      </c>
      <c r="L511">
        <v>2750</v>
      </c>
      <c r="M511">
        <v>2750</v>
      </c>
      <c r="N511">
        <v>0</v>
      </c>
    </row>
    <row r="512" spans="1:14" x14ac:dyDescent="0.25">
      <c r="A512">
        <v>185.305981</v>
      </c>
      <c r="B512" s="1">
        <f>DATE(2010,11,2) + TIME(7,20,36)</f>
        <v>40484.305972222224</v>
      </c>
      <c r="C512">
        <v>80</v>
      </c>
      <c r="D512">
        <v>79.520332335999996</v>
      </c>
      <c r="E512">
        <v>60</v>
      </c>
      <c r="F512">
        <v>53.101715087999999</v>
      </c>
      <c r="G512">
        <v>1295.9881591999999</v>
      </c>
      <c r="H512">
        <v>1281.8624268000001</v>
      </c>
      <c r="I512">
        <v>1422.1024170000001</v>
      </c>
      <c r="J512">
        <v>1399.9038086</v>
      </c>
      <c r="K512">
        <v>0</v>
      </c>
      <c r="L512">
        <v>2750</v>
      </c>
      <c r="M512">
        <v>2750</v>
      </c>
      <c r="N512">
        <v>0</v>
      </c>
    </row>
    <row r="513" spans="1:14" x14ac:dyDescent="0.25">
      <c r="A513">
        <v>185.383218</v>
      </c>
      <c r="B513" s="1">
        <f>DATE(2010,11,2) + TIME(9,11,50)</f>
        <v>40484.383217592593</v>
      </c>
      <c r="C513">
        <v>80</v>
      </c>
      <c r="D513">
        <v>79.500427246000001</v>
      </c>
      <c r="E513">
        <v>60</v>
      </c>
      <c r="F513">
        <v>53.792022705000001</v>
      </c>
      <c r="G513">
        <v>1295.9846190999999</v>
      </c>
      <c r="H513">
        <v>1281.8580322</v>
      </c>
      <c r="I513">
        <v>1421.6131591999999</v>
      </c>
      <c r="J513">
        <v>1399.6286620999999</v>
      </c>
      <c r="K513">
        <v>0</v>
      </c>
      <c r="L513">
        <v>2750</v>
      </c>
      <c r="M513">
        <v>2750</v>
      </c>
      <c r="N513">
        <v>0</v>
      </c>
    </row>
    <row r="514" spans="1:14" x14ac:dyDescent="0.25">
      <c r="A514">
        <v>185.461172</v>
      </c>
      <c r="B514" s="1">
        <f>DATE(2010,11,2) + TIME(11,4,5)</f>
        <v>40484.461168981485</v>
      </c>
      <c r="C514">
        <v>80</v>
      </c>
      <c r="D514">
        <v>79.480484008999994</v>
      </c>
      <c r="E514">
        <v>60</v>
      </c>
      <c r="F514">
        <v>54.418346405000001</v>
      </c>
      <c r="G514">
        <v>1295.9810791</v>
      </c>
      <c r="H514">
        <v>1281.8535156</v>
      </c>
      <c r="I514">
        <v>1421.1591797000001</v>
      </c>
      <c r="J514">
        <v>1399.3656006000001</v>
      </c>
      <c r="K514">
        <v>0</v>
      </c>
      <c r="L514">
        <v>2750</v>
      </c>
      <c r="M514">
        <v>2750</v>
      </c>
      <c r="N514">
        <v>0</v>
      </c>
    </row>
    <row r="515" spans="1:14" x14ac:dyDescent="0.25">
      <c r="A515">
        <v>185.54005599999999</v>
      </c>
      <c r="B515" s="1">
        <f>DATE(2010,11,2) + TIME(12,57,40)</f>
        <v>40484.540046296293</v>
      </c>
      <c r="C515">
        <v>80</v>
      </c>
      <c r="D515">
        <v>79.460449218999997</v>
      </c>
      <c r="E515">
        <v>60</v>
      </c>
      <c r="F515">
        <v>54.987239838000001</v>
      </c>
      <c r="G515">
        <v>1295.9775391000001</v>
      </c>
      <c r="H515">
        <v>1281.848999</v>
      </c>
      <c r="I515">
        <v>1420.7355957</v>
      </c>
      <c r="J515">
        <v>1399.1125488</v>
      </c>
      <c r="K515">
        <v>0</v>
      </c>
      <c r="L515">
        <v>2750</v>
      </c>
      <c r="M515">
        <v>2750</v>
      </c>
      <c r="N515">
        <v>0</v>
      </c>
    </row>
    <row r="516" spans="1:14" x14ac:dyDescent="0.25">
      <c r="A516">
        <v>185.62011000000001</v>
      </c>
      <c r="B516" s="1">
        <f>DATE(2010,11,2) + TIME(14,52,57)</f>
        <v>40484.620104166665</v>
      </c>
      <c r="C516">
        <v>80</v>
      </c>
      <c r="D516">
        <v>79.440269470000004</v>
      </c>
      <c r="E516">
        <v>60</v>
      </c>
      <c r="F516">
        <v>55.504528045999997</v>
      </c>
      <c r="G516">
        <v>1295.9738769999999</v>
      </c>
      <c r="H516">
        <v>1281.8443603999999</v>
      </c>
      <c r="I516">
        <v>1420.3381348</v>
      </c>
      <c r="J516">
        <v>1398.8681641000001</v>
      </c>
      <c r="K516">
        <v>0</v>
      </c>
      <c r="L516">
        <v>2750</v>
      </c>
      <c r="M516">
        <v>2750</v>
      </c>
      <c r="N516">
        <v>0</v>
      </c>
    </row>
    <row r="517" spans="1:14" x14ac:dyDescent="0.25">
      <c r="A517">
        <v>185.70156399999999</v>
      </c>
      <c r="B517" s="1">
        <f>DATE(2010,11,2) + TIME(16,50,15)</f>
        <v>40484.701562499999</v>
      </c>
      <c r="C517">
        <v>80</v>
      </c>
      <c r="D517">
        <v>79.419891356999997</v>
      </c>
      <c r="E517">
        <v>60</v>
      </c>
      <c r="F517">
        <v>55.975139618</v>
      </c>
      <c r="G517">
        <v>1295.9700928</v>
      </c>
      <c r="H517">
        <v>1281.8397216999999</v>
      </c>
      <c r="I517">
        <v>1419.963501</v>
      </c>
      <c r="J517">
        <v>1398.6309814000001</v>
      </c>
      <c r="K517">
        <v>0</v>
      </c>
      <c r="L517">
        <v>2750</v>
      </c>
      <c r="M517">
        <v>2750</v>
      </c>
      <c r="N517">
        <v>0</v>
      </c>
    </row>
    <row r="518" spans="1:14" x14ac:dyDescent="0.25">
      <c r="A518">
        <v>185.784649</v>
      </c>
      <c r="B518" s="1">
        <f>DATE(2010,11,2) + TIME(18,49,53)</f>
        <v>40484.784641203703</v>
      </c>
      <c r="C518">
        <v>80</v>
      </c>
      <c r="D518">
        <v>79.399253845000004</v>
      </c>
      <c r="E518">
        <v>60</v>
      </c>
      <c r="F518">
        <v>56.403354645</v>
      </c>
      <c r="G518">
        <v>1295.9663086</v>
      </c>
      <c r="H518">
        <v>1281.8349608999999</v>
      </c>
      <c r="I518">
        <v>1419.6087646000001</v>
      </c>
      <c r="J518">
        <v>1398.4001464999999</v>
      </c>
      <c r="K518">
        <v>0</v>
      </c>
      <c r="L518">
        <v>2750</v>
      </c>
      <c r="M518">
        <v>2750</v>
      </c>
      <c r="N518">
        <v>0</v>
      </c>
    </row>
    <row r="519" spans="1:14" x14ac:dyDescent="0.25">
      <c r="A519">
        <v>185.869606</v>
      </c>
      <c r="B519" s="1">
        <f>DATE(2010,11,2) + TIME(20,52,13)</f>
        <v>40484.86959490741</v>
      </c>
      <c r="C519">
        <v>80</v>
      </c>
      <c r="D519">
        <v>79.378303528000004</v>
      </c>
      <c r="E519">
        <v>60</v>
      </c>
      <c r="F519">
        <v>56.792919159</v>
      </c>
      <c r="G519">
        <v>1295.9624022999999</v>
      </c>
      <c r="H519">
        <v>1281.8300781</v>
      </c>
      <c r="I519">
        <v>1419.2713623</v>
      </c>
      <c r="J519">
        <v>1398.1744385</v>
      </c>
      <c r="K519">
        <v>0</v>
      </c>
      <c r="L519">
        <v>2750</v>
      </c>
      <c r="M519">
        <v>2750</v>
      </c>
      <c r="N519">
        <v>0</v>
      </c>
    </row>
    <row r="520" spans="1:14" x14ac:dyDescent="0.25">
      <c r="A520">
        <v>185.95669100000001</v>
      </c>
      <c r="B520" s="1">
        <f>DATE(2010,11,2) + TIME(22,57,38)</f>
        <v>40484.956689814811</v>
      </c>
      <c r="C520">
        <v>80</v>
      </c>
      <c r="D520">
        <v>79.356994628999999</v>
      </c>
      <c r="E520">
        <v>60</v>
      </c>
      <c r="F520">
        <v>57.147148131999998</v>
      </c>
      <c r="G520">
        <v>1295.9582519999999</v>
      </c>
      <c r="H520">
        <v>1281.8250731999999</v>
      </c>
      <c r="I520">
        <v>1418.9493408000001</v>
      </c>
      <c r="J520">
        <v>1397.953125</v>
      </c>
      <c r="K520">
        <v>0</v>
      </c>
      <c r="L520">
        <v>2750</v>
      </c>
      <c r="M520">
        <v>2750</v>
      </c>
      <c r="N520">
        <v>0</v>
      </c>
    </row>
    <row r="521" spans="1:14" x14ac:dyDescent="0.25">
      <c r="A521">
        <v>186.04617300000001</v>
      </c>
      <c r="B521" s="1">
        <f>DATE(2010,11,3) + TIME(1,6,29)</f>
        <v>40485.046168981484</v>
      </c>
      <c r="C521">
        <v>80</v>
      </c>
      <c r="D521">
        <v>79.335258483999993</v>
      </c>
      <c r="E521">
        <v>60</v>
      </c>
      <c r="F521">
        <v>57.468975067000002</v>
      </c>
      <c r="G521">
        <v>1295.9541016000001</v>
      </c>
      <c r="H521">
        <v>1281.8199463000001</v>
      </c>
      <c r="I521">
        <v>1418.640625</v>
      </c>
      <c r="J521">
        <v>1397.7355957</v>
      </c>
      <c r="K521">
        <v>0</v>
      </c>
      <c r="L521">
        <v>2750</v>
      </c>
      <c r="M521">
        <v>2750</v>
      </c>
      <c r="N521">
        <v>0</v>
      </c>
    </row>
    <row r="522" spans="1:14" x14ac:dyDescent="0.25">
      <c r="A522">
        <v>186.13834800000001</v>
      </c>
      <c r="B522" s="1">
        <f>DATE(2010,11,3) + TIME(3,19,13)</f>
        <v>40485.138344907406</v>
      </c>
      <c r="C522">
        <v>80</v>
      </c>
      <c r="D522">
        <v>79.313034058</v>
      </c>
      <c r="E522">
        <v>60</v>
      </c>
      <c r="F522">
        <v>57.761039734000001</v>
      </c>
      <c r="G522">
        <v>1295.9498291</v>
      </c>
      <c r="H522">
        <v>1281.8146973</v>
      </c>
      <c r="I522">
        <v>1418.3435059000001</v>
      </c>
      <c r="J522">
        <v>1397.5207519999999</v>
      </c>
      <c r="K522">
        <v>0</v>
      </c>
      <c r="L522">
        <v>2750</v>
      </c>
      <c r="M522">
        <v>2750</v>
      </c>
      <c r="N522">
        <v>0</v>
      </c>
    </row>
    <row r="523" spans="1:14" x14ac:dyDescent="0.25">
      <c r="A523">
        <v>186.23353700000001</v>
      </c>
      <c r="B523" s="1">
        <f>DATE(2010,11,3) + TIME(5,36,17)</f>
        <v>40485.233530092592</v>
      </c>
      <c r="C523">
        <v>80</v>
      </c>
      <c r="D523">
        <v>79.290260314999998</v>
      </c>
      <c r="E523">
        <v>60</v>
      </c>
      <c r="F523">
        <v>58.025699615000001</v>
      </c>
      <c r="G523">
        <v>1295.9454346</v>
      </c>
      <c r="H523">
        <v>1281.8092041</v>
      </c>
      <c r="I523">
        <v>1418.0566406</v>
      </c>
      <c r="J523">
        <v>1397.3083495999999</v>
      </c>
      <c r="K523">
        <v>0</v>
      </c>
      <c r="L523">
        <v>2750</v>
      </c>
      <c r="M523">
        <v>2750</v>
      </c>
      <c r="N523">
        <v>0</v>
      </c>
    </row>
    <row r="524" spans="1:14" x14ac:dyDescent="0.25">
      <c r="A524">
        <v>186.33174</v>
      </c>
      <c r="B524" s="1">
        <f>DATE(2010,11,3) + TIME(7,57,42)</f>
        <v>40485.331736111111</v>
      </c>
      <c r="C524">
        <v>80</v>
      </c>
      <c r="D524">
        <v>79.266929626000007</v>
      </c>
      <c r="E524">
        <v>60</v>
      </c>
      <c r="F524">
        <v>58.264347076</v>
      </c>
      <c r="G524">
        <v>1295.9407959</v>
      </c>
      <c r="H524">
        <v>1281.8035889</v>
      </c>
      <c r="I524">
        <v>1417.7789307</v>
      </c>
      <c r="J524">
        <v>1397.0976562000001</v>
      </c>
      <c r="K524">
        <v>0</v>
      </c>
      <c r="L524">
        <v>2750</v>
      </c>
      <c r="M524">
        <v>2750</v>
      </c>
      <c r="N524">
        <v>0</v>
      </c>
    </row>
    <row r="525" spans="1:14" x14ac:dyDescent="0.25">
      <c r="A525">
        <v>186.433303</v>
      </c>
      <c r="B525" s="1">
        <f>DATE(2010,11,3) + TIME(10,23,57)</f>
        <v>40485.433298611111</v>
      </c>
      <c r="C525">
        <v>80</v>
      </c>
      <c r="D525">
        <v>79.242980957</v>
      </c>
      <c r="E525">
        <v>60</v>
      </c>
      <c r="F525">
        <v>58.479125977000002</v>
      </c>
      <c r="G525">
        <v>1295.9359131000001</v>
      </c>
      <c r="H525">
        <v>1281.7977295000001</v>
      </c>
      <c r="I525">
        <v>1417.5096435999999</v>
      </c>
      <c r="J525">
        <v>1396.8886719</v>
      </c>
      <c r="K525">
        <v>0</v>
      </c>
      <c r="L525">
        <v>2750</v>
      </c>
      <c r="M525">
        <v>2750</v>
      </c>
      <c r="N525">
        <v>0</v>
      </c>
    </row>
    <row r="526" spans="1:14" x14ac:dyDescent="0.25">
      <c r="A526">
        <v>186.53858299999999</v>
      </c>
      <c r="B526" s="1">
        <f>DATE(2010,11,3) + TIME(12,55,33)</f>
        <v>40485.538576388892</v>
      </c>
      <c r="C526">
        <v>80</v>
      </c>
      <c r="D526">
        <v>79.218330382999994</v>
      </c>
      <c r="E526">
        <v>60</v>
      </c>
      <c r="F526">
        <v>58.671947479000004</v>
      </c>
      <c r="G526">
        <v>1295.9309082</v>
      </c>
      <c r="H526">
        <v>1281.791626</v>
      </c>
      <c r="I526">
        <v>1417.2475586</v>
      </c>
      <c r="J526">
        <v>1396.6809082</v>
      </c>
      <c r="K526">
        <v>0</v>
      </c>
      <c r="L526">
        <v>2750</v>
      </c>
      <c r="M526">
        <v>2750</v>
      </c>
      <c r="N526">
        <v>0</v>
      </c>
    </row>
    <row r="527" spans="1:14" x14ac:dyDescent="0.25">
      <c r="A527">
        <v>186.64791600000001</v>
      </c>
      <c r="B527" s="1">
        <f>DATE(2010,11,3) + TIME(15,32,59)</f>
        <v>40485.647905092592</v>
      </c>
      <c r="C527">
        <v>80</v>
      </c>
      <c r="D527">
        <v>79.192932128999999</v>
      </c>
      <c r="E527">
        <v>60</v>
      </c>
      <c r="F527">
        <v>58.844482421999999</v>
      </c>
      <c r="G527">
        <v>1295.9257812000001</v>
      </c>
      <c r="H527">
        <v>1281.7852783000001</v>
      </c>
      <c r="I527">
        <v>1416.9915771000001</v>
      </c>
      <c r="J527">
        <v>1396.4737548999999</v>
      </c>
      <c r="K527">
        <v>0</v>
      </c>
      <c r="L527">
        <v>2750</v>
      </c>
      <c r="M527">
        <v>2750</v>
      </c>
      <c r="N527">
        <v>0</v>
      </c>
    </row>
    <row r="528" spans="1:14" x14ac:dyDescent="0.25">
      <c r="A528">
        <v>186.761764</v>
      </c>
      <c r="B528" s="1">
        <f>DATE(2010,11,3) + TIME(18,16,56)</f>
        <v>40485.761759259258</v>
      </c>
      <c r="C528">
        <v>80</v>
      </c>
      <c r="D528">
        <v>79.166679381999998</v>
      </c>
      <c r="E528">
        <v>60</v>
      </c>
      <c r="F528">
        <v>58.998409271</v>
      </c>
      <c r="G528">
        <v>1295.9202881000001</v>
      </c>
      <c r="H528">
        <v>1281.7786865</v>
      </c>
      <c r="I528">
        <v>1416.7408447</v>
      </c>
      <c r="J528">
        <v>1396.2668457</v>
      </c>
      <c r="K528">
        <v>0</v>
      </c>
      <c r="L528">
        <v>2750</v>
      </c>
      <c r="M528">
        <v>2750</v>
      </c>
      <c r="N528">
        <v>0</v>
      </c>
    </row>
    <row r="529" spans="1:14" x14ac:dyDescent="0.25">
      <c r="A529">
        <v>186.880584</v>
      </c>
      <c r="B529" s="1">
        <f>DATE(2010,11,3) + TIME(21,8,2)</f>
        <v>40485.880578703705</v>
      </c>
      <c r="C529">
        <v>80</v>
      </c>
      <c r="D529">
        <v>79.139495850000003</v>
      </c>
      <c r="E529">
        <v>60</v>
      </c>
      <c r="F529">
        <v>59.135204315000003</v>
      </c>
      <c r="G529">
        <v>1295.9145507999999</v>
      </c>
      <c r="H529">
        <v>1281.7718506000001</v>
      </c>
      <c r="I529">
        <v>1416.4942627</v>
      </c>
      <c r="J529">
        <v>1396.0596923999999</v>
      </c>
      <c r="K529">
        <v>0</v>
      </c>
      <c r="L529">
        <v>2750</v>
      </c>
      <c r="M529">
        <v>2750</v>
      </c>
      <c r="N529">
        <v>0</v>
      </c>
    </row>
    <row r="530" spans="1:14" x14ac:dyDescent="0.25">
      <c r="A530">
        <v>187.004862</v>
      </c>
      <c r="B530" s="1">
        <f>DATE(2010,11,4) + TIME(0,7,0)</f>
        <v>40486.004861111112</v>
      </c>
      <c r="C530">
        <v>80</v>
      </c>
      <c r="D530">
        <v>79.111274718999994</v>
      </c>
      <c r="E530">
        <v>60</v>
      </c>
      <c r="F530">
        <v>59.256225585999999</v>
      </c>
      <c r="G530">
        <v>1295.9086914</v>
      </c>
      <c r="H530">
        <v>1281.7646483999999</v>
      </c>
      <c r="I530">
        <v>1416.2510986</v>
      </c>
      <c r="J530">
        <v>1395.8518065999999</v>
      </c>
      <c r="K530">
        <v>0</v>
      </c>
      <c r="L530">
        <v>2750</v>
      </c>
      <c r="M530">
        <v>2750</v>
      </c>
      <c r="N530">
        <v>0</v>
      </c>
    </row>
    <row r="531" spans="1:14" x14ac:dyDescent="0.25">
      <c r="A531">
        <v>187.13515000000001</v>
      </c>
      <c r="B531" s="1">
        <f>DATE(2010,11,4) + TIME(3,14,37)</f>
        <v>40486.135150462964</v>
      </c>
      <c r="C531">
        <v>80</v>
      </c>
      <c r="D531">
        <v>79.081932068</v>
      </c>
      <c r="E531">
        <v>60</v>
      </c>
      <c r="F531">
        <v>59.362766266000001</v>
      </c>
      <c r="G531">
        <v>1295.9023437999999</v>
      </c>
      <c r="H531">
        <v>1281.7570800999999</v>
      </c>
      <c r="I531">
        <v>1416.0106201000001</v>
      </c>
      <c r="J531">
        <v>1395.6429443</v>
      </c>
      <c r="K531">
        <v>0</v>
      </c>
      <c r="L531">
        <v>2750</v>
      </c>
      <c r="M531">
        <v>2750</v>
      </c>
      <c r="N531">
        <v>0</v>
      </c>
    </row>
    <row r="532" spans="1:14" x14ac:dyDescent="0.25">
      <c r="A532">
        <v>187.27218400000001</v>
      </c>
      <c r="B532" s="1">
        <f>DATE(2010,11,4) + TIME(6,31,56)</f>
        <v>40486.272175925929</v>
      </c>
      <c r="C532">
        <v>80</v>
      </c>
      <c r="D532">
        <v>79.051322936999995</v>
      </c>
      <c r="E532">
        <v>60</v>
      </c>
      <c r="F532">
        <v>59.456111907999997</v>
      </c>
      <c r="G532">
        <v>1295.8957519999999</v>
      </c>
      <c r="H532">
        <v>1281.7492675999999</v>
      </c>
      <c r="I532">
        <v>1415.7718506000001</v>
      </c>
      <c r="J532">
        <v>1395.4323730000001</v>
      </c>
      <c r="K532">
        <v>0</v>
      </c>
      <c r="L532">
        <v>2750</v>
      </c>
      <c r="M532">
        <v>2750</v>
      </c>
      <c r="N532">
        <v>0</v>
      </c>
    </row>
    <row r="533" spans="1:14" x14ac:dyDescent="0.25">
      <c r="A533">
        <v>187.416844</v>
      </c>
      <c r="B533" s="1">
        <f>DATE(2010,11,4) + TIME(10,0,15)</f>
        <v>40486.41684027778</v>
      </c>
      <c r="C533">
        <v>80</v>
      </c>
      <c r="D533">
        <v>79.019287109000004</v>
      </c>
      <c r="E533">
        <v>60</v>
      </c>
      <c r="F533">
        <v>59.537467956999997</v>
      </c>
      <c r="G533">
        <v>1295.8887939000001</v>
      </c>
      <c r="H533">
        <v>1281.7408447</v>
      </c>
      <c r="I533">
        <v>1415.5338135</v>
      </c>
      <c r="J533">
        <v>1395.2196045000001</v>
      </c>
      <c r="K533">
        <v>0</v>
      </c>
      <c r="L533">
        <v>2750</v>
      </c>
      <c r="M533">
        <v>2750</v>
      </c>
      <c r="N533">
        <v>0</v>
      </c>
    </row>
    <row r="534" spans="1:14" x14ac:dyDescent="0.25">
      <c r="A534">
        <v>187.56886</v>
      </c>
      <c r="B534" s="1">
        <f>DATE(2010,11,4) + TIME(13,39,9)</f>
        <v>40486.568854166668</v>
      </c>
      <c r="C534">
        <v>80</v>
      </c>
      <c r="D534">
        <v>78.985870360999996</v>
      </c>
      <c r="E534">
        <v>60</v>
      </c>
      <c r="F534">
        <v>59.607463836999997</v>
      </c>
      <c r="G534">
        <v>1295.8814697</v>
      </c>
      <c r="H534">
        <v>1281.7320557</v>
      </c>
      <c r="I534">
        <v>1415.2957764</v>
      </c>
      <c r="J534">
        <v>1395.0040283000001</v>
      </c>
      <c r="K534">
        <v>0</v>
      </c>
      <c r="L534">
        <v>2750</v>
      </c>
      <c r="M534">
        <v>2750</v>
      </c>
      <c r="N534">
        <v>0</v>
      </c>
    </row>
    <row r="535" spans="1:14" x14ac:dyDescent="0.25">
      <c r="A535">
        <v>187.72843</v>
      </c>
      <c r="B535" s="1">
        <f>DATE(2010,11,4) + TIME(17,28,56)</f>
        <v>40486.728425925925</v>
      </c>
      <c r="C535">
        <v>80</v>
      </c>
      <c r="D535">
        <v>78.951049804999997</v>
      </c>
      <c r="E535">
        <v>60</v>
      </c>
      <c r="F535">
        <v>59.667114257999998</v>
      </c>
      <c r="G535">
        <v>1295.8736572</v>
      </c>
      <c r="H535">
        <v>1281.7227783000001</v>
      </c>
      <c r="I535">
        <v>1415.0585937999999</v>
      </c>
      <c r="J535">
        <v>1394.7867432</v>
      </c>
      <c r="K535">
        <v>0</v>
      </c>
      <c r="L535">
        <v>2750</v>
      </c>
      <c r="M535">
        <v>2750</v>
      </c>
      <c r="N535">
        <v>0</v>
      </c>
    </row>
    <row r="536" spans="1:14" x14ac:dyDescent="0.25">
      <c r="A536">
        <v>187.89392699999999</v>
      </c>
      <c r="B536" s="1">
        <f>DATE(2010,11,4) + TIME(21,27,15)</f>
        <v>40486.893923611111</v>
      </c>
      <c r="C536">
        <v>80</v>
      </c>
      <c r="D536">
        <v>78.915107727000006</v>
      </c>
      <c r="E536">
        <v>60</v>
      </c>
      <c r="F536">
        <v>59.717029572000001</v>
      </c>
      <c r="G536">
        <v>1295.8653564000001</v>
      </c>
      <c r="H536">
        <v>1281.7130127</v>
      </c>
      <c r="I536">
        <v>1414.8222656</v>
      </c>
      <c r="J536">
        <v>1394.5679932</v>
      </c>
      <c r="K536">
        <v>0</v>
      </c>
      <c r="L536">
        <v>2750</v>
      </c>
      <c r="M536">
        <v>2750</v>
      </c>
      <c r="N536">
        <v>0</v>
      </c>
    </row>
    <row r="537" spans="1:14" x14ac:dyDescent="0.25">
      <c r="A537">
        <v>188.060867</v>
      </c>
      <c r="B537" s="1">
        <f>DATE(2010,11,5) + TIME(1,27,38)</f>
        <v>40487.060856481483</v>
      </c>
      <c r="C537">
        <v>80</v>
      </c>
      <c r="D537">
        <v>78.878837584999999</v>
      </c>
      <c r="E537">
        <v>60</v>
      </c>
      <c r="F537">
        <v>59.757610321000001</v>
      </c>
      <c r="G537">
        <v>1295.8566894999999</v>
      </c>
      <c r="H537">
        <v>1281.7028809000001</v>
      </c>
      <c r="I537">
        <v>1414.5897216999999</v>
      </c>
      <c r="J537">
        <v>1394.3505858999999</v>
      </c>
      <c r="K537">
        <v>0</v>
      </c>
      <c r="L537">
        <v>2750</v>
      </c>
      <c r="M537">
        <v>2750</v>
      </c>
      <c r="N537">
        <v>0</v>
      </c>
    </row>
    <row r="538" spans="1:14" x14ac:dyDescent="0.25">
      <c r="A538">
        <v>188.22976299999999</v>
      </c>
      <c r="B538" s="1">
        <f>DATE(2010,11,5) + TIME(5,30,51)</f>
        <v>40487.229756944442</v>
      </c>
      <c r="C538">
        <v>80</v>
      </c>
      <c r="D538">
        <v>78.842201232999997</v>
      </c>
      <c r="E538">
        <v>60</v>
      </c>
      <c r="F538">
        <v>59.790657043000003</v>
      </c>
      <c r="G538">
        <v>1295.8479004000001</v>
      </c>
      <c r="H538">
        <v>1281.6926269999999</v>
      </c>
      <c r="I538">
        <v>1414.3657227000001</v>
      </c>
      <c r="J538">
        <v>1394.1398925999999</v>
      </c>
      <c r="K538">
        <v>0</v>
      </c>
      <c r="L538">
        <v>2750</v>
      </c>
      <c r="M538">
        <v>2750</v>
      </c>
      <c r="N538">
        <v>0</v>
      </c>
    </row>
    <row r="539" spans="1:14" x14ac:dyDescent="0.25">
      <c r="A539">
        <v>188.40052299999999</v>
      </c>
      <c r="B539" s="1">
        <f>DATE(2010,11,5) + TIME(9,36,45)</f>
        <v>40487.400520833333</v>
      </c>
      <c r="C539">
        <v>80</v>
      </c>
      <c r="D539">
        <v>78.805229186999995</v>
      </c>
      <c r="E539">
        <v>60</v>
      </c>
      <c r="F539">
        <v>59.817527771000002</v>
      </c>
      <c r="G539">
        <v>1295.8391113</v>
      </c>
      <c r="H539">
        <v>1281.682251</v>
      </c>
      <c r="I539">
        <v>1414.1492920000001</v>
      </c>
      <c r="J539">
        <v>1393.9350586</v>
      </c>
      <c r="K539">
        <v>0</v>
      </c>
      <c r="L539">
        <v>2750</v>
      </c>
      <c r="M539">
        <v>2750</v>
      </c>
      <c r="N539">
        <v>0</v>
      </c>
    </row>
    <row r="540" spans="1:14" x14ac:dyDescent="0.25">
      <c r="A540">
        <v>188.573487</v>
      </c>
      <c r="B540" s="1">
        <f>DATE(2010,11,5) + TIME(13,45,49)</f>
        <v>40487.573483796295</v>
      </c>
      <c r="C540">
        <v>80</v>
      </c>
      <c r="D540">
        <v>78.767883300999998</v>
      </c>
      <c r="E540">
        <v>60</v>
      </c>
      <c r="F540">
        <v>59.839382172000001</v>
      </c>
      <c r="G540">
        <v>1295.8300781</v>
      </c>
      <c r="H540">
        <v>1281.6717529</v>
      </c>
      <c r="I540">
        <v>1413.9395752</v>
      </c>
      <c r="J540">
        <v>1393.7358397999999</v>
      </c>
      <c r="K540">
        <v>0</v>
      </c>
      <c r="L540">
        <v>2750</v>
      </c>
      <c r="M540">
        <v>2750</v>
      </c>
      <c r="N540">
        <v>0</v>
      </c>
    </row>
    <row r="541" spans="1:14" x14ac:dyDescent="0.25">
      <c r="A541">
        <v>188.749042</v>
      </c>
      <c r="B541" s="1">
        <f>DATE(2010,11,5) + TIME(17,58,37)</f>
        <v>40487.749039351853</v>
      </c>
      <c r="C541">
        <v>80</v>
      </c>
      <c r="D541">
        <v>78.730117797999995</v>
      </c>
      <c r="E541">
        <v>60</v>
      </c>
      <c r="F541">
        <v>59.857166290000002</v>
      </c>
      <c r="G541">
        <v>1295.8210449000001</v>
      </c>
      <c r="H541">
        <v>1281.6611327999999</v>
      </c>
      <c r="I541">
        <v>1413.7359618999999</v>
      </c>
      <c r="J541">
        <v>1393.541626</v>
      </c>
      <c r="K541">
        <v>0</v>
      </c>
      <c r="L541">
        <v>2750</v>
      </c>
      <c r="M541">
        <v>2750</v>
      </c>
      <c r="N541">
        <v>0</v>
      </c>
    </row>
    <row r="542" spans="1:14" x14ac:dyDescent="0.25">
      <c r="A542">
        <v>188.927718</v>
      </c>
      <c r="B542" s="1">
        <f>DATE(2010,11,5) + TIME(22,15,54)</f>
        <v>40487.927708333336</v>
      </c>
      <c r="C542">
        <v>80</v>
      </c>
      <c r="D542">
        <v>78.691856384000005</v>
      </c>
      <c r="E542">
        <v>60</v>
      </c>
      <c r="F542">
        <v>59.871654509999999</v>
      </c>
      <c r="G542">
        <v>1295.8117675999999</v>
      </c>
      <c r="H542">
        <v>1281.6502685999999</v>
      </c>
      <c r="I542">
        <v>1413.5373535000001</v>
      </c>
      <c r="J542">
        <v>1393.3515625</v>
      </c>
      <c r="K542">
        <v>0</v>
      </c>
      <c r="L542">
        <v>2750</v>
      </c>
      <c r="M542">
        <v>2750</v>
      </c>
      <c r="N542">
        <v>0</v>
      </c>
    </row>
    <row r="543" spans="1:14" x14ac:dyDescent="0.25">
      <c r="A543">
        <v>189.10985600000001</v>
      </c>
      <c r="B543" s="1">
        <f>DATE(2010,11,6) + TIME(2,38,11)</f>
        <v>40488.109849537039</v>
      </c>
      <c r="C543">
        <v>80</v>
      </c>
      <c r="D543">
        <v>78.653038025000001</v>
      </c>
      <c r="E543">
        <v>60</v>
      </c>
      <c r="F543">
        <v>59.883453369000001</v>
      </c>
      <c r="G543">
        <v>1295.8023682</v>
      </c>
      <c r="H543">
        <v>1281.6391602000001</v>
      </c>
      <c r="I543">
        <v>1413.3430175999999</v>
      </c>
      <c r="J543">
        <v>1393.1651611</v>
      </c>
      <c r="K543">
        <v>0</v>
      </c>
      <c r="L543">
        <v>2750</v>
      </c>
      <c r="M543">
        <v>2750</v>
      </c>
      <c r="N543">
        <v>0</v>
      </c>
    </row>
    <row r="544" spans="1:14" x14ac:dyDescent="0.25">
      <c r="A544">
        <v>189.295917</v>
      </c>
      <c r="B544" s="1">
        <f>DATE(2010,11,6) + TIME(7,6,7)</f>
        <v>40488.295914351853</v>
      </c>
      <c r="C544">
        <v>80</v>
      </c>
      <c r="D544">
        <v>78.613601685000006</v>
      </c>
      <c r="E544">
        <v>60</v>
      </c>
      <c r="F544">
        <v>59.893062592</v>
      </c>
      <c r="G544">
        <v>1295.7927245999999</v>
      </c>
      <c r="H544">
        <v>1281.6279297000001</v>
      </c>
      <c r="I544">
        <v>1413.1523437999999</v>
      </c>
      <c r="J544">
        <v>1392.9818115</v>
      </c>
      <c r="K544">
        <v>0</v>
      </c>
      <c r="L544">
        <v>2750</v>
      </c>
      <c r="M544">
        <v>2750</v>
      </c>
      <c r="N544">
        <v>0</v>
      </c>
    </row>
    <row r="545" spans="1:14" x14ac:dyDescent="0.25">
      <c r="A545">
        <v>189.48631700000001</v>
      </c>
      <c r="B545" s="1">
        <f>DATE(2010,11,6) + TIME(11,40,17)</f>
        <v>40488.486307870371</v>
      </c>
      <c r="C545">
        <v>80</v>
      </c>
      <c r="D545">
        <v>78.573471068999993</v>
      </c>
      <c r="E545">
        <v>60</v>
      </c>
      <c r="F545">
        <v>59.900886536000002</v>
      </c>
      <c r="G545">
        <v>1295.7829589999999</v>
      </c>
      <c r="H545">
        <v>1281.6164550999999</v>
      </c>
      <c r="I545">
        <v>1412.9645995999999</v>
      </c>
      <c r="J545">
        <v>1392.8010254000001</v>
      </c>
      <c r="K545">
        <v>0</v>
      </c>
      <c r="L545">
        <v>2750</v>
      </c>
      <c r="M545">
        <v>2750</v>
      </c>
      <c r="N545">
        <v>0</v>
      </c>
    </row>
    <row r="546" spans="1:14" x14ac:dyDescent="0.25">
      <c r="A546">
        <v>189.68154000000001</v>
      </c>
      <c r="B546" s="1">
        <f>DATE(2010,11,6) + TIME(16,21,25)</f>
        <v>40488.681539351855</v>
      </c>
      <c r="C546">
        <v>80</v>
      </c>
      <c r="D546">
        <v>78.532577515</v>
      </c>
      <c r="E546">
        <v>60</v>
      </c>
      <c r="F546">
        <v>59.907257080000001</v>
      </c>
      <c r="G546">
        <v>1295.7728271000001</v>
      </c>
      <c r="H546">
        <v>1281.6046143000001</v>
      </c>
      <c r="I546">
        <v>1412.7792969</v>
      </c>
      <c r="J546">
        <v>1392.6225586</v>
      </c>
      <c r="K546">
        <v>0</v>
      </c>
      <c r="L546">
        <v>2750</v>
      </c>
      <c r="M546">
        <v>2750</v>
      </c>
      <c r="N546">
        <v>0</v>
      </c>
    </row>
    <row r="547" spans="1:14" x14ac:dyDescent="0.25">
      <c r="A547">
        <v>189.88190900000001</v>
      </c>
      <c r="B547" s="1">
        <f>DATE(2010,11,6) + TIME(21,9,56)</f>
        <v>40488.881898148145</v>
      </c>
      <c r="C547">
        <v>80</v>
      </c>
      <c r="D547">
        <v>78.490859985</v>
      </c>
      <c r="E547">
        <v>60</v>
      </c>
      <c r="F547">
        <v>59.912441254000001</v>
      </c>
      <c r="G547">
        <v>1295.7625731999999</v>
      </c>
      <c r="H547">
        <v>1281.5925293</v>
      </c>
      <c r="I547">
        <v>1412.5960693</v>
      </c>
      <c r="J547">
        <v>1392.4456786999999</v>
      </c>
      <c r="K547">
        <v>0</v>
      </c>
      <c r="L547">
        <v>2750</v>
      </c>
      <c r="M547">
        <v>2750</v>
      </c>
      <c r="N547">
        <v>0</v>
      </c>
    </row>
    <row r="548" spans="1:14" x14ac:dyDescent="0.25">
      <c r="A548">
        <v>190.08789100000001</v>
      </c>
      <c r="B548" s="1">
        <f>DATE(2010,11,7) + TIME(2,6,33)</f>
        <v>40489.087881944448</v>
      </c>
      <c r="C548">
        <v>80</v>
      </c>
      <c r="D548">
        <v>78.448249817000004</v>
      </c>
      <c r="E548">
        <v>60</v>
      </c>
      <c r="F548">
        <v>59.916656494000001</v>
      </c>
      <c r="G548">
        <v>1295.7518310999999</v>
      </c>
      <c r="H548">
        <v>1281.5800781</v>
      </c>
      <c r="I548">
        <v>1412.4144286999999</v>
      </c>
      <c r="J548">
        <v>1392.2703856999999</v>
      </c>
      <c r="K548">
        <v>0</v>
      </c>
      <c r="L548">
        <v>2750</v>
      </c>
      <c r="M548">
        <v>2750</v>
      </c>
      <c r="N548">
        <v>0</v>
      </c>
    </row>
    <row r="549" spans="1:14" x14ac:dyDescent="0.25">
      <c r="A549">
        <v>190.30006</v>
      </c>
      <c r="B549" s="1">
        <f>DATE(2010,11,7) + TIME(7,12,5)</f>
        <v>40489.300057870372</v>
      </c>
      <c r="C549">
        <v>80</v>
      </c>
      <c r="D549">
        <v>78.404640197999996</v>
      </c>
      <c r="E549">
        <v>60</v>
      </c>
      <c r="F549">
        <v>59.920093536000003</v>
      </c>
      <c r="G549">
        <v>1295.7409668</v>
      </c>
      <c r="H549">
        <v>1281.5672606999999</v>
      </c>
      <c r="I549">
        <v>1412.2342529</v>
      </c>
      <c r="J549">
        <v>1392.0963135</v>
      </c>
      <c r="K549">
        <v>0</v>
      </c>
      <c r="L549">
        <v>2750</v>
      </c>
      <c r="M549">
        <v>2750</v>
      </c>
      <c r="N549">
        <v>0</v>
      </c>
    </row>
    <row r="550" spans="1:14" x14ac:dyDescent="0.25">
      <c r="A550">
        <v>190.51922999999999</v>
      </c>
      <c r="B550" s="1">
        <f>DATE(2010,11,7) + TIME(12,27,41)</f>
        <v>40489.519224537034</v>
      </c>
      <c r="C550">
        <v>80</v>
      </c>
      <c r="D550">
        <v>78.359916686999995</v>
      </c>
      <c r="E550">
        <v>60</v>
      </c>
      <c r="F550">
        <v>59.922893524000003</v>
      </c>
      <c r="G550">
        <v>1295.7297363</v>
      </c>
      <c r="H550">
        <v>1281.5540771000001</v>
      </c>
      <c r="I550">
        <v>1412.0548096</v>
      </c>
      <c r="J550">
        <v>1391.9230957</v>
      </c>
      <c r="K550">
        <v>0</v>
      </c>
      <c r="L550">
        <v>2750</v>
      </c>
      <c r="M550">
        <v>2750</v>
      </c>
      <c r="N550">
        <v>0</v>
      </c>
    </row>
    <row r="551" spans="1:14" x14ac:dyDescent="0.25">
      <c r="A551">
        <v>190.74632099999999</v>
      </c>
      <c r="B551" s="1">
        <f>DATE(2010,11,7) + TIME(17,54,42)</f>
        <v>40489.746319444443</v>
      </c>
      <c r="C551">
        <v>80</v>
      </c>
      <c r="D551">
        <v>78.313919067</v>
      </c>
      <c r="E551">
        <v>60</v>
      </c>
      <c r="F551">
        <v>59.925182343000003</v>
      </c>
      <c r="G551">
        <v>1295.7180175999999</v>
      </c>
      <c r="H551">
        <v>1281.5404053</v>
      </c>
      <c r="I551">
        <v>1411.8758545000001</v>
      </c>
      <c r="J551">
        <v>1391.7503661999999</v>
      </c>
      <c r="K551">
        <v>0</v>
      </c>
      <c r="L551">
        <v>2750</v>
      </c>
      <c r="M551">
        <v>2750</v>
      </c>
      <c r="N551">
        <v>0</v>
      </c>
    </row>
    <row r="552" spans="1:14" x14ac:dyDescent="0.25">
      <c r="A552">
        <v>190.982361</v>
      </c>
      <c r="B552" s="1">
        <f>DATE(2010,11,7) + TIME(23,34,35)</f>
        <v>40489.982349537036</v>
      </c>
      <c r="C552">
        <v>80</v>
      </c>
      <c r="D552">
        <v>78.266487122000001</v>
      </c>
      <c r="E552">
        <v>60</v>
      </c>
      <c r="F552">
        <v>59.927059174</v>
      </c>
      <c r="G552">
        <v>1295.7059326000001</v>
      </c>
      <c r="H552">
        <v>1281.5262451000001</v>
      </c>
      <c r="I552">
        <v>1411.6967772999999</v>
      </c>
      <c r="J552">
        <v>1391.5772704999999</v>
      </c>
      <c r="K552">
        <v>0</v>
      </c>
      <c r="L552">
        <v>2750</v>
      </c>
      <c r="M552">
        <v>2750</v>
      </c>
      <c r="N552">
        <v>0</v>
      </c>
    </row>
    <row r="553" spans="1:14" x14ac:dyDescent="0.25">
      <c r="A553">
        <v>191.228531</v>
      </c>
      <c r="B553" s="1">
        <f>DATE(2010,11,8) + TIME(5,29,5)</f>
        <v>40490.228530092594</v>
      </c>
      <c r="C553">
        <v>80</v>
      </c>
      <c r="D553">
        <v>78.217430114999999</v>
      </c>
      <c r="E553">
        <v>60</v>
      </c>
      <c r="F553">
        <v>59.928604126000003</v>
      </c>
      <c r="G553">
        <v>1295.6933594</v>
      </c>
      <c r="H553">
        <v>1281.5114745999999</v>
      </c>
      <c r="I553">
        <v>1411.5168457</v>
      </c>
      <c r="J553">
        <v>1391.4036865</v>
      </c>
      <c r="K553">
        <v>0</v>
      </c>
      <c r="L553">
        <v>2750</v>
      </c>
      <c r="M553">
        <v>2750</v>
      </c>
      <c r="N553">
        <v>0</v>
      </c>
    </row>
    <row r="554" spans="1:14" x14ac:dyDescent="0.25">
      <c r="A554">
        <v>191.48602199999999</v>
      </c>
      <c r="B554" s="1">
        <f>DATE(2010,11,8) + TIME(11,39,52)</f>
        <v>40490.486018518517</v>
      </c>
      <c r="C554">
        <v>80</v>
      </c>
      <c r="D554">
        <v>78.166557311999995</v>
      </c>
      <c r="E554">
        <v>60</v>
      </c>
      <c r="F554">
        <v>59.929874419999997</v>
      </c>
      <c r="G554">
        <v>1295.6801757999999</v>
      </c>
      <c r="H554">
        <v>1281.4962158000001</v>
      </c>
      <c r="I554">
        <v>1411.3356934000001</v>
      </c>
      <c r="J554">
        <v>1391.2287598</v>
      </c>
      <c r="K554">
        <v>0</v>
      </c>
      <c r="L554">
        <v>2750</v>
      </c>
      <c r="M554">
        <v>2750</v>
      </c>
      <c r="N554">
        <v>0</v>
      </c>
    </row>
    <row r="555" spans="1:14" x14ac:dyDescent="0.25">
      <c r="A555">
        <v>191.75050999999999</v>
      </c>
      <c r="B555" s="1">
        <f>DATE(2010,11,8) + TIME(18,0,44)</f>
        <v>40490.750509259262</v>
      </c>
      <c r="C555">
        <v>80</v>
      </c>
      <c r="D555">
        <v>78.114471436000002</v>
      </c>
      <c r="E555">
        <v>60</v>
      </c>
      <c r="F555">
        <v>59.930912018000001</v>
      </c>
      <c r="G555">
        <v>1295.6663818</v>
      </c>
      <c r="H555">
        <v>1281.4801024999999</v>
      </c>
      <c r="I555">
        <v>1411.1525879000001</v>
      </c>
      <c r="J555">
        <v>1391.0522461</v>
      </c>
      <c r="K555">
        <v>0</v>
      </c>
      <c r="L555">
        <v>2750</v>
      </c>
      <c r="M555">
        <v>2750</v>
      </c>
      <c r="N555">
        <v>0</v>
      </c>
    </row>
    <row r="556" spans="1:14" x14ac:dyDescent="0.25">
      <c r="A556">
        <v>192.01712900000001</v>
      </c>
      <c r="B556" s="1">
        <f>DATE(2010,11,9) + TIME(0,24,39)</f>
        <v>40491.017118055555</v>
      </c>
      <c r="C556">
        <v>80</v>
      </c>
      <c r="D556">
        <v>78.061904906999999</v>
      </c>
      <c r="E556">
        <v>60</v>
      </c>
      <c r="F556">
        <v>59.931747436999999</v>
      </c>
      <c r="G556">
        <v>1295.6519774999999</v>
      </c>
      <c r="H556">
        <v>1281.4636230000001</v>
      </c>
      <c r="I556">
        <v>1410.9710693</v>
      </c>
      <c r="J556">
        <v>1390.8771973</v>
      </c>
      <c r="K556">
        <v>0</v>
      </c>
      <c r="L556">
        <v>2750</v>
      </c>
      <c r="M556">
        <v>2750</v>
      </c>
      <c r="N556">
        <v>0</v>
      </c>
    </row>
    <row r="557" spans="1:14" x14ac:dyDescent="0.25">
      <c r="A557">
        <v>192.286787</v>
      </c>
      <c r="B557" s="1">
        <f>DATE(2010,11,9) + TIME(6,52,58)</f>
        <v>40491.286782407406</v>
      </c>
      <c r="C557">
        <v>80</v>
      </c>
      <c r="D557">
        <v>78.008834839000002</v>
      </c>
      <c r="E557">
        <v>60</v>
      </c>
      <c r="F557">
        <v>59.932426452999998</v>
      </c>
      <c r="G557">
        <v>1295.6375731999999</v>
      </c>
      <c r="H557">
        <v>1281.4468993999999</v>
      </c>
      <c r="I557">
        <v>1410.7943115</v>
      </c>
      <c r="J557">
        <v>1390.7069091999999</v>
      </c>
      <c r="K557">
        <v>0</v>
      </c>
      <c r="L557">
        <v>2750</v>
      </c>
      <c r="M557">
        <v>2750</v>
      </c>
      <c r="N557">
        <v>0</v>
      </c>
    </row>
    <row r="558" spans="1:14" x14ac:dyDescent="0.25">
      <c r="A558">
        <v>192.56022300000001</v>
      </c>
      <c r="B558" s="1">
        <f>DATE(2010,11,9) + TIME(13,26,43)</f>
        <v>40491.560219907406</v>
      </c>
      <c r="C558">
        <v>80</v>
      </c>
      <c r="D558">
        <v>77.955200195000003</v>
      </c>
      <c r="E558">
        <v>60</v>
      </c>
      <c r="F558">
        <v>59.932987212999997</v>
      </c>
      <c r="G558">
        <v>1295.6230469</v>
      </c>
      <c r="H558">
        <v>1281.4299315999999</v>
      </c>
      <c r="I558">
        <v>1410.6214600000001</v>
      </c>
      <c r="J558">
        <v>1390.5405272999999</v>
      </c>
      <c r="K558">
        <v>0</v>
      </c>
      <c r="L558">
        <v>2750</v>
      </c>
      <c r="M558">
        <v>2750</v>
      </c>
      <c r="N558">
        <v>0</v>
      </c>
    </row>
    <row r="559" spans="1:14" x14ac:dyDescent="0.25">
      <c r="A559">
        <v>192.83715000000001</v>
      </c>
      <c r="B559" s="1">
        <f>DATE(2010,11,9) + TIME(20,5,29)</f>
        <v>40491.837141203701</v>
      </c>
      <c r="C559">
        <v>80</v>
      </c>
      <c r="D559">
        <v>77.901084900000001</v>
      </c>
      <c r="E559">
        <v>60</v>
      </c>
      <c r="F559">
        <v>59.933456421000002</v>
      </c>
      <c r="G559">
        <v>1295.6081543</v>
      </c>
      <c r="H559">
        <v>1281.4127197</v>
      </c>
      <c r="I559">
        <v>1410.4520264</v>
      </c>
      <c r="J559">
        <v>1390.3774414</v>
      </c>
      <c r="K559">
        <v>0</v>
      </c>
      <c r="L559">
        <v>2750</v>
      </c>
      <c r="M559">
        <v>2750</v>
      </c>
      <c r="N559">
        <v>0</v>
      </c>
    </row>
    <row r="560" spans="1:14" x14ac:dyDescent="0.25">
      <c r="A560">
        <v>193.118223</v>
      </c>
      <c r="B560" s="1">
        <f>DATE(2010,11,10) + TIME(2,50,14)</f>
        <v>40492.118217592593</v>
      </c>
      <c r="C560">
        <v>80</v>
      </c>
      <c r="D560">
        <v>77.846420288000004</v>
      </c>
      <c r="E560">
        <v>60</v>
      </c>
      <c r="F560">
        <v>59.933845519999998</v>
      </c>
      <c r="G560">
        <v>1295.5931396000001</v>
      </c>
      <c r="H560">
        <v>1281.3953856999999</v>
      </c>
      <c r="I560">
        <v>1410.2860106999999</v>
      </c>
      <c r="J560">
        <v>1390.2177733999999</v>
      </c>
      <c r="K560">
        <v>0</v>
      </c>
      <c r="L560">
        <v>2750</v>
      </c>
      <c r="M560">
        <v>2750</v>
      </c>
      <c r="N560">
        <v>0</v>
      </c>
    </row>
    <row r="561" spans="1:14" x14ac:dyDescent="0.25">
      <c r="A561">
        <v>193.40430599999999</v>
      </c>
      <c r="B561" s="1">
        <f>DATE(2010,11,10) + TIME(9,42,12)</f>
        <v>40492.404305555552</v>
      </c>
      <c r="C561">
        <v>80</v>
      </c>
      <c r="D561">
        <v>77.791114807</v>
      </c>
      <c r="E561">
        <v>60</v>
      </c>
      <c r="F561">
        <v>59.934177398999999</v>
      </c>
      <c r="G561">
        <v>1295.5778809000001</v>
      </c>
      <c r="H561">
        <v>1281.3776855000001</v>
      </c>
      <c r="I561">
        <v>1410.1228027</v>
      </c>
      <c r="J561">
        <v>1390.0609131000001</v>
      </c>
      <c r="K561">
        <v>0</v>
      </c>
      <c r="L561">
        <v>2750</v>
      </c>
      <c r="M561">
        <v>2750</v>
      </c>
      <c r="N561">
        <v>0</v>
      </c>
    </row>
    <row r="562" spans="1:14" x14ac:dyDescent="0.25">
      <c r="A562">
        <v>193.695481</v>
      </c>
      <c r="B562" s="1">
        <f>DATE(2010,11,10) + TIME(16,41,29)</f>
        <v>40492.695474537039</v>
      </c>
      <c r="C562">
        <v>80</v>
      </c>
      <c r="D562">
        <v>77.735145568999997</v>
      </c>
      <c r="E562">
        <v>60</v>
      </c>
      <c r="F562">
        <v>59.934459685999997</v>
      </c>
      <c r="G562">
        <v>1295.5622559000001</v>
      </c>
      <c r="H562">
        <v>1281.3596190999999</v>
      </c>
      <c r="I562">
        <v>1409.9620361</v>
      </c>
      <c r="J562">
        <v>1389.9063721</v>
      </c>
      <c r="K562">
        <v>0</v>
      </c>
      <c r="L562">
        <v>2750</v>
      </c>
      <c r="M562">
        <v>2750</v>
      </c>
      <c r="N562">
        <v>0</v>
      </c>
    </row>
    <row r="563" spans="1:14" x14ac:dyDescent="0.25">
      <c r="A563">
        <v>193.99180100000001</v>
      </c>
      <c r="B563" s="1">
        <f>DATE(2010,11,10) + TIME(23,48,11)</f>
        <v>40492.991793981484</v>
      </c>
      <c r="C563">
        <v>80</v>
      </c>
      <c r="D563">
        <v>77.678527832</v>
      </c>
      <c r="E563">
        <v>60</v>
      </c>
      <c r="F563">
        <v>59.934700012</v>
      </c>
      <c r="G563">
        <v>1295.5463867000001</v>
      </c>
      <c r="H563">
        <v>1281.3411865</v>
      </c>
      <c r="I563">
        <v>1409.8033447</v>
      </c>
      <c r="J563">
        <v>1389.7541504000001</v>
      </c>
      <c r="K563">
        <v>0</v>
      </c>
      <c r="L563">
        <v>2750</v>
      </c>
      <c r="M563">
        <v>2750</v>
      </c>
      <c r="N563">
        <v>0</v>
      </c>
    </row>
    <row r="564" spans="1:14" x14ac:dyDescent="0.25">
      <c r="A564">
        <v>194.294025</v>
      </c>
      <c r="B564" s="1">
        <f>DATE(2010,11,11) + TIME(7,3,23)</f>
        <v>40493.294016203705</v>
      </c>
      <c r="C564">
        <v>80</v>
      </c>
      <c r="D564">
        <v>77.621154785000002</v>
      </c>
      <c r="E564">
        <v>60</v>
      </c>
      <c r="F564">
        <v>59.934909820999998</v>
      </c>
      <c r="G564">
        <v>1295.5302733999999</v>
      </c>
      <c r="H564">
        <v>1281.3223877</v>
      </c>
      <c r="I564">
        <v>1409.6468506000001</v>
      </c>
      <c r="J564">
        <v>1389.6040039</v>
      </c>
      <c r="K564">
        <v>0</v>
      </c>
      <c r="L564">
        <v>2750</v>
      </c>
      <c r="M564">
        <v>2750</v>
      </c>
      <c r="N564">
        <v>0</v>
      </c>
    </row>
    <row r="565" spans="1:14" x14ac:dyDescent="0.25">
      <c r="A565">
        <v>194.60314</v>
      </c>
      <c r="B565" s="1">
        <f>DATE(2010,11,11) + TIME(14,28,31)</f>
        <v>40493.603136574071</v>
      </c>
      <c r="C565">
        <v>80</v>
      </c>
      <c r="D565">
        <v>77.562889099000003</v>
      </c>
      <c r="E565">
        <v>60</v>
      </c>
      <c r="F565">
        <v>59.935092926000003</v>
      </c>
      <c r="G565">
        <v>1295.5137939000001</v>
      </c>
      <c r="H565">
        <v>1281.3032227000001</v>
      </c>
      <c r="I565">
        <v>1409.4920654</v>
      </c>
      <c r="J565">
        <v>1389.4555664</v>
      </c>
      <c r="K565">
        <v>0</v>
      </c>
      <c r="L565">
        <v>2750</v>
      </c>
      <c r="M565">
        <v>2750</v>
      </c>
      <c r="N565">
        <v>0</v>
      </c>
    </row>
    <row r="566" spans="1:14" x14ac:dyDescent="0.25">
      <c r="A566">
        <v>194.92018200000001</v>
      </c>
      <c r="B566" s="1">
        <f>DATE(2010,11,11) + TIME(22,5,3)</f>
        <v>40493.920173611114</v>
      </c>
      <c r="C566">
        <v>80</v>
      </c>
      <c r="D566">
        <v>77.503593445000007</v>
      </c>
      <c r="E566">
        <v>60</v>
      </c>
      <c r="F566">
        <v>59.935253142999997</v>
      </c>
      <c r="G566">
        <v>1295.4968262</v>
      </c>
      <c r="H566">
        <v>1281.2835693</v>
      </c>
      <c r="I566">
        <v>1409.3386230000001</v>
      </c>
      <c r="J566">
        <v>1389.3085937999999</v>
      </c>
      <c r="K566">
        <v>0</v>
      </c>
      <c r="L566">
        <v>2750</v>
      </c>
      <c r="M566">
        <v>2750</v>
      </c>
      <c r="N566">
        <v>0</v>
      </c>
    </row>
    <row r="567" spans="1:14" x14ac:dyDescent="0.25">
      <c r="A567">
        <v>195.24629999999999</v>
      </c>
      <c r="B567" s="1">
        <f>DATE(2010,11,12) + TIME(5,54,40)</f>
        <v>40494.246296296296</v>
      </c>
      <c r="C567">
        <v>80</v>
      </c>
      <c r="D567">
        <v>77.443092346</v>
      </c>
      <c r="E567">
        <v>60</v>
      </c>
      <c r="F567">
        <v>59.935398102000001</v>
      </c>
      <c r="G567">
        <v>1295.4794922000001</v>
      </c>
      <c r="H567">
        <v>1281.2634277</v>
      </c>
      <c r="I567">
        <v>1409.1859131000001</v>
      </c>
      <c r="J567">
        <v>1389.1623535000001</v>
      </c>
      <c r="K567">
        <v>0</v>
      </c>
      <c r="L567">
        <v>2750</v>
      </c>
      <c r="M567">
        <v>2750</v>
      </c>
      <c r="N567">
        <v>0</v>
      </c>
    </row>
    <row r="568" spans="1:14" x14ac:dyDescent="0.25">
      <c r="A568">
        <v>195.58283</v>
      </c>
      <c r="B568" s="1">
        <f>DATE(2010,11,12) + TIME(13,59,16)</f>
        <v>40494.582824074074</v>
      </c>
      <c r="C568">
        <v>80</v>
      </c>
      <c r="D568">
        <v>77.381195067999997</v>
      </c>
      <c r="E568">
        <v>60</v>
      </c>
      <c r="F568">
        <v>59.935523987000003</v>
      </c>
      <c r="G568">
        <v>1295.4615478999999</v>
      </c>
      <c r="H568">
        <v>1281.2426757999999</v>
      </c>
      <c r="I568">
        <v>1409.0335693</v>
      </c>
      <c r="J568">
        <v>1389.0166016000001</v>
      </c>
      <c r="K568">
        <v>0</v>
      </c>
      <c r="L568">
        <v>2750</v>
      </c>
      <c r="M568">
        <v>2750</v>
      </c>
      <c r="N568">
        <v>0</v>
      </c>
    </row>
    <row r="569" spans="1:14" x14ac:dyDescent="0.25">
      <c r="A569">
        <v>195.931231</v>
      </c>
      <c r="B569" s="1">
        <f>DATE(2010,11,12) + TIME(22,20,58)</f>
        <v>40494.931226851855</v>
      </c>
      <c r="C569">
        <v>80</v>
      </c>
      <c r="D569">
        <v>77.317687988000003</v>
      </c>
      <c r="E569">
        <v>60</v>
      </c>
      <c r="F569">
        <v>59.935634612999998</v>
      </c>
      <c r="G569">
        <v>1295.4429932</v>
      </c>
      <c r="H569">
        <v>1281.2211914</v>
      </c>
      <c r="I569">
        <v>1408.8811035000001</v>
      </c>
      <c r="J569">
        <v>1388.8707274999999</v>
      </c>
      <c r="K569">
        <v>0</v>
      </c>
      <c r="L569">
        <v>2750</v>
      </c>
      <c r="M569">
        <v>2750</v>
      </c>
      <c r="N569">
        <v>0</v>
      </c>
    </row>
    <row r="570" spans="1:14" x14ac:dyDescent="0.25">
      <c r="A570">
        <v>196.292811</v>
      </c>
      <c r="B570" s="1">
        <f>DATE(2010,11,13) + TIME(7,1,38)</f>
        <v>40495.292800925927</v>
      </c>
      <c r="C570">
        <v>80</v>
      </c>
      <c r="D570">
        <v>77.252380371000001</v>
      </c>
      <c r="E570">
        <v>60</v>
      </c>
      <c r="F570">
        <v>59.935737609999997</v>
      </c>
      <c r="G570">
        <v>1295.4238281</v>
      </c>
      <c r="H570">
        <v>1281.1989745999999</v>
      </c>
      <c r="I570">
        <v>1408.7279053</v>
      </c>
      <c r="J570">
        <v>1388.7244873</v>
      </c>
      <c r="K570">
        <v>0</v>
      </c>
      <c r="L570">
        <v>2750</v>
      </c>
      <c r="M570">
        <v>2750</v>
      </c>
      <c r="N570">
        <v>0</v>
      </c>
    </row>
    <row r="571" spans="1:14" x14ac:dyDescent="0.25">
      <c r="A571">
        <v>196.661474</v>
      </c>
      <c r="B571" s="1">
        <f>DATE(2010,11,13) + TIME(15,52,31)</f>
        <v>40495.661469907405</v>
      </c>
      <c r="C571">
        <v>80</v>
      </c>
      <c r="D571">
        <v>77.185951232999997</v>
      </c>
      <c r="E571">
        <v>60</v>
      </c>
      <c r="F571">
        <v>59.935829163000001</v>
      </c>
      <c r="G571">
        <v>1295.4038086</v>
      </c>
      <c r="H571">
        <v>1281.1759033000001</v>
      </c>
      <c r="I571">
        <v>1408.5738524999999</v>
      </c>
      <c r="J571">
        <v>1388.5772704999999</v>
      </c>
      <c r="K571">
        <v>0</v>
      </c>
      <c r="L571">
        <v>2750</v>
      </c>
      <c r="M571">
        <v>2750</v>
      </c>
      <c r="N571">
        <v>0</v>
      </c>
    </row>
    <row r="572" spans="1:14" x14ac:dyDescent="0.25">
      <c r="A572">
        <v>197.03212099999999</v>
      </c>
      <c r="B572" s="1">
        <f>DATE(2010,11,14) + TIME(0,46,15)</f>
        <v>40496.032118055555</v>
      </c>
      <c r="C572">
        <v>80</v>
      </c>
      <c r="D572">
        <v>77.119117736999996</v>
      </c>
      <c r="E572">
        <v>60</v>
      </c>
      <c r="F572">
        <v>59.935909271</v>
      </c>
      <c r="G572">
        <v>1295.3833007999999</v>
      </c>
      <c r="H572">
        <v>1281.1522216999999</v>
      </c>
      <c r="I572">
        <v>1408.4215088000001</v>
      </c>
      <c r="J572">
        <v>1388.4318848</v>
      </c>
      <c r="K572">
        <v>0</v>
      </c>
      <c r="L572">
        <v>2750</v>
      </c>
      <c r="M572">
        <v>2750</v>
      </c>
      <c r="N572">
        <v>0</v>
      </c>
    </row>
    <row r="573" spans="1:14" x14ac:dyDescent="0.25">
      <c r="A573">
        <v>197.40597099999999</v>
      </c>
      <c r="B573" s="1">
        <f>DATE(2010,11,14) + TIME(9,44,35)</f>
        <v>40496.405960648146</v>
      </c>
      <c r="C573">
        <v>80</v>
      </c>
      <c r="D573">
        <v>77.051887511999993</v>
      </c>
      <c r="E573">
        <v>60</v>
      </c>
      <c r="F573">
        <v>59.935977936</v>
      </c>
      <c r="G573">
        <v>1295.3625488</v>
      </c>
      <c r="H573">
        <v>1281.128418</v>
      </c>
      <c r="I573">
        <v>1408.2729492000001</v>
      </c>
      <c r="J573">
        <v>1388.2901611</v>
      </c>
      <c r="K573">
        <v>0</v>
      </c>
      <c r="L573">
        <v>2750</v>
      </c>
      <c r="M573">
        <v>2750</v>
      </c>
      <c r="N573">
        <v>0</v>
      </c>
    </row>
    <row r="574" spans="1:14" x14ac:dyDescent="0.25">
      <c r="A574">
        <v>197.78363400000001</v>
      </c>
      <c r="B574" s="1">
        <f>DATE(2010,11,14) + TIME(18,48,25)</f>
        <v>40496.783622685187</v>
      </c>
      <c r="C574">
        <v>80</v>
      </c>
      <c r="D574">
        <v>76.984268188000001</v>
      </c>
      <c r="E574">
        <v>60</v>
      </c>
      <c r="F574">
        <v>59.936042786000002</v>
      </c>
      <c r="G574">
        <v>1295.3416748</v>
      </c>
      <c r="H574">
        <v>1281.1042480000001</v>
      </c>
      <c r="I574">
        <v>1408.1274414</v>
      </c>
      <c r="J574">
        <v>1388.1514893000001</v>
      </c>
      <c r="K574">
        <v>0</v>
      </c>
      <c r="L574">
        <v>2750</v>
      </c>
      <c r="M574">
        <v>2750</v>
      </c>
      <c r="N574">
        <v>0</v>
      </c>
    </row>
    <row r="575" spans="1:14" x14ac:dyDescent="0.25">
      <c r="A575">
        <v>198.16599600000001</v>
      </c>
      <c r="B575" s="1">
        <f>DATE(2010,11,15) + TIME(3,59,2)</f>
        <v>40497.165995370371</v>
      </c>
      <c r="C575">
        <v>80</v>
      </c>
      <c r="D575">
        <v>76.916213988999999</v>
      </c>
      <c r="E575">
        <v>60</v>
      </c>
      <c r="F575">
        <v>59.936100005999997</v>
      </c>
      <c r="G575">
        <v>1295.3205565999999</v>
      </c>
      <c r="H575">
        <v>1281.0798339999999</v>
      </c>
      <c r="I575">
        <v>1407.9847411999999</v>
      </c>
      <c r="J575">
        <v>1388.0155029</v>
      </c>
      <c r="K575">
        <v>0</v>
      </c>
      <c r="L575">
        <v>2750</v>
      </c>
      <c r="M575">
        <v>2750</v>
      </c>
      <c r="N575">
        <v>0</v>
      </c>
    </row>
    <row r="576" spans="1:14" x14ac:dyDescent="0.25">
      <c r="A576">
        <v>198.55391800000001</v>
      </c>
      <c r="B576" s="1">
        <f>DATE(2010,11,15) + TIME(13,17,38)</f>
        <v>40497.553912037038</v>
      </c>
      <c r="C576">
        <v>80</v>
      </c>
      <c r="D576">
        <v>76.847640991000006</v>
      </c>
      <c r="E576">
        <v>60</v>
      </c>
      <c r="F576">
        <v>59.936153412000003</v>
      </c>
      <c r="G576">
        <v>1295.2990723</v>
      </c>
      <c r="H576">
        <v>1281.0550536999999</v>
      </c>
      <c r="I576">
        <v>1407.8444824000001</v>
      </c>
      <c r="J576">
        <v>1387.8819579999999</v>
      </c>
      <c r="K576">
        <v>0</v>
      </c>
      <c r="L576">
        <v>2750</v>
      </c>
      <c r="M576">
        <v>2750</v>
      </c>
      <c r="N576">
        <v>0</v>
      </c>
    </row>
    <row r="577" spans="1:14" x14ac:dyDescent="0.25">
      <c r="A577">
        <v>198.94816499999999</v>
      </c>
      <c r="B577" s="1">
        <f>DATE(2010,11,15) + TIME(22,45,21)</f>
        <v>40497.948159722226</v>
      </c>
      <c r="C577">
        <v>80</v>
      </c>
      <c r="D577">
        <v>76.778450011999993</v>
      </c>
      <c r="E577">
        <v>60</v>
      </c>
      <c r="F577">
        <v>59.936206818000002</v>
      </c>
      <c r="G577">
        <v>1295.2772216999999</v>
      </c>
      <c r="H577">
        <v>1281.0299072</v>
      </c>
      <c r="I577">
        <v>1407.7061768000001</v>
      </c>
      <c r="J577">
        <v>1387.7502440999999</v>
      </c>
      <c r="K577">
        <v>0</v>
      </c>
      <c r="L577">
        <v>2750</v>
      </c>
      <c r="M577">
        <v>2750</v>
      </c>
      <c r="N577">
        <v>0</v>
      </c>
    </row>
    <row r="578" spans="1:14" x14ac:dyDescent="0.25">
      <c r="A578">
        <v>199.34934100000001</v>
      </c>
      <c r="B578" s="1">
        <f>DATE(2010,11,16) + TIME(8,23,3)</f>
        <v>40498.349340277775</v>
      </c>
      <c r="C578">
        <v>80</v>
      </c>
      <c r="D578">
        <v>76.708580017000003</v>
      </c>
      <c r="E578">
        <v>60</v>
      </c>
      <c r="F578">
        <v>59.936252594000003</v>
      </c>
      <c r="G578">
        <v>1295.2550048999999</v>
      </c>
      <c r="H578">
        <v>1281.0041504000001</v>
      </c>
      <c r="I578">
        <v>1407.5694579999999</v>
      </c>
      <c r="J578">
        <v>1387.6202393000001</v>
      </c>
      <c r="K578">
        <v>0</v>
      </c>
      <c r="L578">
        <v>2750</v>
      </c>
      <c r="M578">
        <v>2750</v>
      </c>
      <c r="N578">
        <v>0</v>
      </c>
    </row>
    <row r="579" spans="1:14" x14ac:dyDescent="0.25">
      <c r="A579">
        <v>199.758137</v>
      </c>
      <c r="B579" s="1">
        <f>DATE(2010,11,16) + TIME(18,11,42)</f>
        <v>40498.758125</v>
      </c>
      <c r="C579">
        <v>80</v>
      </c>
      <c r="D579">
        <v>76.637931824000006</v>
      </c>
      <c r="E579">
        <v>60</v>
      </c>
      <c r="F579">
        <v>59.936298370000003</v>
      </c>
      <c r="G579">
        <v>1295.2324219</v>
      </c>
      <c r="H579">
        <v>1280.9779053</v>
      </c>
      <c r="I579">
        <v>1407.4342041</v>
      </c>
      <c r="J579">
        <v>1387.4916992000001</v>
      </c>
      <c r="K579">
        <v>0</v>
      </c>
      <c r="L579">
        <v>2750</v>
      </c>
      <c r="M579">
        <v>2750</v>
      </c>
      <c r="N579">
        <v>0</v>
      </c>
    </row>
    <row r="580" spans="1:14" x14ac:dyDescent="0.25">
      <c r="A580">
        <v>200.175488</v>
      </c>
      <c r="B580" s="1">
        <f>DATE(2010,11,17) + TIME(4,12,42)</f>
        <v>40499.175486111111</v>
      </c>
      <c r="C580">
        <v>80</v>
      </c>
      <c r="D580">
        <v>76.566383361999996</v>
      </c>
      <c r="E580">
        <v>60</v>
      </c>
      <c r="F580">
        <v>59.936340332</v>
      </c>
      <c r="G580">
        <v>1295.2092285000001</v>
      </c>
      <c r="H580">
        <v>1280.9511719</v>
      </c>
      <c r="I580">
        <v>1407.3001709</v>
      </c>
      <c r="J580">
        <v>1387.3643798999999</v>
      </c>
      <c r="K580">
        <v>0</v>
      </c>
      <c r="L580">
        <v>2750</v>
      </c>
      <c r="M580">
        <v>2750</v>
      </c>
      <c r="N580">
        <v>0</v>
      </c>
    </row>
    <row r="581" spans="1:14" x14ac:dyDescent="0.25">
      <c r="A581">
        <v>200.60216</v>
      </c>
      <c r="B581" s="1">
        <f>DATE(2010,11,17) + TIME(14,27,6)</f>
        <v>40499.602152777778</v>
      </c>
      <c r="C581">
        <v>80</v>
      </c>
      <c r="D581">
        <v>76.493843079000001</v>
      </c>
      <c r="E581">
        <v>60</v>
      </c>
      <c r="F581">
        <v>59.936382293999998</v>
      </c>
      <c r="G581">
        <v>1295.1854248</v>
      </c>
      <c r="H581">
        <v>1280.9237060999999</v>
      </c>
      <c r="I581">
        <v>1407.1671143000001</v>
      </c>
      <c r="J581">
        <v>1387.2380370999999</v>
      </c>
      <c r="K581">
        <v>0</v>
      </c>
      <c r="L581">
        <v>2750</v>
      </c>
      <c r="M581">
        <v>2750</v>
      </c>
      <c r="N581">
        <v>0</v>
      </c>
    </row>
    <row r="582" spans="1:14" x14ac:dyDescent="0.25">
      <c r="A582">
        <v>201.03927200000001</v>
      </c>
      <c r="B582" s="1">
        <f>DATE(2010,11,18) + TIME(0,56,33)</f>
        <v>40500.039270833331</v>
      </c>
      <c r="C582">
        <v>80</v>
      </c>
      <c r="D582">
        <v>76.420150757000002</v>
      </c>
      <c r="E582">
        <v>60</v>
      </c>
      <c r="F582">
        <v>59.936424254999999</v>
      </c>
      <c r="G582">
        <v>1295.1611327999999</v>
      </c>
      <c r="H582">
        <v>1280.8955077999999</v>
      </c>
      <c r="I582">
        <v>1407.034668</v>
      </c>
      <c r="J582">
        <v>1387.1124268000001</v>
      </c>
      <c r="K582">
        <v>0</v>
      </c>
      <c r="L582">
        <v>2750</v>
      </c>
      <c r="M582">
        <v>2750</v>
      </c>
      <c r="N582">
        <v>0</v>
      </c>
    </row>
    <row r="583" spans="1:14" x14ac:dyDescent="0.25">
      <c r="A583">
        <v>201.488496</v>
      </c>
      <c r="B583" s="1">
        <f>DATE(2010,11,18) + TIME(11,43,26)</f>
        <v>40500.488495370373</v>
      </c>
      <c r="C583">
        <v>80</v>
      </c>
      <c r="D583">
        <v>76.345115661999998</v>
      </c>
      <c r="E583">
        <v>60</v>
      </c>
      <c r="F583">
        <v>59.936462401999997</v>
      </c>
      <c r="G583">
        <v>1295.1361084</v>
      </c>
      <c r="H583">
        <v>1280.8665771000001</v>
      </c>
      <c r="I583">
        <v>1406.9027100000001</v>
      </c>
      <c r="J583">
        <v>1386.9873047000001</v>
      </c>
      <c r="K583">
        <v>0</v>
      </c>
      <c r="L583">
        <v>2750</v>
      </c>
      <c r="M583">
        <v>2750</v>
      </c>
      <c r="N583">
        <v>0</v>
      </c>
    </row>
    <row r="584" spans="1:14" x14ac:dyDescent="0.25">
      <c r="A584">
        <v>201.95165700000001</v>
      </c>
      <c r="B584" s="1">
        <f>DATE(2010,11,18) + TIME(22,50,23)</f>
        <v>40500.951655092591</v>
      </c>
      <c r="C584">
        <v>80</v>
      </c>
      <c r="D584">
        <v>76.268501282000003</v>
      </c>
      <c r="E584">
        <v>60</v>
      </c>
      <c r="F584">
        <v>59.936504364000001</v>
      </c>
      <c r="G584">
        <v>1295.1102295000001</v>
      </c>
      <c r="H584">
        <v>1280.8366699000001</v>
      </c>
      <c r="I584">
        <v>1406.7707519999999</v>
      </c>
      <c r="J584">
        <v>1386.8621826000001</v>
      </c>
      <c r="K584">
        <v>0</v>
      </c>
      <c r="L584">
        <v>2750</v>
      </c>
      <c r="M584">
        <v>2750</v>
      </c>
      <c r="N584">
        <v>0</v>
      </c>
    </row>
    <row r="585" spans="1:14" x14ac:dyDescent="0.25">
      <c r="A585">
        <v>202.43079</v>
      </c>
      <c r="B585" s="1">
        <f>DATE(2010,11,19) + TIME(10,20,20)</f>
        <v>40501.430787037039</v>
      </c>
      <c r="C585">
        <v>80</v>
      </c>
      <c r="D585">
        <v>76.190040588000002</v>
      </c>
      <c r="E585">
        <v>60</v>
      </c>
      <c r="F585">
        <v>59.936546325999998</v>
      </c>
      <c r="G585">
        <v>1295.0836182</v>
      </c>
      <c r="H585">
        <v>1280.8057861</v>
      </c>
      <c r="I585">
        <v>1406.6385498</v>
      </c>
      <c r="J585">
        <v>1386.7368164</v>
      </c>
      <c r="K585">
        <v>0</v>
      </c>
      <c r="L585">
        <v>2750</v>
      </c>
      <c r="M585">
        <v>2750</v>
      </c>
      <c r="N585">
        <v>0</v>
      </c>
    </row>
    <row r="586" spans="1:14" x14ac:dyDescent="0.25">
      <c r="A586">
        <v>202.916403</v>
      </c>
      <c r="B586" s="1">
        <f>DATE(2010,11,19) + TIME(21,59,37)</f>
        <v>40501.916400462964</v>
      </c>
      <c r="C586">
        <v>80</v>
      </c>
      <c r="D586">
        <v>76.110626221000004</v>
      </c>
      <c r="E586">
        <v>60</v>
      </c>
      <c r="F586">
        <v>59.936584473000003</v>
      </c>
      <c r="G586">
        <v>1295.0557861</v>
      </c>
      <c r="H586">
        <v>1280.7738036999999</v>
      </c>
      <c r="I586">
        <v>1406.5053711</v>
      </c>
      <c r="J586">
        <v>1386.6108397999999</v>
      </c>
      <c r="K586">
        <v>0</v>
      </c>
      <c r="L586">
        <v>2750</v>
      </c>
      <c r="M586">
        <v>2750</v>
      </c>
      <c r="N586">
        <v>0</v>
      </c>
    </row>
    <row r="587" spans="1:14" x14ac:dyDescent="0.25">
      <c r="A587">
        <v>203.40526199999999</v>
      </c>
      <c r="B587" s="1">
        <f>DATE(2010,11,20) + TIME(9,43,34)</f>
        <v>40502.40525462963</v>
      </c>
      <c r="C587">
        <v>80</v>
      </c>
      <c r="D587">
        <v>76.030754088999998</v>
      </c>
      <c r="E587">
        <v>60</v>
      </c>
      <c r="F587">
        <v>59.936626433999997</v>
      </c>
      <c r="G587">
        <v>1295.0273437999999</v>
      </c>
      <c r="H587">
        <v>1280.7410889</v>
      </c>
      <c r="I587">
        <v>1406.3740233999999</v>
      </c>
      <c r="J587">
        <v>1386.4865723</v>
      </c>
      <c r="K587">
        <v>0</v>
      </c>
      <c r="L587">
        <v>2750</v>
      </c>
      <c r="M587">
        <v>2750</v>
      </c>
      <c r="N587">
        <v>0</v>
      </c>
    </row>
    <row r="588" spans="1:14" x14ac:dyDescent="0.25">
      <c r="A588">
        <v>203.89827299999999</v>
      </c>
      <c r="B588" s="1">
        <f>DATE(2010,11,20) + TIME(21,33,30)</f>
        <v>40502.898263888892</v>
      </c>
      <c r="C588">
        <v>80</v>
      </c>
      <c r="D588">
        <v>75.950546265</v>
      </c>
      <c r="E588">
        <v>60</v>
      </c>
      <c r="F588">
        <v>59.936664581000002</v>
      </c>
      <c r="G588">
        <v>1294.9987793</v>
      </c>
      <c r="H588">
        <v>1280.7080077999999</v>
      </c>
      <c r="I588">
        <v>1406.2454834</v>
      </c>
      <c r="J588">
        <v>1386.3648682</v>
      </c>
      <c r="K588">
        <v>0</v>
      </c>
      <c r="L588">
        <v>2750</v>
      </c>
      <c r="M588">
        <v>2750</v>
      </c>
      <c r="N588">
        <v>0</v>
      </c>
    </row>
    <row r="589" spans="1:14" x14ac:dyDescent="0.25">
      <c r="A589">
        <v>204.39658900000001</v>
      </c>
      <c r="B589" s="1">
        <f>DATE(2010,11,21) + TIME(9,31,5)</f>
        <v>40503.396585648145</v>
      </c>
      <c r="C589">
        <v>80</v>
      </c>
      <c r="D589">
        <v>75.869987488000007</v>
      </c>
      <c r="E589">
        <v>60</v>
      </c>
      <c r="F589">
        <v>59.936706543</v>
      </c>
      <c r="G589">
        <v>1294.9698486</v>
      </c>
      <c r="H589">
        <v>1280.6745605000001</v>
      </c>
      <c r="I589">
        <v>1406.1192627</v>
      </c>
      <c r="J589">
        <v>1386.2456055</v>
      </c>
      <c r="K589">
        <v>0</v>
      </c>
      <c r="L589">
        <v>2750</v>
      </c>
      <c r="M589">
        <v>2750</v>
      </c>
      <c r="N589">
        <v>0</v>
      </c>
    </row>
    <row r="590" spans="1:14" x14ac:dyDescent="0.25">
      <c r="A590">
        <v>204.900871</v>
      </c>
      <c r="B590" s="1">
        <f>DATE(2010,11,21) + TIME(21,37,15)</f>
        <v>40503.900868055556</v>
      </c>
      <c r="C590">
        <v>80</v>
      </c>
      <c r="D590">
        <v>75.789054871000005</v>
      </c>
      <c r="E590">
        <v>60</v>
      </c>
      <c r="F590">
        <v>59.936744689999998</v>
      </c>
      <c r="G590">
        <v>1294.9404297000001</v>
      </c>
      <c r="H590">
        <v>1280.6405029</v>
      </c>
      <c r="I590">
        <v>1405.9951172000001</v>
      </c>
      <c r="J590">
        <v>1386.1282959</v>
      </c>
      <c r="K590">
        <v>0</v>
      </c>
      <c r="L590">
        <v>2750</v>
      </c>
      <c r="M590">
        <v>2750</v>
      </c>
      <c r="N590">
        <v>0</v>
      </c>
    </row>
    <row r="591" spans="1:14" x14ac:dyDescent="0.25">
      <c r="A591">
        <v>205.41212200000001</v>
      </c>
      <c r="B591" s="1">
        <f>DATE(2010,11,22) + TIME(9,53,27)</f>
        <v>40504.412118055552</v>
      </c>
      <c r="C591">
        <v>80</v>
      </c>
      <c r="D591">
        <v>75.707672118999994</v>
      </c>
      <c r="E591">
        <v>60</v>
      </c>
      <c r="F591">
        <v>59.936786652000002</v>
      </c>
      <c r="G591">
        <v>1294.9105225000001</v>
      </c>
      <c r="H591">
        <v>1280.605957</v>
      </c>
      <c r="I591">
        <v>1405.8726807</v>
      </c>
      <c r="J591">
        <v>1386.0125731999999</v>
      </c>
      <c r="K591">
        <v>0</v>
      </c>
      <c r="L591">
        <v>2750</v>
      </c>
      <c r="M591">
        <v>2750</v>
      </c>
      <c r="N591">
        <v>0</v>
      </c>
    </row>
    <row r="592" spans="1:14" x14ac:dyDescent="0.25">
      <c r="A592">
        <v>205.93109100000001</v>
      </c>
      <c r="B592" s="1">
        <f>DATE(2010,11,22) + TIME(22,20,46)</f>
        <v>40504.931087962963</v>
      </c>
      <c r="C592">
        <v>80</v>
      </c>
      <c r="D592">
        <v>75.625747681000007</v>
      </c>
      <c r="E592">
        <v>60</v>
      </c>
      <c r="F592">
        <v>59.936828613000003</v>
      </c>
      <c r="G592">
        <v>1294.8801269999999</v>
      </c>
      <c r="H592">
        <v>1280.5706786999999</v>
      </c>
      <c r="I592">
        <v>1405.7518310999999</v>
      </c>
      <c r="J592">
        <v>1385.8984375</v>
      </c>
      <c r="K592">
        <v>0</v>
      </c>
      <c r="L592">
        <v>2750</v>
      </c>
      <c r="M592">
        <v>2750</v>
      </c>
      <c r="N592">
        <v>0</v>
      </c>
    </row>
    <row r="593" spans="1:14" x14ac:dyDescent="0.25">
      <c r="A593">
        <v>206.45946699999999</v>
      </c>
      <c r="B593" s="1">
        <f>DATE(2010,11,23) + TIME(11,1,37)</f>
        <v>40505.459456018521</v>
      </c>
      <c r="C593">
        <v>80</v>
      </c>
      <c r="D593">
        <v>75.543113708000007</v>
      </c>
      <c r="E593">
        <v>60</v>
      </c>
      <c r="F593">
        <v>59.936870575</v>
      </c>
      <c r="G593">
        <v>1294.8491211</v>
      </c>
      <c r="H593">
        <v>1280.534668</v>
      </c>
      <c r="I593">
        <v>1405.6322021000001</v>
      </c>
      <c r="J593">
        <v>1385.7856445</v>
      </c>
      <c r="K593">
        <v>0</v>
      </c>
      <c r="L593">
        <v>2750</v>
      </c>
      <c r="M593">
        <v>2750</v>
      </c>
      <c r="N593">
        <v>0</v>
      </c>
    </row>
    <row r="594" spans="1:14" x14ac:dyDescent="0.25">
      <c r="A594">
        <v>206.997773</v>
      </c>
      <c r="B594" s="1">
        <f>DATE(2010,11,23) + TIME(23,56,47)</f>
        <v>40505.997766203705</v>
      </c>
      <c r="C594">
        <v>80</v>
      </c>
      <c r="D594">
        <v>75.459686278999996</v>
      </c>
      <c r="E594">
        <v>60</v>
      </c>
      <c r="F594">
        <v>59.936916351000001</v>
      </c>
      <c r="G594">
        <v>1294.8173827999999</v>
      </c>
      <c r="H594">
        <v>1280.4978027</v>
      </c>
      <c r="I594">
        <v>1405.5135498</v>
      </c>
      <c r="J594">
        <v>1385.6737060999999</v>
      </c>
      <c r="K594">
        <v>0</v>
      </c>
      <c r="L594">
        <v>2750</v>
      </c>
      <c r="M594">
        <v>2750</v>
      </c>
      <c r="N594">
        <v>0</v>
      </c>
    </row>
    <row r="595" spans="1:14" x14ac:dyDescent="0.25">
      <c r="A595">
        <v>207.54762600000001</v>
      </c>
      <c r="B595" s="1">
        <f>DATE(2010,11,24) + TIME(13,8,34)</f>
        <v>40506.547615740739</v>
      </c>
      <c r="C595">
        <v>80</v>
      </c>
      <c r="D595">
        <v>75.375282287999994</v>
      </c>
      <c r="E595">
        <v>60</v>
      </c>
      <c r="F595">
        <v>59.936958312999998</v>
      </c>
      <c r="G595">
        <v>1294.7847899999999</v>
      </c>
      <c r="H595">
        <v>1280.4600829999999</v>
      </c>
      <c r="I595">
        <v>1405.3956298999999</v>
      </c>
      <c r="J595">
        <v>1385.5625</v>
      </c>
      <c r="K595">
        <v>0</v>
      </c>
      <c r="L595">
        <v>2750</v>
      </c>
      <c r="M595">
        <v>2750</v>
      </c>
      <c r="N595">
        <v>0</v>
      </c>
    </row>
    <row r="596" spans="1:14" x14ac:dyDescent="0.25">
      <c r="A596">
        <v>208.11096699999999</v>
      </c>
      <c r="B596" s="1">
        <f>DATE(2010,11,25) + TIME(2,39,47)</f>
        <v>40507.110960648148</v>
      </c>
      <c r="C596">
        <v>80</v>
      </c>
      <c r="D596">
        <v>75.289680481000005</v>
      </c>
      <c r="E596">
        <v>60</v>
      </c>
      <c r="F596">
        <v>59.937004088999998</v>
      </c>
      <c r="G596">
        <v>1294.7514647999999</v>
      </c>
      <c r="H596">
        <v>1280.4213867000001</v>
      </c>
      <c r="I596">
        <v>1405.2783202999999</v>
      </c>
      <c r="J596">
        <v>1385.4519043</v>
      </c>
      <c r="K596">
        <v>0</v>
      </c>
      <c r="L596">
        <v>2750</v>
      </c>
      <c r="M596">
        <v>2750</v>
      </c>
      <c r="N596">
        <v>0</v>
      </c>
    </row>
    <row r="597" spans="1:14" x14ac:dyDescent="0.25">
      <c r="A597">
        <v>208.69004699999999</v>
      </c>
      <c r="B597" s="1">
        <f>DATE(2010,11,25) + TIME(16,33,40)</f>
        <v>40507.690046296295</v>
      </c>
      <c r="C597">
        <v>80</v>
      </c>
      <c r="D597">
        <v>75.202644348000007</v>
      </c>
      <c r="E597">
        <v>60</v>
      </c>
      <c r="F597">
        <v>59.937053679999998</v>
      </c>
      <c r="G597">
        <v>1294.7170410000001</v>
      </c>
      <c r="H597">
        <v>1280.3813477000001</v>
      </c>
      <c r="I597">
        <v>1405.1611327999999</v>
      </c>
      <c r="J597">
        <v>1385.3415527</v>
      </c>
      <c r="K597">
        <v>0</v>
      </c>
      <c r="L597">
        <v>2750</v>
      </c>
      <c r="M597">
        <v>2750</v>
      </c>
      <c r="N597">
        <v>0</v>
      </c>
    </row>
    <row r="598" spans="1:14" x14ac:dyDescent="0.25">
      <c r="A598">
        <v>209.28730300000001</v>
      </c>
      <c r="B598" s="1">
        <f>DATE(2010,11,26) + TIME(6,53,42)</f>
        <v>40508.287291666667</v>
      </c>
      <c r="C598">
        <v>80</v>
      </c>
      <c r="D598">
        <v>75.113868713000002</v>
      </c>
      <c r="E598">
        <v>60</v>
      </c>
      <c r="F598">
        <v>59.937099457000002</v>
      </c>
      <c r="G598">
        <v>1294.6815185999999</v>
      </c>
      <c r="H598">
        <v>1280.3400879000001</v>
      </c>
      <c r="I598">
        <v>1405.0437012</v>
      </c>
      <c r="J598">
        <v>1385.230957</v>
      </c>
      <c r="K598">
        <v>0</v>
      </c>
      <c r="L598">
        <v>2750</v>
      </c>
      <c r="M598">
        <v>2750</v>
      </c>
      <c r="N598">
        <v>0</v>
      </c>
    </row>
    <row r="599" spans="1:14" x14ac:dyDescent="0.25">
      <c r="A599">
        <v>209.89226400000001</v>
      </c>
      <c r="B599" s="1">
        <f>DATE(2010,11,26) + TIME(21,24,51)</f>
        <v>40508.892256944448</v>
      </c>
      <c r="C599">
        <v>80</v>
      </c>
      <c r="D599">
        <v>75.024162292</v>
      </c>
      <c r="E599">
        <v>60</v>
      </c>
      <c r="F599">
        <v>59.937149048000002</v>
      </c>
      <c r="G599">
        <v>1294.6446533000001</v>
      </c>
      <c r="H599">
        <v>1280.2971190999999</v>
      </c>
      <c r="I599">
        <v>1404.9255370999999</v>
      </c>
      <c r="J599">
        <v>1385.1198730000001</v>
      </c>
      <c r="K599">
        <v>0</v>
      </c>
      <c r="L599">
        <v>2750</v>
      </c>
      <c r="M599">
        <v>2750</v>
      </c>
      <c r="N599">
        <v>0</v>
      </c>
    </row>
    <row r="600" spans="1:14" x14ac:dyDescent="0.25">
      <c r="A600">
        <v>210.500539</v>
      </c>
      <c r="B600" s="1">
        <f>DATE(2010,11,27) + TIME(12,0,46)</f>
        <v>40509.500532407408</v>
      </c>
      <c r="C600">
        <v>80</v>
      </c>
      <c r="D600">
        <v>74.934059142999999</v>
      </c>
      <c r="E600">
        <v>60</v>
      </c>
      <c r="F600">
        <v>59.937198639000002</v>
      </c>
      <c r="G600">
        <v>1294.6069336</v>
      </c>
      <c r="H600">
        <v>1280.253418</v>
      </c>
      <c r="I600">
        <v>1404.8089600000001</v>
      </c>
      <c r="J600">
        <v>1385.0101318</v>
      </c>
      <c r="K600">
        <v>0</v>
      </c>
      <c r="L600">
        <v>2750</v>
      </c>
      <c r="M600">
        <v>2750</v>
      </c>
      <c r="N600">
        <v>0</v>
      </c>
    </row>
    <row r="601" spans="1:14" x14ac:dyDescent="0.25">
      <c r="A601">
        <v>211.11394200000001</v>
      </c>
      <c r="B601" s="1">
        <f>DATE(2010,11,28) + TIME(2,44,4)</f>
        <v>40510.113935185182</v>
      </c>
      <c r="C601">
        <v>80</v>
      </c>
      <c r="D601">
        <v>74.843704224000007</v>
      </c>
      <c r="E601">
        <v>60</v>
      </c>
      <c r="F601">
        <v>59.937252045000001</v>
      </c>
      <c r="G601">
        <v>1294.5688477000001</v>
      </c>
      <c r="H601">
        <v>1280.2089844</v>
      </c>
      <c r="I601">
        <v>1404.6947021000001</v>
      </c>
      <c r="J601">
        <v>1384.9025879000001</v>
      </c>
      <c r="K601">
        <v>0</v>
      </c>
      <c r="L601">
        <v>2750</v>
      </c>
      <c r="M601">
        <v>2750</v>
      </c>
      <c r="N601">
        <v>0</v>
      </c>
    </row>
    <row r="602" spans="1:14" x14ac:dyDescent="0.25">
      <c r="A602">
        <v>211.73378500000001</v>
      </c>
      <c r="B602" s="1">
        <f>DATE(2010,11,28) + TIME(17,36,39)</f>
        <v>40510.733784722222</v>
      </c>
      <c r="C602">
        <v>80</v>
      </c>
      <c r="D602">
        <v>74.753112793</v>
      </c>
      <c r="E602">
        <v>60</v>
      </c>
      <c r="F602">
        <v>59.937301636000001</v>
      </c>
      <c r="G602">
        <v>1294.5301514</v>
      </c>
      <c r="H602">
        <v>1280.1639404</v>
      </c>
      <c r="I602">
        <v>1404.5822754000001</v>
      </c>
      <c r="J602">
        <v>1384.7969971</v>
      </c>
      <c r="K602">
        <v>0</v>
      </c>
      <c r="L602">
        <v>2750</v>
      </c>
      <c r="M602">
        <v>2750</v>
      </c>
      <c r="N602">
        <v>0</v>
      </c>
    </row>
    <row r="603" spans="1:14" x14ac:dyDescent="0.25">
      <c r="A603">
        <v>212.36121199999999</v>
      </c>
      <c r="B603" s="1">
        <f>DATE(2010,11,29) + TIME(8,40,8)</f>
        <v>40511.361203703702</v>
      </c>
      <c r="C603">
        <v>80</v>
      </c>
      <c r="D603">
        <v>74.662216186999999</v>
      </c>
      <c r="E603">
        <v>60</v>
      </c>
      <c r="F603">
        <v>59.937355042</v>
      </c>
      <c r="G603">
        <v>1294.4908447</v>
      </c>
      <c r="H603">
        <v>1280.1179199000001</v>
      </c>
      <c r="I603">
        <v>1404.4715576000001</v>
      </c>
      <c r="J603">
        <v>1384.6928711</v>
      </c>
      <c r="K603">
        <v>0</v>
      </c>
      <c r="L603">
        <v>2750</v>
      </c>
      <c r="M603">
        <v>2750</v>
      </c>
      <c r="N603">
        <v>0</v>
      </c>
    </row>
    <row r="604" spans="1:14" x14ac:dyDescent="0.25">
      <c r="A604">
        <v>212.997412</v>
      </c>
      <c r="B604" s="1">
        <f>DATE(2010,11,29) + TIME(23,56,16)</f>
        <v>40511.997407407405</v>
      </c>
      <c r="C604">
        <v>80</v>
      </c>
      <c r="D604">
        <v>74.570899963000002</v>
      </c>
      <c r="E604">
        <v>60</v>
      </c>
      <c r="F604">
        <v>59.937408447000003</v>
      </c>
      <c r="G604">
        <v>1294.4508057</v>
      </c>
      <c r="H604">
        <v>1280.0710449000001</v>
      </c>
      <c r="I604">
        <v>1404.3620605000001</v>
      </c>
      <c r="J604">
        <v>1384.5900879000001</v>
      </c>
      <c r="K604">
        <v>0</v>
      </c>
      <c r="L604">
        <v>2750</v>
      </c>
      <c r="M604">
        <v>2750</v>
      </c>
      <c r="N604">
        <v>0</v>
      </c>
    </row>
    <row r="605" spans="1:14" x14ac:dyDescent="0.25">
      <c r="A605">
        <v>213.64356699999999</v>
      </c>
      <c r="B605" s="1">
        <f>DATE(2010,11,30) + TIME(15,26,44)</f>
        <v>40512.643564814818</v>
      </c>
      <c r="C605">
        <v>80</v>
      </c>
      <c r="D605">
        <v>74.479049683</v>
      </c>
      <c r="E605">
        <v>60</v>
      </c>
      <c r="F605">
        <v>59.937461853000002</v>
      </c>
      <c r="G605">
        <v>1294.4097899999999</v>
      </c>
      <c r="H605">
        <v>1280.0230713000001</v>
      </c>
      <c r="I605">
        <v>1404.2537841999999</v>
      </c>
      <c r="J605">
        <v>1384.4884033000001</v>
      </c>
      <c r="K605">
        <v>0</v>
      </c>
      <c r="L605">
        <v>2750</v>
      </c>
      <c r="M605">
        <v>2750</v>
      </c>
      <c r="N605">
        <v>0</v>
      </c>
    </row>
    <row r="606" spans="1:14" x14ac:dyDescent="0.25">
      <c r="A606">
        <v>214</v>
      </c>
      <c r="B606" s="1">
        <f>DATE(2010,12,1) + TIME(0,0,0)</f>
        <v>40513</v>
      </c>
      <c r="C606">
        <v>80</v>
      </c>
      <c r="D606">
        <v>74.415473938000005</v>
      </c>
      <c r="E606">
        <v>60</v>
      </c>
      <c r="F606">
        <v>59.937484740999999</v>
      </c>
      <c r="G606">
        <v>1294.3662108999999</v>
      </c>
      <c r="H606">
        <v>1279.9757079999999</v>
      </c>
      <c r="I606">
        <v>1404.1457519999999</v>
      </c>
      <c r="J606">
        <v>1384.3868408000001</v>
      </c>
      <c r="K606">
        <v>0</v>
      </c>
      <c r="L606">
        <v>2750</v>
      </c>
      <c r="M606">
        <v>2750</v>
      </c>
      <c r="N606">
        <v>0</v>
      </c>
    </row>
    <row r="607" spans="1:14" x14ac:dyDescent="0.25">
      <c r="A607">
        <v>214.65714199999999</v>
      </c>
      <c r="B607" s="1">
        <f>DATE(2010,12,1) + TIME(15,46,17)</f>
        <v>40513.657141203701</v>
      </c>
      <c r="C607">
        <v>80</v>
      </c>
      <c r="D607">
        <v>74.329185486</v>
      </c>
      <c r="E607">
        <v>60</v>
      </c>
      <c r="F607">
        <v>59.937545776</v>
      </c>
      <c r="G607">
        <v>1294.3446045000001</v>
      </c>
      <c r="H607">
        <v>1279.9455565999999</v>
      </c>
      <c r="I607">
        <v>1404.0880127</v>
      </c>
      <c r="J607">
        <v>1384.3327637</v>
      </c>
      <c r="K607">
        <v>0</v>
      </c>
      <c r="L607">
        <v>2750</v>
      </c>
      <c r="M607">
        <v>2750</v>
      </c>
      <c r="N607">
        <v>0</v>
      </c>
    </row>
    <row r="608" spans="1:14" x14ac:dyDescent="0.25">
      <c r="A608">
        <v>215.333427</v>
      </c>
      <c r="B608" s="1">
        <f>DATE(2010,12,2) + TIME(8,0,8)</f>
        <v>40514.333425925928</v>
      </c>
      <c r="C608">
        <v>80</v>
      </c>
      <c r="D608">
        <v>74.238960266000007</v>
      </c>
      <c r="E608">
        <v>60</v>
      </c>
      <c r="F608">
        <v>59.937606811999999</v>
      </c>
      <c r="G608">
        <v>1294.3016356999999</v>
      </c>
      <c r="H608">
        <v>1279.8955077999999</v>
      </c>
      <c r="I608">
        <v>1403.9829102000001</v>
      </c>
      <c r="J608">
        <v>1384.2342529</v>
      </c>
      <c r="K608">
        <v>0</v>
      </c>
      <c r="L608">
        <v>2750</v>
      </c>
      <c r="M608">
        <v>2750</v>
      </c>
      <c r="N608">
        <v>0</v>
      </c>
    </row>
    <row r="609" spans="1:14" x14ac:dyDescent="0.25">
      <c r="A609">
        <v>216.02463</v>
      </c>
      <c r="B609" s="1">
        <f>DATE(2010,12,3) + TIME(0,35,28)</f>
        <v>40515.024629629632</v>
      </c>
      <c r="C609">
        <v>80</v>
      </c>
      <c r="D609">
        <v>74.146026610999996</v>
      </c>
      <c r="E609">
        <v>60</v>
      </c>
      <c r="F609">
        <v>59.937664032000001</v>
      </c>
      <c r="G609">
        <v>1294.2568358999999</v>
      </c>
      <c r="H609">
        <v>1279.8431396000001</v>
      </c>
      <c r="I609">
        <v>1403.8771973</v>
      </c>
      <c r="J609">
        <v>1384.1350098</v>
      </c>
      <c r="K609">
        <v>0</v>
      </c>
      <c r="L609">
        <v>2750</v>
      </c>
      <c r="M609">
        <v>2750</v>
      </c>
      <c r="N609">
        <v>0</v>
      </c>
    </row>
    <row r="610" spans="1:14" x14ac:dyDescent="0.25">
      <c r="A610">
        <v>216.73295899999999</v>
      </c>
      <c r="B610" s="1">
        <f>DATE(2010,12,3) + TIME(17,35,27)</f>
        <v>40515.732951388891</v>
      </c>
      <c r="C610">
        <v>80</v>
      </c>
      <c r="D610">
        <v>74.050918578999998</v>
      </c>
      <c r="E610">
        <v>60</v>
      </c>
      <c r="F610">
        <v>59.937725067000002</v>
      </c>
      <c r="G610">
        <v>1294.2106934000001</v>
      </c>
      <c r="H610">
        <v>1279.7889404</v>
      </c>
      <c r="I610">
        <v>1403.7716064000001</v>
      </c>
      <c r="J610">
        <v>1384.0360106999999</v>
      </c>
      <c r="K610">
        <v>0</v>
      </c>
      <c r="L610">
        <v>2750</v>
      </c>
      <c r="M610">
        <v>2750</v>
      </c>
      <c r="N610">
        <v>0</v>
      </c>
    </row>
    <row r="611" spans="1:14" x14ac:dyDescent="0.25">
      <c r="A611">
        <v>217.45955000000001</v>
      </c>
      <c r="B611" s="1">
        <f>DATE(2010,12,4) + TIME(11,1,45)</f>
        <v>40516.459548611114</v>
      </c>
      <c r="C611">
        <v>80</v>
      </c>
      <c r="D611">
        <v>73.953880310000002</v>
      </c>
      <c r="E611">
        <v>60</v>
      </c>
      <c r="F611">
        <v>59.937789917000003</v>
      </c>
      <c r="G611">
        <v>1294.1630858999999</v>
      </c>
      <c r="H611">
        <v>1279.7326660000001</v>
      </c>
      <c r="I611">
        <v>1403.6660156</v>
      </c>
      <c r="J611">
        <v>1383.9370117000001</v>
      </c>
      <c r="K611">
        <v>0</v>
      </c>
      <c r="L611">
        <v>2750</v>
      </c>
      <c r="M611">
        <v>2750</v>
      </c>
      <c r="N611">
        <v>0</v>
      </c>
    </row>
    <row r="612" spans="1:14" x14ac:dyDescent="0.25">
      <c r="A612">
        <v>218.18994900000001</v>
      </c>
      <c r="B612" s="1">
        <f>DATE(2010,12,5) + TIME(4,33,31)</f>
        <v>40517.189942129633</v>
      </c>
      <c r="C612">
        <v>80</v>
      </c>
      <c r="D612">
        <v>73.856056213000002</v>
      </c>
      <c r="E612">
        <v>60</v>
      </c>
      <c r="F612">
        <v>59.937850951999998</v>
      </c>
      <c r="G612">
        <v>1294.1136475000001</v>
      </c>
      <c r="H612">
        <v>1279.6745605000001</v>
      </c>
      <c r="I612">
        <v>1403.5601807</v>
      </c>
      <c r="J612">
        <v>1383.8378906</v>
      </c>
      <c r="K612">
        <v>0</v>
      </c>
      <c r="L612">
        <v>2750</v>
      </c>
      <c r="M612">
        <v>2750</v>
      </c>
      <c r="N612">
        <v>0</v>
      </c>
    </row>
    <row r="613" spans="1:14" x14ac:dyDescent="0.25">
      <c r="A613">
        <v>218.92526000000001</v>
      </c>
      <c r="B613" s="1">
        <f>DATE(2010,12,5) + TIME(22,12,22)</f>
        <v>40517.925254629627</v>
      </c>
      <c r="C613">
        <v>80</v>
      </c>
      <c r="D613">
        <v>73.757926940999994</v>
      </c>
      <c r="E613">
        <v>60</v>
      </c>
      <c r="F613">
        <v>59.937915801999999</v>
      </c>
      <c r="G613">
        <v>1294.0634766000001</v>
      </c>
      <c r="H613">
        <v>1279.6152344</v>
      </c>
      <c r="I613">
        <v>1403.4561768000001</v>
      </c>
      <c r="J613">
        <v>1383.7404785000001</v>
      </c>
      <c r="K613">
        <v>0</v>
      </c>
      <c r="L613">
        <v>2750</v>
      </c>
      <c r="M613">
        <v>2750</v>
      </c>
      <c r="N613">
        <v>0</v>
      </c>
    </row>
    <row r="614" spans="1:14" x14ac:dyDescent="0.25">
      <c r="A614">
        <v>219.667293</v>
      </c>
      <c r="B614" s="1">
        <f>DATE(2010,12,6) + TIME(16,0,54)</f>
        <v>40518.667291666665</v>
      </c>
      <c r="C614">
        <v>80</v>
      </c>
      <c r="D614">
        <v>73.659614563000005</v>
      </c>
      <c r="E614">
        <v>60</v>
      </c>
      <c r="F614">
        <v>59.937980652</v>
      </c>
      <c r="G614">
        <v>1294.0125731999999</v>
      </c>
      <c r="H614">
        <v>1279.5548096</v>
      </c>
      <c r="I614">
        <v>1403.354126</v>
      </c>
      <c r="J614">
        <v>1383.6448975000001</v>
      </c>
      <c r="K614">
        <v>0</v>
      </c>
      <c r="L614">
        <v>2750</v>
      </c>
      <c r="M614">
        <v>2750</v>
      </c>
      <c r="N614">
        <v>0</v>
      </c>
    </row>
    <row r="615" spans="1:14" x14ac:dyDescent="0.25">
      <c r="A615">
        <v>220.41729599999999</v>
      </c>
      <c r="B615" s="1">
        <f>DATE(2010,12,7) + TIME(10,0,54)</f>
        <v>40519.417291666665</v>
      </c>
      <c r="C615">
        <v>80</v>
      </c>
      <c r="D615">
        <v>73.561111449999999</v>
      </c>
      <c r="E615">
        <v>60</v>
      </c>
      <c r="F615">
        <v>59.938045502000001</v>
      </c>
      <c r="G615">
        <v>1293.9606934000001</v>
      </c>
      <c r="H615">
        <v>1279.4931641000001</v>
      </c>
      <c r="I615">
        <v>1403.253418</v>
      </c>
      <c r="J615">
        <v>1383.5505370999999</v>
      </c>
      <c r="K615">
        <v>0</v>
      </c>
      <c r="L615">
        <v>2750</v>
      </c>
      <c r="M615">
        <v>2750</v>
      </c>
      <c r="N615">
        <v>0</v>
      </c>
    </row>
    <row r="616" spans="1:14" x14ac:dyDescent="0.25">
      <c r="A616">
        <v>221.17686599999999</v>
      </c>
      <c r="B616" s="1">
        <f>DATE(2010,12,8) + TIME(4,14,41)</f>
        <v>40520.176863425928</v>
      </c>
      <c r="C616">
        <v>80</v>
      </c>
      <c r="D616">
        <v>73.462318420000003</v>
      </c>
      <c r="E616">
        <v>60</v>
      </c>
      <c r="F616">
        <v>59.938110352000002</v>
      </c>
      <c r="G616">
        <v>1293.9077147999999</v>
      </c>
      <c r="H616">
        <v>1279.4300536999999</v>
      </c>
      <c r="I616">
        <v>1403.1538086</v>
      </c>
      <c r="J616">
        <v>1383.4575195</v>
      </c>
      <c r="K616">
        <v>0</v>
      </c>
      <c r="L616">
        <v>2750</v>
      </c>
      <c r="M616">
        <v>2750</v>
      </c>
      <c r="N616">
        <v>0</v>
      </c>
    </row>
    <row r="617" spans="1:14" x14ac:dyDescent="0.25">
      <c r="A617">
        <v>221.94686400000001</v>
      </c>
      <c r="B617" s="1">
        <f>DATE(2010,12,8) + TIME(22,43,29)</f>
        <v>40520.946863425925</v>
      </c>
      <c r="C617">
        <v>80</v>
      </c>
      <c r="D617">
        <v>73.363136291999993</v>
      </c>
      <c r="E617">
        <v>60</v>
      </c>
      <c r="F617">
        <v>59.938179015999999</v>
      </c>
      <c r="G617">
        <v>1293.8533935999999</v>
      </c>
      <c r="H617">
        <v>1279.3653564000001</v>
      </c>
      <c r="I617">
        <v>1403.0554199000001</v>
      </c>
      <c r="J617">
        <v>1383.3653564000001</v>
      </c>
      <c r="K617">
        <v>0</v>
      </c>
      <c r="L617">
        <v>2750</v>
      </c>
      <c r="M617">
        <v>2750</v>
      </c>
      <c r="N617">
        <v>0</v>
      </c>
    </row>
    <row r="618" spans="1:14" x14ac:dyDescent="0.25">
      <c r="A618">
        <v>222.72853900000001</v>
      </c>
      <c r="B618" s="1">
        <f>DATE(2010,12,9) + TIME(17,29,5)</f>
        <v>40521.728530092594</v>
      </c>
      <c r="C618">
        <v>80</v>
      </c>
      <c r="D618">
        <v>73.263442992999998</v>
      </c>
      <c r="E618">
        <v>60</v>
      </c>
      <c r="F618">
        <v>59.938247681</v>
      </c>
      <c r="G618">
        <v>1293.7978516000001</v>
      </c>
      <c r="H618">
        <v>1279.2989502</v>
      </c>
      <c r="I618">
        <v>1402.9577637</v>
      </c>
      <c r="J618">
        <v>1383.2740478999999</v>
      </c>
      <c r="K618">
        <v>0</v>
      </c>
      <c r="L618">
        <v>2750</v>
      </c>
      <c r="M618">
        <v>2750</v>
      </c>
      <c r="N618">
        <v>0</v>
      </c>
    </row>
    <row r="619" spans="1:14" x14ac:dyDescent="0.25">
      <c r="A619">
        <v>223.52375000000001</v>
      </c>
      <c r="B619" s="1">
        <f>DATE(2010,12,10) + TIME(12,34,11)</f>
        <v>40522.523738425924</v>
      </c>
      <c r="C619">
        <v>80</v>
      </c>
      <c r="D619">
        <v>73.163070679</v>
      </c>
      <c r="E619">
        <v>60</v>
      </c>
      <c r="F619">
        <v>59.938316344999997</v>
      </c>
      <c r="G619">
        <v>1293.7408447</v>
      </c>
      <c r="H619">
        <v>1279.2307129000001</v>
      </c>
      <c r="I619">
        <v>1402.8608397999999</v>
      </c>
      <c r="J619">
        <v>1383.1834716999999</v>
      </c>
      <c r="K619">
        <v>0</v>
      </c>
      <c r="L619">
        <v>2750</v>
      </c>
      <c r="M619">
        <v>2750</v>
      </c>
      <c r="N619">
        <v>0</v>
      </c>
    </row>
    <row r="620" spans="1:14" x14ac:dyDescent="0.25">
      <c r="A620">
        <v>224.33508</v>
      </c>
      <c r="B620" s="1">
        <f>DATE(2010,12,11) + TIME(8,2,30)</f>
        <v>40523.335069444445</v>
      </c>
      <c r="C620">
        <v>80</v>
      </c>
      <c r="D620">
        <v>73.061798096000004</v>
      </c>
      <c r="E620">
        <v>60</v>
      </c>
      <c r="F620">
        <v>59.938388824</v>
      </c>
      <c r="G620">
        <v>1293.682251</v>
      </c>
      <c r="H620">
        <v>1279.1604004000001</v>
      </c>
      <c r="I620">
        <v>1402.7645264</v>
      </c>
      <c r="J620">
        <v>1383.0933838000001</v>
      </c>
      <c r="K620">
        <v>0</v>
      </c>
      <c r="L620">
        <v>2750</v>
      </c>
      <c r="M620">
        <v>2750</v>
      </c>
      <c r="N620">
        <v>0</v>
      </c>
    </row>
    <row r="621" spans="1:14" x14ac:dyDescent="0.25">
      <c r="A621">
        <v>225.16561300000001</v>
      </c>
      <c r="B621" s="1">
        <f>DATE(2010,12,12) + TIME(3,58,28)</f>
        <v>40524.165601851855</v>
      </c>
      <c r="C621">
        <v>80</v>
      </c>
      <c r="D621">
        <v>72.959327697999996</v>
      </c>
      <c r="E621">
        <v>60</v>
      </c>
      <c r="F621">
        <v>59.938461304</v>
      </c>
      <c r="G621">
        <v>1293.6217041</v>
      </c>
      <c r="H621">
        <v>1279.0875243999999</v>
      </c>
      <c r="I621">
        <v>1402.6683350000001</v>
      </c>
      <c r="J621">
        <v>1383.0035399999999</v>
      </c>
      <c r="K621">
        <v>0</v>
      </c>
      <c r="L621">
        <v>2750</v>
      </c>
      <c r="M621">
        <v>2750</v>
      </c>
      <c r="N621">
        <v>0</v>
      </c>
    </row>
    <row r="622" spans="1:14" x14ac:dyDescent="0.25">
      <c r="A622">
        <v>226.01670999999999</v>
      </c>
      <c r="B622" s="1">
        <f>DATE(2010,12,13) + TIME(0,24,3)</f>
        <v>40525.016701388886</v>
      </c>
      <c r="C622">
        <v>80</v>
      </c>
      <c r="D622">
        <v>72.855438231999997</v>
      </c>
      <c r="E622">
        <v>60</v>
      </c>
      <c r="F622">
        <v>59.938537598000003</v>
      </c>
      <c r="G622">
        <v>1293.5589600000001</v>
      </c>
      <c r="H622">
        <v>1279.0120850000001</v>
      </c>
      <c r="I622">
        <v>1402.5721435999999</v>
      </c>
      <c r="J622">
        <v>1382.9135742000001</v>
      </c>
      <c r="K622">
        <v>0</v>
      </c>
      <c r="L622">
        <v>2750</v>
      </c>
      <c r="M622">
        <v>2750</v>
      </c>
      <c r="N622">
        <v>0</v>
      </c>
    </row>
    <row r="623" spans="1:14" x14ac:dyDescent="0.25">
      <c r="A623">
        <v>226.88039699999999</v>
      </c>
      <c r="B623" s="1">
        <f>DATE(2010,12,13) + TIME(21,7,46)</f>
        <v>40525.880393518521</v>
      </c>
      <c r="C623">
        <v>80</v>
      </c>
      <c r="D623">
        <v>72.750503539999997</v>
      </c>
      <c r="E623">
        <v>60</v>
      </c>
      <c r="F623">
        <v>59.938613891999999</v>
      </c>
      <c r="G623">
        <v>1293.4940185999999</v>
      </c>
      <c r="H623">
        <v>1278.9335937999999</v>
      </c>
      <c r="I623">
        <v>1402.4757079999999</v>
      </c>
      <c r="J623">
        <v>1382.8234863</v>
      </c>
      <c r="K623">
        <v>0</v>
      </c>
      <c r="L623">
        <v>2750</v>
      </c>
      <c r="M623">
        <v>2750</v>
      </c>
      <c r="N623">
        <v>0</v>
      </c>
    </row>
    <row r="624" spans="1:14" x14ac:dyDescent="0.25">
      <c r="A624">
        <v>227.750125</v>
      </c>
      <c r="B624" s="1">
        <f>DATE(2010,12,14) + TIME(18,0,10)</f>
        <v>40526.750115740739</v>
      </c>
      <c r="C624">
        <v>80</v>
      </c>
      <c r="D624">
        <v>72.645126343000001</v>
      </c>
      <c r="E624">
        <v>60</v>
      </c>
      <c r="F624">
        <v>59.938693999999998</v>
      </c>
      <c r="G624">
        <v>1293.427124</v>
      </c>
      <c r="H624">
        <v>1278.8527832</v>
      </c>
      <c r="I624">
        <v>1402.3800048999999</v>
      </c>
      <c r="J624">
        <v>1382.7341309000001</v>
      </c>
      <c r="K624">
        <v>0</v>
      </c>
      <c r="L624">
        <v>2750</v>
      </c>
      <c r="M624">
        <v>2750</v>
      </c>
      <c r="N624">
        <v>0</v>
      </c>
    </row>
    <row r="625" spans="1:14" x14ac:dyDescent="0.25">
      <c r="A625">
        <v>228.626879</v>
      </c>
      <c r="B625" s="1">
        <f>DATE(2010,12,15) + TIME(15,2,42)</f>
        <v>40527.626875000002</v>
      </c>
      <c r="C625">
        <v>80</v>
      </c>
      <c r="D625">
        <v>72.539581299000005</v>
      </c>
      <c r="E625">
        <v>60</v>
      </c>
      <c r="F625">
        <v>59.938770294000001</v>
      </c>
      <c r="G625">
        <v>1293.3588867000001</v>
      </c>
      <c r="H625">
        <v>1278.7700195</v>
      </c>
      <c r="I625">
        <v>1402.2857666</v>
      </c>
      <c r="J625">
        <v>1382.6461182</v>
      </c>
      <c r="K625">
        <v>0</v>
      </c>
      <c r="L625">
        <v>2750</v>
      </c>
      <c r="M625">
        <v>2750</v>
      </c>
      <c r="N625">
        <v>0</v>
      </c>
    </row>
    <row r="626" spans="1:14" x14ac:dyDescent="0.25">
      <c r="A626">
        <v>229.51226399999999</v>
      </c>
      <c r="B626" s="1">
        <f>DATE(2010,12,16) + TIME(12,17,39)</f>
        <v>40528.512256944443</v>
      </c>
      <c r="C626">
        <v>80</v>
      </c>
      <c r="D626">
        <v>72.433891295999999</v>
      </c>
      <c r="E626">
        <v>60</v>
      </c>
      <c r="F626">
        <v>59.938850403000004</v>
      </c>
      <c r="G626">
        <v>1293.2893065999999</v>
      </c>
      <c r="H626">
        <v>1278.6853027</v>
      </c>
      <c r="I626">
        <v>1402.192749</v>
      </c>
      <c r="J626">
        <v>1382.5593262</v>
      </c>
      <c r="K626">
        <v>0</v>
      </c>
      <c r="L626">
        <v>2750</v>
      </c>
      <c r="M626">
        <v>2750</v>
      </c>
      <c r="N626">
        <v>0</v>
      </c>
    </row>
    <row r="627" spans="1:14" x14ac:dyDescent="0.25">
      <c r="A627">
        <v>230.407104</v>
      </c>
      <c r="B627" s="1">
        <f>DATE(2010,12,17) + TIME(9,46,13)</f>
        <v>40529.407094907408</v>
      </c>
      <c r="C627">
        <v>80</v>
      </c>
      <c r="D627">
        <v>72.328010559000006</v>
      </c>
      <c r="E627">
        <v>60</v>
      </c>
      <c r="F627">
        <v>59.938930511000002</v>
      </c>
      <c r="G627">
        <v>1293.2180175999999</v>
      </c>
      <c r="H627">
        <v>1278.5983887</v>
      </c>
      <c r="I627">
        <v>1402.1009521000001</v>
      </c>
      <c r="J627">
        <v>1382.4736327999999</v>
      </c>
      <c r="K627">
        <v>0</v>
      </c>
      <c r="L627">
        <v>2750</v>
      </c>
      <c r="M627">
        <v>2750</v>
      </c>
      <c r="N627">
        <v>0</v>
      </c>
    </row>
    <row r="628" spans="1:14" x14ac:dyDescent="0.25">
      <c r="A628">
        <v>231.31367399999999</v>
      </c>
      <c r="B628" s="1">
        <f>DATE(2010,12,18) + TIME(7,31,41)</f>
        <v>40530.313668981478</v>
      </c>
      <c r="C628">
        <v>80</v>
      </c>
      <c r="D628">
        <v>72.221801757999998</v>
      </c>
      <c r="E628">
        <v>60</v>
      </c>
      <c r="F628">
        <v>59.939010619999998</v>
      </c>
      <c r="G628">
        <v>1293.1450195</v>
      </c>
      <c r="H628">
        <v>1278.5090332</v>
      </c>
      <c r="I628">
        <v>1402.0101318</v>
      </c>
      <c r="J628">
        <v>1382.3889160000001</v>
      </c>
      <c r="K628">
        <v>0</v>
      </c>
      <c r="L628">
        <v>2750</v>
      </c>
      <c r="M628">
        <v>2750</v>
      </c>
      <c r="N628">
        <v>0</v>
      </c>
    </row>
    <row r="629" spans="1:14" x14ac:dyDescent="0.25">
      <c r="A629">
        <v>232.23282</v>
      </c>
      <c r="B629" s="1">
        <f>DATE(2010,12,19) + TIME(5,35,15)</f>
        <v>40531.232812499999</v>
      </c>
      <c r="C629">
        <v>80</v>
      </c>
      <c r="D629">
        <v>72.115119934000006</v>
      </c>
      <c r="E629">
        <v>60</v>
      </c>
      <c r="F629">
        <v>59.939094543000003</v>
      </c>
      <c r="G629">
        <v>1293.0699463000001</v>
      </c>
      <c r="H629">
        <v>1278.4171143000001</v>
      </c>
      <c r="I629">
        <v>1401.9201660000001</v>
      </c>
      <c r="J629">
        <v>1382.3048096</v>
      </c>
      <c r="K629">
        <v>0</v>
      </c>
      <c r="L629">
        <v>2750</v>
      </c>
      <c r="M629">
        <v>2750</v>
      </c>
      <c r="N629">
        <v>0</v>
      </c>
    </row>
    <row r="630" spans="1:14" x14ac:dyDescent="0.25">
      <c r="A630">
        <v>233.167632</v>
      </c>
      <c r="B630" s="1">
        <f>DATE(2010,12,20) + TIME(4,1,23)</f>
        <v>40532.167627314811</v>
      </c>
      <c r="C630">
        <v>80</v>
      </c>
      <c r="D630">
        <v>72.007736206000004</v>
      </c>
      <c r="E630">
        <v>60</v>
      </c>
      <c r="F630">
        <v>59.939178466999998</v>
      </c>
      <c r="G630">
        <v>1292.9929199000001</v>
      </c>
      <c r="H630">
        <v>1278.3223877</v>
      </c>
      <c r="I630">
        <v>1401.8308105000001</v>
      </c>
      <c r="J630">
        <v>1382.2214355000001</v>
      </c>
      <c r="K630">
        <v>0</v>
      </c>
      <c r="L630">
        <v>2750</v>
      </c>
      <c r="M630">
        <v>2750</v>
      </c>
      <c r="N630">
        <v>0</v>
      </c>
    </row>
    <row r="631" spans="1:14" x14ac:dyDescent="0.25">
      <c r="A631">
        <v>234.11957699999999</v>
      </c>
      <c r="B631" s="1">
        <f>DATE(2010,12,21) + TIME(2,52,11)</f>
        <v>40533.119571759256</v>
      </c>
      <c r="C631">
        <v>80</v>
      </c>
      <c r="D631">
        <v>71.899444579999994</v>
      </c>
      <c r="E631">
        <v>60</v>
      </c>
      <c r="F631">
        <v>59.939262390000003</v>
      </c>
      <c r="G631">
        <v>1292.9134521000001</v>
      </c>
      <c r="H631">
        <v>1278.2243652</v>
      </c>
      <c r="I631">
        <v>1401.7418213000001</v>
      </c>
      <c r="J631">
        <v>1382.1385498</v>
      </c>
      <c r="K631">
        <v>0</v>
      </c>
      <c r="L631">
        <v>2750</v>
      </c>
      <c r="M631">
        <v>2750</v>
      </c>
      <c r="N631">
        <v>0</v>
      </c>
    </row>
    <row r="632" spans="1:14" x14ac:dyDescent="0.25">
      <c r="A632">
        <v>235.08940699999999</v>
      </c>
      <c r="B632" s="1">
        <f>DATE(2010,12,22) + TIME(2,8,44)</f>
        <v>40534.089398148149</v>
      </c>
      <c r="C632">
        <v>80</v>
      </c>
      <c r="D632">
        <v>71.790107727000006</v>
      </c>
      <c r="E632">
        <v>60</v>
      </c>
      <c r="F632">
        <v>59.939350128000001</v>
      </c>
      <c r="G632">
        <v>1292.8312988</v>
      </c>
      <c r="H632">
        <v>1278.1229248</v>
      </c>
      <c r="I632">
        <v>1401.6530762</v>
      </c>
      <c r="J632">
        <v>1382.0557861</v>
      </c>
      <c r="K632">
        <v>0</v>
      </c>
      <c r="L632">
        <v>2750</v>
      </c>
      <c r="M632">
        <v>2750</v>
      </c>
      <c r="N632">
        <v>0</v>
      </c>
    </row>
    <row r="633" spans="1:14" x14ac:dyDescent="0.25">
      <c r="A633">
        <v>236.079227</v>
      </c>
      <c r="B633" s="1">
        <f>DATE(2010,12,23) + TIME(1,54,5)</f>
        <v>40535.079224537039</v>
      </c>
      <c r="C633">
        <v>80</v>
      </c>
      <c r="D633">
        <v>71.679534911999994</v>
      </c>
      <c r="E633">
        <v>60</v>
      </c>
      <c r="F633">
        <v>59.939437865999999</v>
      </c>
      <c r="G633">
        <v>1292.7464600000001</v>
      </c>
      <c r="H633">
        <v>1278.0177002</v>
      </c>
      <c r="I633">
        <v>1401.5646973</v>
      </c>
      <c r="J633">
        <v>1381.9733887</v>
      </c>
      <c r="K633">
        <v>0</v>
      </c>
      <c r="L633">
        <v>2750</v>
      </c>
      <c r="M633">
        <v>2750</v>
      </c>
      <c r="N633">
        <v>0</v>
      </c>
    </row>
    <row r="634" spans="1:14" x14ac:dyDescent="0.25">
      <c r="A634">
        <v>237.075918</v>
      </c>
      <c r="B634" s="1">
        <f>DATE(2010,12,24) + TIME(1,49,19)</f>
        <v>40536.075914351852</v>
      </c>
      <c r="C634">
        <v>80</v>
      </c>
      <c r="D634">
        <v>71.568275451999995</v>
      </c>
      <c r="E634">
        <v>60</v>
      </c>
      <c r="F634">
        <v>59.939529419000003</v>
      </c>
      <c r="G634">
        <v>1292.6584473</v>
      </c>
      <c r="H634">
        <v>1277.9085693</v>
      </c>
      <c r="I634">
        <v>1401.4763184000001</v>
      </c>
      <c r="J634">
        <v>1381.8909911999999</v>
      </c>
      <c r="K634">
        <v>0</v>
      </c>
      <c r="L634">
        <v>2750</v>
      </c>
      <c r="M634">
        <v>2750</v>
      </c>
      <c r="N634">
        <v>0</v>
      </c>
    </row>
    <row r="635" spans="1:14" x14ac:dyDescent="0.25">
      <c r="A635">
        <v>238.07878400000001</v>
      </c>
      <c r="B635" s="1">
        <f>DATE(2010,12,25) + TIME(1,53,26)</f>
        <v>40537.078773148147</v>
      </c>
      <c r="C635">
        <v>80</v>
      </c>
      <c r="D635">
        <v>71.456764221</v>
      </c>
      <c r="E635">
        <v>60</v>
      </c>
      <c r="F635">
        <v>59.939617157000001</v>
      </c>
      <c r="G635">
        <v>1292.5684814000001</v>
      </c>
      <c r="H635">
        <v>1277.7965088000001</v>
      </c>
      <c r="I635">
        <v>1401.3891602000001</v>
      </c>
      <c r="J635">
        <v>1381.8096923999999</v>
      </c>
      <c r="K635">
        <v>0</v>
      </c>
      <c r="L635">
        <v>2750</v>
      </c>
      <c r="M635">
        <v>2750</v>
      </c>
      <c r="N635">
        <v>0</v>
      </c>
    </row>
    <row r="636" spans="1:14" x14ac:dyDescent="0.25">
      <c r="A636">
        <v>239.090217</v>
      </c>
      <c r="B636" s="1">
        <f>DATE(2010,12,26) + TIME(2,9,54)</f>
        <v>40538.090208333335</v>
      </c>
      <c r="C636">
        <v>80</v>
      </c>
      <c r="D636">
        <v>71.345069885000001</v>
      </c>
      <c r="E636">
        <v>60</v>
      </c>
      <c r="F636">
        <v>59.939708709999998</v>
      </c>
      <c r="G636">
        <v>1292.4765625</v>
      </c>
      <c r="H636">
        <v>1277.6816406</v>
      </c>
      <c r="I636">
        <v>1401.3032227000001</v>
      </c>
      <c r="J636">
        <v>1381.7296143000001</v>
      </c>
      <c r="K636">
        <v>0</v>
      </c>
      <c r="L636">
        <v>2750</v>
      </c>
      <c r="M636">
        <v>2750</v>
      </c>
      <c r="N636">
        <v>0</v>
      </c>
    </row>
    <row r="637" spans="1:14" x14ac:dyDescent="0.25">
      <c r="A637">
        <v>240.11242300000001</v>
      </c>
      <c r="B637" s="1">
        <f>DATE(2010,12,27) + TIME(2,41,53)</f>
        <v>40539.11241898148</v>
      </c>
      <c r="C637">
        <v>80</v>
      </c>
      <c r="D637">
        <v>71.233078003000003</v>
      </c>
      <c r="E637">
        <v>60</v>
      </c>
      <c r="F637">
        <v>59.939800261999999</v>
      </c>
      <c r="G637">
        <v>1292.3824463000001</v>
      </c>
      <c r="H637">
        <v>1277.5634766000001</v>
      </c>
      <c r="I637">
        <v>1401.2183838000001</v>
      </c>
      <c r="J637">
        <v>1381.6506348</v>
      </c>
      <c r="K637">
        <v>0</v>
      </c>
      <c r="L637">
        <v>2750</v>
      </c>
      <c r="M637">
        <v>2750</v>
      </c>
      <c r="N637">
        <v>0</v>
      </c>
    </row>
    <row r="638" spans="1:14" x14ac:dyDescent="0.25">
      <c r="A638">
        <v>241.14698200000001</v>
      </c>
      <c r="B638" s="1">
        <f>DATE(2010,12,28) + TIME(3,31,39)</f>
        <v>40540.146979166668</v>
      </c>
      <c r="C638">
        <v>80</v>
      </c>
      <c r="D638">
        <v>71.120605468999997</v>
      </c>
      <c r="E638">
        <v>60</v>
      </c>
      <c r="F638">
        <v>59.939895630000002</v>
      </c>
      <c r="G638">
        <v>1292.2857666</v>
      </c>
      <c r="H638">
        <v>1277.4420166</v>
      </c>
      <c r="I638">
        <v>1401.1343993999999</v>
      </c>
      <c r="J638">
        <v>1381.5723877</v>
      </c>
      <c r="K638">
        <v>0</v>
      </c>
      <c r="L638">
        <v>2750</v>
      </c>
      <c r="M638">
        <v>2750</v>
      </c>
      <c r="N638">
        <v>0</v>
      </c>
    </row>
    <row r="639" spans="1:14" x14ac:dyDescent="0.25">
      <c r="A639">
        <v>242.19566599999999</v>
      </c>
      <c r="B639" s="1">
        <f>DATE(2010,12,29) + TIME(4,41,45)</f>
        <v>40541.195659722223</v>
      </c>
      <c r="C639">
        <v>80</v>
      </c>
      <c r="D639">
        <v>71.007469177000004</v>
      </c>
      <c r="E639">
        <v>60</v>
      </c>
      <c r="F639">
        <v>59.939987183</v>
      </c>
      <c r="G639">
        <v>1292.1862793</v>
      </c>
      <c r="H639">
        <v>1277.3166504000001</v>
      </c>
      <c r="I639">
        <v>1401.0511475000001</v>
      </c>
      <c r="J639">
        <v>1381.494751</v>
      </c>
      <c r="K639">
        <v>0</v>
      </c>
      <c r="L639">
        <v>2750</v>
      </c>
      <c r="M639">
        <v>2750</v>
      </c>
      <c r="N639">
        <v>0</v>
      </c>
    </row>
    <row r="640" spans="1:14" x14ac:dyDescent="0.25">
      <c r="A640">
        <v>243.26023900000001</v>
      </c>
      <c r="B640" s="1">
        <f>DATE(2010,12,30) + TIME(6,14,44)</f>
        <v>40542.260231481479</v>
      </c>
      <c r="C640">
        <v>80</v>
      </c>
      <c r="D640">
        <v>70.893447875999996</v>
      </c>
      <c r="E640">
        <v>60</v>
      </c>
      <c r="F640">
        <v>59.940086364999999</v>
      </c>
      <c r="G640">
        <v>1292.0839844</v>
      </c>
      <c r="H640">
        <v>1277.1872559000001</v>
      </c>
      <c r="I640">
        <v>1400.9685059000001</v>
      </c>
      <c r="J640">
        <v>1381.4177245999999</v>
      </c>
      <c r="K640">
        <v>0</v>
      </c>
      <c r="L640">
        <v>2750</v>
      </c>
      <c r="M640">
        <v>2750</v>
      </c>
      <c r="N640">
        <v>0</v>
      </c>
    </row>
    <row r="641" spans="1:14" x14ac:dyDescent="0.25">
      <c r="A641">
        <v>244.34230600000001</v>
      </c>
      <c r="B641" s="1">
        <f>DATE(2010,12,31) + TIME(8,12,55)</f>
        <v>40543.342303240737</v>
      </c>
      <c r="C641">
        <v>80</v>
      </c>
      <c r="D641">
        <v>70.778350829999994</v>
      </c>
      <c r="E641">
        <v>60</v>
      </c>
      <c r="F641">
        <v>59.940181731999999</v>
      </c>
      <c r="G641">
        <v>1291.9783935999999</v>
      </c>
      <c r="H641">
        <v>1277.0533447</v>
      </c>
      <c r="I641">
        <v>1400.8861084</v>
      </c>
      <c r="J641">
        <v>1381.3410644999999</v>
      </c>
      <c r="K641">
        <v>0</v>
      </c>
      <c r="L641">
        <v>2750</v>
      </c>
      <c r="M641">
        <v>2750</v>
      </c>
      <c r="N641">
        <v>0</v>
      </c>
    </row>
    <row r="642" spans="1:14" x14ac:dyDescent="0.25">
      <c r="A642">
        <v>245</v>
      </c>
      <c r="B642" s="1">
        <f>DATE(2011,1,1) + TIME(0,0,0)</f>
        <v>40544</v>
      </c>
      <c r="C642">
        <v>80</v>
      </c>
      <c r="D642">
        <v>70.687423706000004</v>
      </c>
      <c r="E642">
        <v>60</v>
      </c>
      <c r="F642">
        <v>59.940235137999998</v>
      </c>
      <c r="G642">
        <v>1291.8698730000001</v>
      </c>
      <c r="H642">
        <v>1276.9201660000001</v>
      </c>
      <c r="I642">
        <v>1400.8035889</v>
      </c>
      <c r="J642">
        <v>1381.2640381000001</v>
      </c>
      <c r="K642">
        <v>0</v>
      </c>
      <c r="L642">
        <v>2750</v>
      </c>
      <c r="M642">
        <v>2750</v>
      </c>
      <c r="N642">
        <v>0</v>
      </c>
    </row>
    <row r="643" spans="1:14" x14ac:dyDescent="0.25">
      <c r="A643">
        <v>246.101598</v>
      </c>
      <c r="B643" s="1">
        <f>DATE(2011,1,2) + TIME(2,26,18)</f>
        <v>40545.101597222223</v>
      </c>
      <c r="C643">
        <v>80</v>
      </c>
      <c r="D643">
        <v>70.583168029999996</v>
      </c>
      <c r="E643">
        <v>60</v>
      </c>
      <c r="F643">
        <v>59.940338134999998</v>
      </c>
      <c r="G643">
        <v>1291.8001709</v>
      </c>
      <c r="H643">
        <v>1276.8242187999999</v>
      </c>
      <c r="I643">
        <v>1400.7550048999999</v>
      </c>
      <c r="J643">
        <v>1381.21875</v>
      </c>
      <c r="K643">
        <v>0</v>
      </c>
      <c r="L643">
        <v>2750</v>
      </c>
      <c r="M643">
        <v>2750</v>
      </c>
      <c r="N643">
        <v>0</v>
      </c>
    </row>
    <row r="644" spans="1:14" x14ac:dyDescent="0.25">
      <c r="A644">
        <v>247.23633699999999</v>
      </c>
      <c r="B644" s="1">
        <f>DATE(2011,1,3) + TIME(5,40,19)</f>
        <v>40546.236331018517</v>
      </c>
      <c r="C644">
        <v>80</v>
      </c>
      <c r="D644">
        <v>70.469978333</v>
      </c>
      <c r="E644">
        <v>60</v>
      </c>
      <c r="F644">
        <v>59.940441131999997</v>
      </c>
      <c r="G644">
        <v>1291.6873779</v>
      </c>
      <c r="H644">
        <v>1276.6812743999999</v>
      </c>
      <c r="I644">
        <v>1400.6743164</v>
      </c>
      <c r="J644">
        <v>1381.1436768000001</v>
      </c>
      <c r="K644">
        <v>0</v>
      </c>
      <c r="L644">
        <v>2750</v>
      </c>
      <c r="M644">
        <v>2750</v>
      </c>
      <c r="N644">
        <v>0</v>
      </c>
    </row>
    <row r="645" spans="1:14" x14ac:dyDescent="0.25">
      <c r="A645">
        <v>248.376396</v>
      </c>
      <c r="B645" s="1">
        <f>DATE(2011,1,4) + TIME(9,2,0)</f>
        <v>40547.376388888886</v>
      </c>
      <c r="C645">
        <v>80</v>
      </c>
      <c r="D645">
        <v>70.352386475000003</v>
      </c>
      <c r="E645">
        <v>60</v>
      </c>
      <c r="F645">
        <v>59.940544127999999</v>
      </c>
      <c r="G645">
        <v>1291.5686035000001</v>
      </c>
      <c r="H645">
        <v>1276.5296631000001</v>
      </c>
      <c r="I645">
        <v>1400.5926514</v>
      </c>
      <c r="J645">
        <v>1381.0676269999999</v>
      </c>
      <c r="K645">
        <v>0</v>
      </c>
      <c r="L645">
        <v>2750</v>
      </c>
      <c r="M645">
        <v>2750</v>
      </c>
      <c r="N645">
        <v>0</v>
      </c>
    </row>
    <row r="646" spans="1:14" x14ac:dyDescent="0.25">
      <c r="A646">
        <v>249.52572499999999</v>
      </c>
      <c r="B646" s="1">
        <f>DATE(2011,1,5) + TIME(12,37,2)</f>
        <v>40548.525717592594</v>
      </c>
      <c r="C646">
        <v>80</v>
      </c>
      <c r="D646">
        <v>70.232727050999998</v>
      </c>
      <c r="E646">
        <v>60</v>
      </c>
      <c r="F646">
        <v>59.940647124999998</v>
      </c>
      <c r="G646">
        <v>1291.4467772999999</v>
      </c>
      <c r="H646">
        <v>1276.3732910000001</v>
      </c>
      <c r="I646">
        <v>1400.5123291</v>
      </c>
      <c r="J646">
        <v>1380.9927978999999</v>
      </c>
      <c r="K646">
        <v>0</v>
      </c>
      <c r="L646">
        <v>2750</v>
      </c>
      <c r="M646">
        <v>2750</v>
      </c>
      <c r="N646">
        <v>0</v>
      </c>
    </row>
    <row r="647" spans="1:14" x14ac:dyDescent="0.25">
      <c r="A647">
        <v>250.68485100000001</v>
      </c>
      <c r="B647" s="1">
        <f>DATE(2011,1,6) + TIME(16,26,11)</f>
        <v>40549.684849537036</v>
      </c>
      <c r="C647">
        <v>80</v>
      </c>
      <c r="D647">
        <v>70.111831664999997</v>
      </c>
      <c r="E647">
        <v>60</v>
      </c>
      <c r="F647">
        <v>59.940750121999997</v>
      </c>
      <c r="G647">
        <v>1291.3216553</v>
      </c>
      <c r="H647">
        <v>1276.2121582</v>
      </c>
      <c r="I647">
        <v>1400.4328613</v>
      </c>
      <c r="J647">
        <v>1380.9188231999999</v>
      </c>
      <c r="K647">
        <v>0</v>
      </c>
      <c r="L647">
        <v>2750</v>
      </c>
      <c r="M647">
        <v>2750</v>
      </c>
      <c r="N647">
        <v>0</v>
      </c>
    </row>
    <row r="648" spans="1:14" x14ac:dyDescent="0.25">
      <c r="A648">
        <v>251.857326</v>
      </c>
      <c r="B648" s="1">
        <f>DATE(2011,1,7) + TIME(20,34,32)</f>
        <v>40550.857314814813</v>
      </c>
      <c r="C648">
        <v>80</v>
      </c>
      <c r="D648">
        <v>69.989837645999998</v>
      </c>
      <c r="E648">
        <v>60</v>
      </c>
      <c r="F648">
        <v>59.940856934000003</v>
      </c>
      <c r="G648">
        <v>1291.1933594</v>
      </c>
      <c r="H648">
        <v>1276.0461425999999</v>
      </c>
      <c r="I648">
        <v>1400.3542480000001</v>
      </c>
      <c r="J648">
        <v>1380.8457031</v>
      </c>
      <c r="K648">
        <v>0</v>
      </c>
      <c r="L648">
        <v>2750</v>
      </c>
      <c r="M648">
        <v>2750</v>
      </c>
      <c r="N648">
        <v>0</v>
      </c>
    </row>
    <row r="649" spans="1:14" x14ac:dyDescent="0.25">
      <c r="A649">
        <v>253.044084</v>
      </c>
      <c r="B649" s="1">
        <f>DATE(2011,1,9) + TIME(1,3,28)</f>
        <v>40552.044074074074</v>
      </c>
      <c r="C649">
        <v>80</v>
      </c>
      <c r="D649">
        <v>69.866500853999995</v>
      </c>
      <c r="E649">
        <v>60</v>
      </c>
      <c r="F649">
        <v>59.940963744999998</v>
      </c>
      <c r="G649">
        <v>1291.0614014</v>
      </c>
      <c r="H649">
        <v>1275.8748779</v>
      </c>
      <c r="I649">
        <v>1400.2763672000001</v>
      </c>
      <c r="J649">
        <v>1380.7730713000001</v>
      </c>
      <c r="K649">
        <v>0</v>
      </c>
      <c r="L649">
        <v>2750</v>
      </c>
      <c r="M649">
        <v>2750</v>
      </c>
      <c r="N649">
        <v>0</v>
      </c>
    </row>
    <row r="650" spans="1:14" x14ac:dyDescent="0.25">
      <c r="A650">
        <v>254.24753899999999</v>
      </c>
      <c r="B650" s="1">
        <f>DATE(2011,1,10) + TIME(5,56,27)</f>
        <v>40553.247534722221</v>
      </c>
      <c r="C650">
        <v>80</v>
      </c>
      <c r="D650">
        <v>69.741714478000006</v>
      </c>
      <c r="E650">
        <v>60</v>
      </c>
      <c r="F650">
        <v>59.941070557000003</v>
      </c>
      <c r="G650">
        <v>1290.9255370999999</v>
      </c>
      <c r="H650">
        <v>1275.6979980000001</v>
      </c>
      <c r="I650">
        <v>1400.1989745999999</v>
      </c>
      <c r="J650">
        <v>1380.7010498</v>
      </c>
      <c r="K650">
        <v>0</v>
      </c>
      <c r="L650">
        <v>2750</v>
      </c>
      <c r="M650">
        <v>2750</v>
      </c>
      <c r="N650">
        <v>0</v>
      </c>
    </row>
    <row r="651" spans="1:14" x14ac:dyDescent="0.25">
      <c r="A651">
        <v>255.46967599999999</v>
      </c>
      <c r="B651" s="1">
        <f>DATE(2011,1,11) + TIME(11,16,19)</f>
        <v>40554.469664351855</v>
      </c>
      <c r="C651">
        <v>80</v>
      </c>
      <c r="D651">
        <v>69.615211486999996</v>
      </c>
      <c r="E651">
        <v>60</v>
      </c>
      <c r="F651">
        <v>59.941177367999998</v>
      </c>
      <c r="G651">
        <v>1290.7854004000001</v>
      </c>
      <c r="H651">
        <v>1275.5150146000001</v>
      </c>
      <c r="I651">
        <v>1400.1219481999999</v>
      </c>
      <c r="J651">
        <v>1380.6293945</v>
      </c>
      <c r="K651">
        <v>0</v>
      </c>
      <c r="L651">
        <v>2750</v>
      </c>
      <c r="M651">
        <v>2750</v>
      </c>
      <c r="N651">
        <v>0</v>
      </c>
    </row>
    <row r="652" spans="1:14" x14ac:dyDescent="0.25">
      <c r="A652">
        <v>256.71337499999998</v>
      </c>
      <c r="B652" s="1">
        <f>DATE(2011,1,12) + TIME(17,7,15)</f>
        <v>40555.713368055556</v>
      </c>
      <c r="C652">
        <v>80</v>
      </c>
      <c r="D652">
        <v>69.486656189000001</v>
      </c>
      <c r="E652">
        <v>60</v>
      </c>
      <c r="F652">
        <v>59.941287994</v>
      </c>
      <c r="G652">
        <v>1290.640625</v>
      </c>
      <c r="H652">
        <v>1275.3255615</v>
      </c>
      <c r="I652">
        <v>1400.0452881000001</v>
      </c>
      <c r="J652">
        <v>1380.5579834</v>
      </c>
      <c r="K652">
        <v>0</v>
      </c>
      <c r="L652">
        <v>2750</v>
      </c>
      <c r="M652">
        <v>2750</v>
      </c>
      <c r="N652">
        <v>0</v>
      </c>
    </row>
    <row r="653" spans="1:14" x14ac:dyDescent="0.25">
      <c r="A653">
        <v>257.97996000000001</v>
      </c>
      <c r="B653" s="1">
        <f>DATE(2011,1,13) + TIME(23,31,8)</f>
        <v>40556.979953703703</v>
      </c>
      <c r="C653">
        <v>80</v>
      </c>
      <c r="D653">
        <v>69.355735779</v>
      </c>
      <c r="E653">
        <v>60</v>
      </c>
      <c r="F653">
        <v>59.941402435000001</v>
      </c>
      <c r="G653">
        <v>1290.4908447</v>
      </c>
      <c r="H653">
        <v>1275.1287841999999</v>
      </c>
      <c r="I653">
        <v>1399.96875</v>
      </c>
      <c r="J653">
        <v>1380.4866943</v>
      </c>
      <c r="K653">
        <v>0</v>
      </c>
      <c r="L653">
        <v>2750</v>
      </c>
      <c r="M653">
        <v>2750</v>
      </c>
      <c r="N653">
        <v>0</v>
      </c>
    </row>
    <row r="654" spans="1:14" x14ac:dyDescent="0.25">
      <c r="A654">
        <v>259.25606299999998</v>
      </c>
      <c r="B654" s="1">
        <f>DATE(2011,1,15) + TIME(6,8,43)</f>
        <v>40558.256053240744</v>
      </c>
      <c r="C654">
        <v>80</v>
      </c>
      <c r="D654">
        <v>69.222732543999996</v>
      </c>
      <c r="E654">
        <v>60</v>
      </c>
      <c r="F654">
        <v>59.941513061999999</v>
      </c>
      <c r="G654">
        <v>1290.3358154</v>
      </c>
      <c r="H654">
        <v>1274.9245605000001</v>
      </c>
      <c r="I654">
        <v>1399.8922118999999</v>
      </c>
      <c r="J654">
        <v>1380.4154053</v>
      </c>
      <c r="K654">
        <v>0</v>
      </c>
      <c r="L654">
        <v>2750</v>
      </c>
      <c r="M654">
        <v>2750</v>
      </c>
      <c r="N654">
        <v>0</v>
      </c>
    </row>
    <row r="655" spans="1:14" x14ac:dyDescent="0.25">
      <c r="A655">
        <v>260.54037699999998</v>
      </c>
      <c r="B655" s="1">
        <f>DATE(2011,1,16) + TIME(12,58,8)</f>
        <v>40559.540370370371</v>
      </c>
      <c r="C655">
        <v>80</v>
      </c>
      <c r="D655">
        <v>69.088073730000005</v>
      </c>
      <c r="E655">
        <v>60</v>
      </c>
      <c r="F655">
        <v>59.941627502000003</v>
      </c>
      <c r="G655">
        <v>1290.1766356999999</v>
      </c>
      <c r="H655">
        <v>1274.7142334</v>
      </c>
      <c r="I655">
        <v>1399.8165283000001</v>
      </c>
      <c r="J655">
        <v>1380.3449707</v>
      </c>
      <c r="K655">
        <v>0</v>
      </c>
      <c r="L655">
        <v>2750</v>
      </c>
      <c r="M655">
        <v>2750</v>
      </c>
      <c r="N655">
        <v>0</v>
      </c>
    </row>
    <row r="656" spans="1:14" x14ac:dyDescent="0.25">
      <c r="A656">
        <v>261.83479399999999</v>
      </c>
      <c r="B656" s="1">
        <f>DATE(2011,1,17) + TIME(20,2,6)</f>
        <v>40560.834791666668</v>
      </c>
      <c r="C656">
        <v>80</v>
      </c>
      <c r="D656">
        <v>68.951820373999993</v>
      </c>
      <c r="E656">
        <v>60</v>
      </c>
      <c r="F656">
        <v>59.941741942999997</v>
      </c>
      <c r="G656">
        <v>1290.0136719</v>
      </c>
      <c r="H656">
        <v>1274.4982910000001</v>
      </c>
      <c r="I656">
        <v>1399.7418213000001</v>
      </c>
      <c r="J656">
        <v>1380.2753906</v>
      </c>
      <c r="K656">
        <v>0</v>
      </c>
      <c r="L656">
        <v>2750</v>
      </c>
      <c r="M656">
        <v>2750</v>
      </c>
      <c r="N656">
        <v>0</v>
      </c>
    </row>
    <row r="657" spans="1:14" x14ac:dyDescent="0.25">
      <c r="A657">
        <v>263.14354400000002</v>
      </c>
      <c r="B657" s="1">
        <f>DATE(2011,1,19) + TIME(3,26,42)</f>
        <v>40562.143541666665</v>
      </c>
      <c r="C657">
        <v>80</v>
      </c>
      <c r="D657">
        <v>68.813667296999995</v>
      </c>
      <c r="E657">
        <v>60</v>
      </c>
      <c r="F657">
        <v>59.941856383999998</v>
      </c>
      <c r="G657">
        <v>1289.8466797000001</v>
      </c>
      <c r="H657">
        <v>1274.2761230000001</v>
      </c>
      <c r="I657">
        <v>1399.6678466999999</v>
      </c>
      <c r="J657">
        <v>1380.206543</v>
      </c>
      <c r="K657">
        <v>0</v>
      </c>
      <c r="L657">
        <v>2750</v>
      </c>
      <c r="M657">
        <v>2750</v>
      </c>
      <c r="N657">
        <v>0</v>
      </c>
    </row>
    <row r="658" spans="1:14" x14ac:dyDescent="0.25">
      <c r="A658">
        <v>264.46577000000002</v>
      </c>
      <c r="B658" s="1">
        <f>DATE(2011,1,20) + TIME(11,10,42)</f>
        <v>40563.465763888889</v>
      </c>
      <c r="C658">
        <v>80</v>
      </c>
      <c r="D658">
        <v>68.673347473000007</v>
      </c>
      <c r="E658">
        <v>60</v>
      </c>
      <c r="F658">
        <v>59.941974639999998</v>
      </c>
      <c r="G658">
        <v>1289.6749268000001</v>
      </c>
      <c r="H658">
        <v>1274.0469971</v>
      </c>
      <c r="I658">
        <v>1399.5944824000001</v>
      </c>
      <c r="J658">
        <v>1380.1381836</v>
      </c>
      <c r="K658">
        <v>0</v>
      </c>
      <c r="L658">
        <v>2750</v>
      </c>
      <c r="M658">
        <v>2750</v>
      </c>
      <c r="N658">
        <v>0</v>
      </c>
    </row>
    <row r="659" spans="1:14" x14ac:dyDescent="0.25">
      <c r="A659">
        <v>265.805116</v>
      </c>
      <c r="B659" s="1">
        <f>DATE(2011,1,21) + TIME(19,19,22)</f>
        <v>40564.805115740739</v>
      </c>
      <c r="C659">
        <v>80</v>
      </c>
      <c r="D659">
        <v>68.530532836999996</v>
      </c>
      <c r="E659">
        <v>60</v>
      </c>
      <c r="F659">
        <v>59.942089080999999</v>
      </c>
      <c r="G659">
        <v>1289.4985352000001</v>
      </c>
      <c r="H659">
        <v>1273.8110352000001</v>
      </c>
      <c r="I659">
        <v>1399.5216064000001</v>
      </c>
      <c r="J659">
        <v>1380.0704346</v>
      </c>
      <c r="K659">
        <v>0</v>
      </c>
      <c r="L659">
        <v>2750</v>
      </c>
      <c r="M659">
        <v>2750</v>
      </c>
      <c r="N659">
        <v>0</v>
      </c>
    </row>
    <row r="660" spans="1:14" x14ac:dyDescent="0.25">
      <c r="A660">
        <v>267.16364700000003</v>
      </c>
      <c r="B660" s="1">
        <f>DATE(2011,1,23) + TIME(3,55,39)</f>
        <v>40566.163645833331</v>
      </c>
      <c r="C660">
        <v>80</v>
      </c>
      <c r="D660">
        <v>68.384803771999998</v>
      </c>
      <c r="E660">
        <v>60</v>
      </c>
      <c r="F660">
        <v>59.942211151000002</v>
      </c>
      <c r="G660">
        <v>1289.3170166</v>
      </c>
      <c r="H660">
        <v>1273.5672606999999</v>
      </c>
      <c r="I660">
        <v>1399.4490966999999</v>
      </c>
      <c r="J660">
        <v>1380.0029297000001</v>
      </c>
      <c r="K660">
        <v>0</v>
      </c>
      <c r="L660">
        <v>2750</v>
      </c>
      <c r="M660">
        <v>2750</v>
      </c>
      <c r="N660">
        <v>0</v>
      </c>
    </row>
    <row r="661" spans="1:14" x14ac:dyDescent="0.25">
      <c r="A661">
        <v>268.54384299999998</v>
      </c>
      <c r="B661" s="1">
        <f>DATE(2011,1,24) + TIME(13,3,8)</f>
        <v>40567.543842592589</v>
      </c>
      <c r="C661">
        <v>80</v>
      </c>
      <c r="D661">
        <v>68.235725403000004</v>
      </c>
      <c r="E661">
        <v>60</v>
      </c>
      <c r="F661">
        <v>59.942329407000003</v>
      </c>
      <c r="G661">
        <v>1289.1296387</v>
      </c>
      <c r="H661">
        <v>1273.3150635</v>
      </c>
      <c r="I661">
        <v>1399.3769531</v>
      </c>
      <c r="J661">
        <v>1379.9357910000001</v>
      </c>
      <c r="K661">
        <v>0</v>
      </c>
      <c r="L661">
        <v>2750</v>
      </c>
      <c r="M661">
        <v>2750</v>
      </c>
      <c r="N661">
        <v>0</v>
      </c>
    </row>
    <row r="662" spans="1:14" x14ac:dyDescent="0.25">
      <c r="A662">
        <v>269.94703900000002</v>
      </c>
      <c r="B662" s="1">
        <f>DATE(2011,1,25) + TIME(22,43,44)</f>
        <v>40568.94703703704</v>
      </c>
      <c r="C662">
        <v>80</v>
      </c>
      <c r="D662">
        <v>68.082878113000007</v>
      </c>
      <c r="E662">
        <v>60</v>
      </c>
      <c r="F662">
        <v>59.942451476999999</v>
      </c>
      <c r="G662">
        <v>1288.9362793</v>
      </c>
      <c r="H662">
        <v>1273.0540771000001</v>
      </c>
      <c r="I662">
        <v>1399.3049315999999</v>
      </c>
      <c r="J662">
        <v>1379.8686522999999</v>
      </c>
      <c r="K662">
        <v>0</v>
      </c>
      <c r="L662">
        <v>2750</v>
      </c>
      <c r="M662">
        <v>2750</v>
      </c>
      <c r="N662">
        <v>0</v>
      </c>
    </row>
    <row r="663" spans="1:14" x14ac:dyDescent="0.25">
      <c r="A663">
        <v>271.36517900000001</v>
      </c>
      <c r="B663" s="1">
        <f>DATE(2011,1,27) + TIME(8,45,51)</f>
        <v>40570.365173611113</v>
      </c>
      <c r="C663">
        <v>80</v>
      </c>
      <c r="D663">
        <v>67.926216124999996</v>
      </c>
      <c r="E663">
        <v>60</v>
      </c>
      <c r="F663">
        <v>59.942573547000002</v>
      </c>
      <c r="G663">
        <v>1288.7365723</v>
      </c>
      <c r="H663">
        <v>1272.7835693</v>
      </c>
      <c r="I663">
        <v>1399.2329102000001</v>
      </c>
      <c r="J663">
        <v>1379.8016356999999</v>
      </c>
      <c r="K663">
        <v>0</v>
      </c>
      <c r="L663">
        <v>2750</v>
      </c>
      <c r="M663">
        <v>2750</v>
      </c>
      <c r="N663">
        <v>0</v>
      </c>
    </row>
    <row r="664" spans="1:14" x14ac:dyDescent="0.25">
      <c r="A664">
        <v>272.79108000000002</v>
      </c>
      <c r="B664" s="1">
        <f>DATE(2011,1,28) + TIME(18,59,9)</f>
        <v>40571.791076388887</v>
      </c>
      <c r="C664">
        <v>80</v>
      </c>
      <c r="D664">
        <v>67.766128539999997</v>
      </c>
      <c r="E664">
        <v>60</v>
      </c>
      <c r="F664">
        <v>59.942699431999998</v>
      </c>
      <c r="G664">
        <v>1288.5313721</v>
      </c>
      <c r="H664">
        <v>1272.5048827999999</v>
      </c>
      <c r="I664">
        <v>1399.161499</v>
      </c>
      <c r="J664">
        <v>1379.7351074000001</v>
      </c>
      <c r="K664">
        <v>0</v>
      </c>
      <c r="L664">
        <v>2750</v>
      </c>
      <c r="M664">
        <v>2750</v>
      </c>
      <c r="N664">
        <v>0</v>
      </c>
    </row>
    <row r="665" spans="1:14" x14ac:dyDescent="0.25">
      <c r="A665">
        <v>274.22971699999999</v>
      </c>
      <c r="B665" s="1">
        <f>DATE(2011,1,30) + TIME(5,30,47)</f>
        <v>40573.229710648149</v>
      </c>
      <c r="C665">
        <v>80</v>
      </c>
      <c r="D665">
        <v>67.602661132999998</v>
      </c>
      <c r="E665">
        <v>60</v>
      </c>
      <c r="F665">
        <v>59.942821502999998</v>
      </c>
      <c r="G665">
        <v>1288.3215332</v>
      </c>
      <c r="H665">
        <v>1272.21875</v>
      </c>
      <c r="I665">
        <v>1399.0908202999999</v>
      </c>
      <c r="J665">
        <v>1379.6693115</v>
      </c>
      <c r="K665">
        <v>0</v>
      </c>
      <c r="L665">
        <v>2750</v>
      </c>
      <c r="M665">
        <v>2750</v>
      </c>
      <c r="N665">
        <v>0</v>
      </c>
    </row>
    <row r="666" spans="1:14" x14ac:dyDescent="0.25">
      <c r="A666">
        <v>275.680655</v>
      </c>
      <c r="B666" s="1">
        <f>DATE(2011,1,31) + TIME(16,20,8)</f>
        <v>40574.680648148147</v>
      </c>
      <c r="C666">
        <v>80</v>
      </c>
      <c r="D666">
        <v>67.435539246000005</v>
      </c>
      <c r="E666">
        <v>60</v>
      </c>
      <c r="F666">
        <v>59.942947388</v>
      </c>
      <c r="G666">
        <v>1288.1064452999999</v>
      </c>
      <c r="H666">
        <v>1271.9248047000001</v>
      </c>
      <c r="I666">
        <v>1399.0207519999999</v>
      </c>
      <c r="J666">
        <v>1379.6040039</v>
      </c>
      <c r="K666">
        <v>0</v>
      </c>
      <c r="L666">
        <v>2750</v>
      </c>
      <c r="M666">
        <v>2750</v>
      </c>
      <c r="N666">
        <v>0</v>
      </c>
    </row>
    <row r="667" spans="1:14" x14ac:dyDescent="0.25">
      <c r="A667">
        <v>276</v>
      </c>
      <c r="B667" s="1">
        <f>DATE(2011,2,1) + TIME(0,0,0)</f>
        <v>40575</v>
      </c>
      <c r="C667">
        <v>80</v>
      </c>
      <c r="D667">
        <v>67.358367920000006</v>
      </c>
      <c r="E667">
        <v>60</v>
      </c>
      <c r="F667">
        <v>59.942966460999997</v>
      </c>
      <c r="G667">
        <v>1287.8986815999999</v>
      </c>
      <c r="H667">
        <v>1271.6645507999999</v>
      </c>
      <c r="I667">
        <v>1398.9505615</v>
      </c>
      <c r="J667">
        <v>1379.5385742000001</v>
      </c>
      <c r="K667">
        <v>0</v>
      </c>
      <c r="L667">
        <v>2750</v>
      </c>
      <c r="M667">
        <v>2750</v>
      </c>
      <c r="N667">
        <v>0</v>
      </c>
    </row>
    <row r="668" spans="1:14" x14ac:dyDescent="0.25">
      <c r="A668">
        <v>277.46582899999999</v>
      </c>
      <c r="B668" s="1">
        <f>DATE(2011,2,2) + TIME(11,10,47)</f>
        <v>40576.465821759259</v>
      </c>
      <c r="C668">
        <v>80</v>
      </c>
      <c r="D668">
        <v>67.212753296000002</v>
      </c>
      <c r="E668">
        <v>60</v>
      </c>
      <c r="F668">
        <v>59.943099975999999</v>
      </c>
      <c r="G668">
        <v>1287.8294678</v>
      </c>
      <c r="H668">
        <v>1271.5396728999999</v>
      </c>
      <c r="I668">
        <v>1398.9359131000001</v>
      </c>
      <c r="J668">
        <v>1379.5249022999999</v>
      </c>
      <c r="K668">
        <v>0</v>
      </c>
      <c r="L668">
        <v>2750</v>
      </c>
      <c r="M668">
        <v>2750</v>
      </c>
      <c r="N668">
        <v>0</v>
      </c>
    </row>
    <row r="669" spans="1:14" x14ac:dyDescent="0.25">
      <c r="A669">
        <v>278.95517000000001</v>
      </c>
      <c r="B669" s="1">
        <f>DATE(2011,2,3) + TIME(22,55,26)</f>
        <v>40577.95516203704</v>
      </c>
      <c r="C669">
        <v>80</v>
      </c>
      <c r="D669">
        <v>67.045150757000002</v>
      </c>
      <c r="E669">
        <v>60</v>
      </c>
      <c r="F669">
        <v>59.943225861000002</v>
      </c>
      <c r="G669">
        <v>1287.6080322</v>
      </c>
      <c r="H669">
        <v>1271.2380370999999</v>
      </c>
      <c r="I669">
        <v>1398.8673096</v>
      </c>
      <c r="J669">
        <v>1379.4610596</v>
      </c>
      <c r="K669">
        <v>0</v>
      </c>
      <c r="L669">
        <v>2750</v>
      </c>
      <c r="M669">
        <v>2750</v>
      </c>
      <c r="N669">
        <v>0</v>
      </c>
    </row>
    <row r="670" spans="1:14" x14ac:dyDescent="0.25">
      <c r="A670">
        <v>280.46491200000003</v>
      </c>
      <c r="B670" s="1">
        <f>DATE(2011,2,5) + TIME(11,9,28)</f>
        <v>40579.464907407404</v>
      </c>
      <c r="C670">
        <v>80</v>
      </c>
      <c r="D670">
        <v>66.866195679</v>
      </c>
      <c r="E670">
        <v>60</v>
      </c>
      <c r="F670">
        <v>59.943355560000001</v>
      </c>
      <c r="G670">
        <v>1287.3758545000001</v>
      </c>
      <c r="H670">
        <v>1270.9188231999999</v>
      </c>
      <c r="I670">
        <v>1398.7985839999999</v>
      </c>
      <c r="J670">
        <v>1379.3969727000001</v>
      </c>
      <c r="K670">
        <v>0</v>
      </c>
      <c r="L670">
        <v>2750</v>
      </c>
      <c r="M670">
        <v>2750</v>
      </c>
      <c r="N670">
        <v>0</v>
      </c>
    </row>
    <row r="671" spans="1:14" x14ac:dyDescent="0.25">
      <c r="A671">
        <v>281.99835899999999</v>
      </c>
      <c r="B671" s="1">
        <f>DATE(2011,2,6) + TIME(23,57,38)</f>
        <v>40580.998356481483</v>
      </c>
      <c r="C671">
        <v>80</v>
      </c>
      <c r="D671">
        <v>66.679344177000004</v>
      </c>
      <c r="E671">
        <v>60</v>
      </c>
      <c r="F671">
        <v>59.943485260000003</v>
      </c>
      <c r="G671">
        <v>1287.1359863</v>
      </c>
      <c r="H671">
        <v>1270.5869141000001</v>
      </c>
      <c r="I671">
        <v>1398.7299805</v>
      </c>
      <c r="J671">
        <v>1379.3330077999999</v>
      </c>
      <c r="K671">
        <v>0</v>
      </c>
      <c r="L671">
        <v>2750</v>
      </c>
      <c r="M671">
        <v>2750</v>
      </c>
      <c r="N671">
        <v>0</v>
      </c>
    </row>
    <row r="672" spans="1:14" x14ac:dyDescent="0.25">
      <c r="A672">
        <v>283.557704</v>
      </c>
      <c r="B672" s="1">
        <f>DATE(2011,2,8) + TIME(13,23,5)</f>
        <v>40582.557696759257</v>
      </c>
      <c r="C672">
        <v>80</v>
      </c>
      <c r="D672">
        <v>66.485298157000003</v>
      </c>
      <c r="E672">
        <v>60</v>
      </c>
      <c r="F672">
        <v>59.943614959999998</v>
      </c>
      <c r="G672">
        <v>1286.8884277</v>
      </c>
      <c r="H672">
        <v>1270.2430420000001</v>
      </c>
      <c r="I672">
        <v>1398.6613769999999</v>
      </c>
      <c r="J672">
        <v>1379.2691649999999</v>
      </c>
      <c r="K672">
        <v>0</v>
      </c>
      <c r="L672">
        <v>2750</v>
      </c>
      <c r="M672">
        <v>2750</v>
      </c>
      <c r="N672">
        <v>0</v>
      </c>
    </row>
    <row r="673" spans="1:14" x14ac:dyDescent="0.25">
      <c r="A673">
        <v>285.13083</v>
      </c>
      <c r="B673" s="1">
        <f>DATE(2011,2,10) + TIME(3,8,23)</f>
        <v>40584.13082175926</v>
      </c>
      <c r="C673">
        <v>80</v>
      </c>
      <c r="D673">
        <v>66.284454346000004</v>
      </c>
      <c r="E673">
        <v>60</v>
      </c>
      <c r="F673">
        <v>59.943748474000003</v>
      </c>
      <c r="G673">
        <v>1286.6330565999999</v>
      </c>
      <c r="H673">
        <v>1269.8873291</v>
      </c>
      <c r="I673">
        <v>1398.5927733999999</v>
      </c>
      <c r="J673">
        <v>1379.2052002</v>
      </c>
      <c r="K673">
        <v>0</v>
      </c>
      <c r="L673">
        <v>2750</v>
      </c>
      <c r="M673">
        <v>2750</v>
      </c>
      <c r="N673">
        <v>0</v>
      </c>
    </row>
    <row r="674" spans="1:14" x14ac:dyDescent="0.25">
      <c r="A674">
        <v>286.71567399999998</v>
      </c>
      <c r="B674" s="1">
        <f>DATE(2011,2,11) + TIME(17,10,34)</f>
        <v>40585.715671296297</v>
      </c>
      <c r="C674">
        <v>80</v>
      </c>
      <c r="D674">
        <v>66.077346801999994</v>
      </c>
      <c r="E674">
        <v>60</v>
      </c>
      <c r="F674">
        <v>59.943881988999998</v>
      </c>
      <c r="G674">
        <v>1286.371582</v>
      </c>
      <c r="H674">
        <v>1269.5218506000001</v>
      </c>
      <c r="I674">
        <v>1398.5246582</v>
      </c>
      <c r="J674">
        <v>1379.1416016000001</v>
      </c>
      <c r="K674">
        <v>0</v>
      </c>
      <c r="L674">
        <v>2750</v>
      </c>
      <c r="M674">
        <v>2750</v>
      </c>
      <c r="N674">
        <v>0</v>
      </c>
    </row>
    <row r="675" spans="1:14" x14ac:dyDescent="0.25">
      <c r="A675">
        <v>288.31262500000003</v>
      </c>
      <c r="B675" s="1">
        <f>DATE(2011,2,13) + TIME(7,30,10)</f>
        <v>40587.312615740739</v>
      </c>
      <c r="C675">
        <v>80</v>
      </c>
      <c r="D675">
        <v>65.864036560000002</v>
      </c>
      <c r="E675">
        <v>60</v>
      </c>
      <c r="F675">
        <v>59.944015503000003</v>
      </c>
      <c r="G675">
        <v>1286.1044922000001</v>
      </c>
      <c r="H675">
        <v>1269.1470947</v>
      </c>
      <c r="I675">
        <v>1398.4570312000001</v>
      </c>
      <c r="J675">
        <v>1379.0786132999999</v>
      </c>
      <c r="K675">
        <v>0</v>
      </c>
      <c r="L675">
        <v>2750</v>
      </c>
      <c r="M675">
        <v>2750</v>
      </c>
      <c r="N675">
        <v>0</v>
      </c>
    </row>
    <row r="676" spans="1:14" x14ac:dyDescent="0.25">
      <c r="A676">
        <v>289.92258099999998</v>
      </c>
      <c r="B676" s="1">
        <f>DATE(2011,2,14) + TIME(22,8,31)</f>
        <v>40588.922581018516</v>
      </c>
      <c r="C676">
        <v>80</v>
      </c>
      <c r="D676">
        <v>65.644279479999994</v>
      </c>
      <c r="E676">
        <v>60</v>
      </c>
      <c r="F676">
        <v>59.944149017000001</v>
      </c>
      <c r="G676">
        <v>1285.8316649999999</v>
      </c>
      <c r="H676">
        <v>1268.7631836</v>
      </c>
      <c r="I676">
        <v>1398.3898925999999</v>
      </c>
      <c r="J676">
        <v>1379.0159911999999</v>
      </c>
      <c r="K676">
        <v>0</v>
      </c>
      <c r="L676">
        <v>2750</v>
      </c>
      <c r="M676">
        <v>2750</v>
      </c>
      <c r="N676">
        <v>0</v>
      </c>
    </row>
    <row r="677" spans="1:14" x14ac:dyDescent="0.25">
      <c r="A677">
        <v>291.54789</v>
      </c>
      <c r="B677" s="1">
        <f>DATE(2011,2,16) + TIME(13,8,57)</f>
        <v>40590.547881944447</v>
      </c>
      <c r="C677">
        <v>80</v>
      </c>
      <c r="D677">
        <v>65.417625427000004</v>
      </c>
      <c r="E677">
        <v>60</v>
      </c>
      <c r="F677">
        <v>59.944282532000003</v>
      </c>
      <c r="G677">
        <v>1285.5529785000001</v>
      </c>
      <c r="H677">
        <v>1268.369751</v>
      </c>
      <c r="I677">
        <v>1398.3232422000001</v>
      </c>
      <c r="J677">
        <v>1378.9538574000001</v>
      </c>
      <c r="K677">
        <v>0</v>
      </c>
      <c r="L677">
        <v>2750</v>
      </c>
      <c r="M677">
        <v>2750</v>
      </c>
      <c r="N677">
        <v>0</v>
      </c>
    </row>
    <row r="678" spans="1:14" x14ac:dyDescent="0.25">
      <c r="A678">
        <v>293.19401399999998</v>
      </c>
      <c r="B678" s="1">
        <f>DATE(2011,2,18) + TIME(4,39,22)</f>
        <v>40592.194004629629</v>
      </c>
      <c r="C678">
        <v>80</v>
      </c>
      <c r="D678">
        <v>65.183334350999999</v>
      </c>
      <c r="E678">
        <v>60</v>
      </c>
      <c r="F678">
        <v>59.944419861</v>
      </c>
      <c r="G678">
        <v>1285.2681885</v>
      </c>
      <c r="H678">
        <v>1267.9661865</v>
      </c>
      <c r="I678">
        <v>1398.2568358999999</v>
      </c>
      <c r="J678">
        <v>1378.8919678</v>
      </c>
      <c r="K678">
        <v>0</v>
      </c>
      <c r="L678">
        <v>2750</v>
      </c>
      <c r="M678">
        <v>2750</v>
      </c>
      <c r="N678">
        <v>0</v>
      </c>
    </row>
    <row r="679" spans="1:14" x14ac:dyDescent="0.25">
      <c r="A679">
        <v>294.86296499999997</v>
      </c>
      <c r="B679" s="1">
        <f>DATE(2011,2,19) + TIME(20,42,40)</f>
        <v>40593.862962962965</v>
      </c>
      <c r="C679">
        <v>80</v>
      </c>
      <c r="D679">
        <v>64.940597534000005</v>
      </c>
      <c r="E679">
        <v>60</v>
      </c>
      <c r="F679">
        <v>59.944557189999998</v>
      </c>
      <c r="G679">
        <v>1284.9763184000001</v>
      </c>
      <c r="H679">
        <v>1267.5512695</v>
      </c>
      <c r="I679">
        <v>1398.1905518000001</v>
      </c>
      <c r="J679">
        <v>1378.8300781</v>
      </c>
      <c r="K679">
        <v>0</v>
      </c>
      <c r="L679">
        <v>2750</v>
      </c>
      <c r="M679">
        <v>2750</v>
      </c>
      <c r="N679">
        <v>0</v>
      </c>
    </row>
    <row r="680" spans="1:14" x14ac:dyDescent="0.25">
      <c r="A680">
        <v>296.55463400000002</v>
      </c>
      <c r="B680" s="1">
        <f>DATE(2011,2,21) + TIME(13,18,40)</f>
        <v>40595.554629629631</v>
      </c>
      <c r="C680">
        <v>80</v>
      </c>
      <c r="D680">
        <v>64.688804626000007</v>
      </c>
      <c r="E680">
        <v>60</v>
      </c>
      <c r="F680">
        <v>59.944694519000002</v>
      </c>
      <c r="G680">
        <v>1284.6770019999999</v>
      </c>
      <c r="H680">
        <v>1267.1245117000001</v>
      </c>
      <c r="I680">
        <v>1398.1243896000001</v>
      </c>
      <c r="J680">
        <v>1378.7683105000001</v>
      </c>
      <c r="K680">
        <v>0</v>
      </c>
      <c r="L680">
        <v>2750</v>
      </c>
      <c r="M680">
        <v>2750</v>
      </c>
      <c r="N680">
        <v>0</v>
      </c>
    </row>
    <row r="681" spans="1:14" x14ac:dyDescent="0.25">
      <c r="A681">
        <v>298.27260999999999</v>
      </c>
      <c r="B681" s="1">
        <f>DATE(2011,2,23) + TIME(6,32,33)</f>
        <v>40597.272604166668</v>
      </c>
      <c r="C681">
        <v>80</v>
      </c>
      <c r="D681">
        <v>64.427276610999996</v>
      </c>
      <c r="E681">
        <v>60</v>
      </c>
      <c r="F681">
        <v>59.944835662999999</v>
      </c>
      <c r="G681">
        <v>1284.3701172000001</v>
      </c>
      <c r="H681">
        <v>1266.6854248</v>
      </c>
      <c r="I681">
        <v>1398.0581055</v>
      </c>
      <c r="J681">
        <v>1378.7064209</v>
      </c>
      <c r="K681">
        <v>0</v>
      </c>
      <c r="L681">
        <v>2750</v>
      </c>
      <c r="M681">
        <v>2750</v>
      </c>
      <c r="N681">
        <v>0</v>
      </c>
    </row>
    <row r="682" spans="1:14" x14ac:dyDescent="0.25">
      <c r="A682">
        <v>300.00443000000001</v>
      </c>
      <c r="B682" s="1">
        <f>DATE(2011,2,25) + TIME(0,6,22)</f>
        <v>40599.004421296297</v>
      </c>
      <c r="C682">
        <v>80</v>
      </c>
      <c r="D682">
        <v>64.155838012999993</v>
      </c>
      <c r="E682">
        <v>60</v>
      </c>
      <c r="F682">
        <v>59.944972991999997</v>
      </c>
      <c r="G682">
        <v>1284.0551757999999</v>
      </c>
      <c r="H682">
        <v>1266.2335204999999</v>
      </c>
      <c r="I682">
        <v>1397.9916992000001</v>
      </c>
      <c r="J682">
        <v>1378.6444091999999</v>
      </c>
      <c r="K682">
        <v>0</v>
      </c>
      <c r="L682">
        <v>2750</v>
      </c>
      <c r="M682">
        <v>2750</v>
      </c>
      <c r="N682">
        <v>0</v>
      </c>
    </row>
    <row r="683" spans="1:14" x14ac:dyDescent="0.25">
      <c r="A683">
        <v>301.74365</v>
      </c>
      <c r="B683" s="1">
        <f>DATE(2011,2,26) + TIME(17,50,51)</f>
        <v>40600.743645833332</v>
      </c>
      <c r="C683">
        <v>80</v>
      </c>
      <c r="D683">
        <v>63.875373840000002</v>
      </c>
      <c r="E683">
        <v>60</v>
      </c>
      <c r="F683">
        <v>59.945114136000001</v>
      </c>
      <c r="G683">
        <v>1283.7342529</v>
      </c>
      <c r="H683">
        <v>1265.7712402</v>
      </c>
      <c r="I683">
        <v>1397.9256591999999</v>
      </c>
      <c r="J683">
        <v>1378.5827637</v>
      </c>
      <c r="K683">
        <v>0</v>
      </c>
      <c r="L683">
        <v>2750</v>
      </c>
      <c r="M683">
        <v>2750</v>
      </c>
      <c r="N683">
        <v>0</v>
      </c>
    </row>
    <row r="684" spans="1:14" x14ac:dyDescent="0.25">
      <c r="A684">
        <v>303.49361699999997</v>
      </c>
      <c r="B684" s="1">
        <f>DATE(2011,2,28) + TIME(11,50,48)</f>
        <v>40602.493611111109</v>
      </c>
      <c r="C684">
        <v>80</v>
      </c>
      <c r="D684">
        <v>63.586261749000002</v>
      </c>
      <c r="E684">
        <v>60</v>
      </c>
      <c r="F684">
        <v>59.945255279999998</v>
      </c>
      <c r="G684">
        <v>1283.4084473</v>
      </c>
      <c r="H684">
        <v>1265.300293</v>
      </c>
      <c r="I684">
        <v>1397.8601074000001</v>
      </c>
      <c r="J684">
        <v>1378.5214844</v>
      </c>
      <c r="K684">
        <v>0</v>
      </c>
      <c r="L684">
        <v>2750</v>
      </c>
      <c r="M684">
        <v>2750</v>
      </c>
      <c r="N684">
        <v>0</v>
      </c>
    </row>
    <row r="685" spans="1:14" x14ac:dyDescent="0.25">
      <c r="A685">
        <v>304</v>
      </c>
      <c r="B685" s="1">
        <f>DATE(2011,3,1) + TIME(0,0,0)</f>
        <v>40603</v>
      </c>
      <c r="C685">
        <v>80</v>
      </c>
      <c r="D685">
        <v>63.412109375</v>
      </c>
      <c r="E685">
        <v>60</v>
      </c>
      <c r="F685">
        <v>59.945289612000003</v>
      </c>
      <c r="G685">
        <v>1283.0924072</v>
      </c>
      <c r="H685">
        <v>1264.8793945</v>
      </c>
      <c r="I685">
        <v>1397.7941894999999</v>
      </c>
      <c r="J685">
        <v>1378.4597168</v>
      </c>
      <c r="K685">
        <v>0</v>
      </c>
      <c r="L685">
        <v>2750</v>
      </c>
      <c r="M685">
        <v>2750</v>
      </c>
      <c r="N685">
        <v>0</v>
      </c>
    </row>
    <row r="686" spans="1:14" x14ac:dyDescent="0.25">
      <c r="A686">
        <v>305.766367</v>
      </c>
      <c r="B686" s="1">
        <f>DATE(2011,3,2) + TIME(18,23,34)</f>
        <v>40604.766365740739</v>
      </c>
      <c r="C686">
        <v>80</v>
      </c>
      <c r="D686">
        <v>63.174411773999999</v>
      </c>
      <c r="E686">
        <v>60</v>
      </c>
      <c r="F686">
        <v>59.945434570000003</v>
      </c>
      <c r="G686">
        <v>1282.9674072</v>
      </c>
      <c r="H686">
        <v>1264.6499022999999</v>
      </c>
      <c r="I686">
        <v>1397.7762451000001</v>
      </c>
      <c r="J686">
        <v>1378.4429932</v>
      </c>
      <c r="K686">
        <v>0</v>
      </c>
      <c r="L686">
        <v>2750</v>
      </c>
      <c r="M686">
        <v>2750</v>
      </c>
      <c r="N686">
        <v>0</v>
      </c>
    </row>
    <row r="687" spans="1:14" x14ac:dyDescent="0.25">
      <c r="A687">
        <v>307.56349299999999</v>
      </c>
      <c r="B687" s="1">
        <f>DATE(2011,3,4) + TIME(13,31,25)</f>
        <v>40606.563483796293</v>
      </c>
      <c r="C687">
        <v>80</v>
      </c>
      <c r="D687">
        <v>62.881477355999998</v>
      </c>
      <c r="E687">
        <v>60</v>
      </c>
      <c r="F687">
        <v>59.945579529</v>
      </c>
      <c r="G687">
        <v>1282.6396483999999</v>
      </c>
      <c r="H687">
        <v>1264.1790771000001</v>
      </c>
      <c r="I687">
        <v>1397.7116699000001</v>
      </c>
      <c r="J687">
        <v>1378.3826904</v>
      </c>
      <c r="K687">
        <v>0</v>
      </c>
      <c r="L687">
        <v>2750</v>
      </c>
      <c r="M687">
        <v>2750</v>
      </c>
      <c r="N687">
        <v>0</v>
      </c>
    </row>
    <row r="688" spans="1:14" x14ac:dyDescent="0.25">
      <c r="A688">
        <v>309.379706</v>
      </c>
      <c r="B688" s="1">
        <f>DATE(2011,3,6) + TIME(9,6,46)</f>
        <v>40608.379699074074</v>
      </c>
      <c r="C688">
        <v>80</v>
      </c>
      <c r="D688">
        <v>62.563781738000003</v>
      </c>
      <c r="E688">
        <v>60</v>
      </c>
      <c r="F688">
        <v>59.945724487</v>
      </c>
      <c r="G688">
        <v>1282.2963867000001</v>
      </c>
      <c r="H688">
        <v>1263.6793213000001</v>
      </c>
      <c r="I688">
        <v>1397.6464844</v>
      </c>
      <c r="J688">
        <v>1378.3217772999999</v>
      </c>
      <c r="K688">
        <v>0</v>
      </c>
      <c r="L688">
        <v>2750</v>
      </c>
      <c r="M688">
        <v>2750</v>
      </c>
      <c r="N688">
        <v>0</v>
      </c>
    </row>
    <row r="689" spans="1:14" x14ac:dyDescent="0.25">
      <c r="A689">
        <v>311.22103600000003</v>
      </c>
      <c r="B689" s="1">
        <f>DATE(2011,3,8) + TIME(5,18,17)</f>
        <v>40610.221030092594</v>
      </c>
      <c r="C689">
        <v>80</v>
      </c>
      <c r="D689">
        <v>62.230724334999998</v>
      </c>
      <c r="E689">
        <v>60</v>
      </c>
      <c r="F689">
        <v>59.945869446000003</v>
      </c>
      <c r="G689">
        <v>1281.9448242000001</v>
      </c>
      <c r="H689">
        <v>1263.1635742000001</v>
      </c>
      <c r="I689">
        <v>1397.5814209</v>
      </c>
      <c r="J689">
        <v>1378.2608643000001</v>
      </c>
      <c r="K689">
        <v>0</v>
      </c>
      <c r="L689">
        <v>2750</v>
      </c>
      <c r="M689">
        <v>2750</v>
      </c>
      <c r="N689">
        <v>0</v>
      </c>
    </row>
    <row r="690" spans="1:14" x14ac:dyDescent="0.25">
      <c r="A690">
        <v>313.09237100000001</v>
      </c>
      <c r="B690" s="1">
        <f>DATE(2011,3,10) + TIME(2,13,0)</f>
        <v>40612.092361111114</v>
      </c>
      <c r="C690">
        <v>80</v>
      </c>
      <c r="D690">
        <v>61.884086609000001</v>
      </c>
      <c r="E690">
        <v>60</v>
      </c>
      <c r="F690">
        <v>59.946014404000003</v>
      </c>
      <c r="G690">
        <v>1281.5852050999999</v>
      </c>
      <c r="H690">
        <v>1262.6339111</v>
      </c>
      <c r="I690">
        <v>1397.5161132999999</v>
      </c>
      <c r="J690">
        <v>1378.199707</v>
      </c>
      <c r="K690">
        <v>0</v>
      </c>
      <c r="L690">
        <v>2750</v>
      </c>
      <c r="M690">
        <v>2750</v>
      </c>
      <c r="N690">
        <v>0</v>
      </c>
    </row>
    <row r="691" spans="1:14" x14ac:dyDescent="0.25">
      <c r="A691">
        <v>314.97990800000002</v>
      </c>
      <c r="B691" s="1">
        <f>DATE(2011,3,11) + TIME(23,31,4)</f>
        <v>40613.979907407411</v>
      </c>
      <c r="C691">
        <v>80</v>
      </c>
      <c r="D691">
        <v>61.524501801</v>
      </c>
      <c r="E691">
        <v>60</v>
      </c>
      <c r="F691">
        <v>59.946159363</v>
      </c>
      <c r="G691">
        <v>1281.2175293</v>
      </c>
      <c r="H691">
        <v>1262.0904541</v>
      </c>
      <c r="I691">
        <v>1397.4505615</v>
      </c>
      <c r="J691">
        <v>1378.1383057</v>
      </c>
      <c r="K691">
        <v>0</v>
      </c>
      <c r="L691">
        <v>2750</v>
      </c>
      <c r="M691">
        <v>2750</v>
      </c>
      <c r="N691">
        <v>0</v>
      </c>
    </row>
    <row r="692" spans="1:14" x14ac:dyDescent="0.25">
      <c r="A692">
        <v>316.87503500000003</v>
      </c>
      <c r="B692" s="1">
        <f>DATE(2011,3,13) + TIME(21,0,3)</f>
        <v>40615.875034722223</v>
      </c>
      <c r="C692">
        <v>80</v>
      </c>
      <c r="D692">
        <v>61.153804778999998</v>
      </c>
      <c r="E692">
        <v>60</v>
      </c>
      <c r="F692">
        <v>59.946308135999999</v>
      </c>
      <c r="G692">
        <v>1280.8443603999999</v>
      </c>
      <c r="H692">
        <v>1261.5367432</v>
      </c>
      <c r="I692">
        <v>1397.3850098</v>
      </c>
      <c r="J692">
        <v>1378.0769043</v>
      </c>
      <c r="K692">
        <v>0</v>
      </c>
      <c r="L692">
        <v>2750</v>
      </c>
      <c r="M692">
        <v>2750</v>
      </c>
      <c r="N692">
        <v>0</v>
      </c>
    </row>
    <row r="693" spans="1:14" x14ac:dyDescent="0.25">
      <c r="A693">
        <v>318.78397000000001</v>
      </c>
      <c r="B693" s="1">
        <f>DATE(2011,3,15) + TIME(18,48,55)</f>
        <v>40617.78396990741</v>
      </c>
      <c r="C693">
        <v>80</v>
      </c>
      <c r="D693">
        <v>60.773033142000003</v>
      </c>
      <c r="E693">
        <v>60</v>
      </c>
      <c r="F693">
        <v>59.946453093999999</v>
      </c>
      <c r="G693">
        <v>1280.4675293</v>
      </c>
      <c r="H693">
        <v>1260.9750977000001</v>
      </c>
      <c r="I693">
        <v>1397.3198242000001</v>
      </c>
      <c r="J693">
        <v>1378.0157471</v>
      </c>
      <c r="K693">
        <v>0</v>
      </c>
      <c r="L693">
        <v>2750</v>
      </c>
      <c r="M693">
        <v>2750</v>
      </c>
      <c r="N693">
        <v>0</v>
      </c>
    </row>
    <row r="694" spans="1:14" x14ac:dyDescent="0.25">
      <c r="A694">
        <v>320.71367500000002</v>
      </c>
      <c r="B694" s="1">
        <f>DATE(2011,3,17) + TIME(17,7,41)</f>
        <v>40619.71366898148</v>
      </c>
      <c r="C694">
        <v>80</v>
      </c>
      <c r="D694">
        <v>60.381423949999999</v>
      </c>
      <c r="E694">
        <v>60</v>
      </c>
      <c r="F694">
        <v>59.946601868000002</v>
      </c>
      <c r="G694">
        <v>1280.0864257999999</v>
      </c>
      <c r="H694">
        <v>1260.4049072</v>
      </c>
      <c r="I694">
        <v>1397.2547606999999</v>
      </c>
      <c r="J694">
        <v>1377.9548339999999</v>
      </c>
      <c r="K694">
        <v>0</v>
      </c>
      <c r="L694">
        <v>2750</v>
      </c>
      <c r="M694">
        <v>2750</v>
      </c>
      <c r="N694">
        <v>0</v>
      </c>
    </row>
    <row r="695" spans="1:14" x14ac:dyDescent="0.25">
      <c r="A695">
        <v>322.66457400000002</v>
      </c>
      <c r="B695" s="1">
        <f>DATE(2011,3,19) + TIME(15,56,59)</f>
        <v>40621.664571759262</v>
      </c>
      <c r="C695">
        <v>80</v>
      </c>
      <c r="D695">
        <v>59.978111267000003</v>
      </c>
      <c r="E695">
        <v>60</v>
      </c>
      <c r="F695">
        <v>59.946750641000001</v>
      </c>
      <c r="G695">
        <v>1279.7000731999999</v>
      </c>
      <c r="H695">
        <v>1259.824707</v>
      </c>
      <c r="I695">
        <v>1397.1895752</v>
      </c>
      <c r="J695">
        <v>1377.8936768000001</v>
      </c>
      <c r="K695">
        <v>0</v>
      </c>
      <c r="L695">
        <v>2750</v>
      </c>
      <c r="M695">
        <v>2750</v>
      </c>
      <c r="N695">
        <v>0</v>
      </c>
    </row>
    <row r="696" spans="1:14" x14ac:dyDescent="0.25">
      <c r="A696">
        <v>324.63566500000002</v>
      </c>
      <c r="B696" s="1">
        <f>DATE(2011,3,21) + TIME(15,15,21)</f>
        <v>40623.635659722226</v>
      </c>
      <c r="C696">
        <v>80</v>
      </c>
      <c r="D696">
        <v>59.562591552999997</v>
      </c>
      <c r="E696">
        <v>60</v>
      </c>
      <c r="F696">
        <v>59.946899414000001</v>
      </c>
      <c r="G696">
        <v>1279.3087158000001</v>
      </c>
      <c r="H696">
        <v>1259.2344971</v>
      </c>
      <c r="I696">
        <v>1397.1241454999999</v>
      </c>
      <c r="J696">
        <v>1377.8322754000001</v>
      </c>
      <c r="K696">
        <v>0</v>
      </c>
      <c r="L696">
        <v>2750</v>
      </c>
      <c r="M696">
        <v>2750</v>
      </c>
      <c r="N696">
        <v>0</v>
      </c>
    </row>
    <row r="697" spans="1:14" x14ac:dyDescent="0.25">
      <c r="A697">
        <v>326.63355999999999</v>
      </c>
      <c r="B697" s="1">
        <f>DATE(2011,3,23) + TIME(15,12,19)</f>
        <v>40625.633553240739</v>
      </c>
      <c r="C697">
        <v>80</v>
      </c>
      <c r="D697">
        <v>59.135025024000001</v>
      </c>
      <c r="E697">
        <v>60</v>
      </c>
      <c r="F697">
        <v>59.947052002</v>
      </c>
      <c r="G697">
        <v>1278.9125977000001</v>
      </c>
      <c r="H697">
        <v>1258.6346435999999</v>
      </c>
      <c r="I697">
        <v>1397.0587158000001</v>
      </c>
      <c r="J697">
        <v>1377.7707519999999</v>
      </c>
      <c r="K697">
        <v>0</v>
      </c>
      <c r="L697">
        <v>2750</v>
      </c>
      <c r="M697">
        <v>2750</v>
      </c>
      <c r="N697">
        <v>0</v>
      </c>
    </row>
    <row r="698" spans="1:14" x14ac:dyDescent="0.25">
      <c r="A698">
        <v>328.66153600000001</v>
      </c>
      <c r="B698" s="1">
        <f>DATE(2011,3,25) + TIME(15,52,36)</f>
        <v>40627.661527777775</v>
      </c>
      <c r="C698">
        <v>80</v>
      </c>
      <c r="D698">
        <v>58.69468689</v>
      </c>
      <c r="E698">
        <v>60</v>
      </c>
      <c r="F698">
        <v>59.947204589999998</v>
      </c>
      <c r="G698">
        <v>1278.5108643000001</v>
      </c>
      <c r="H698">
        <v>1258.0239257999999</v>
      </c>
      <c r="I698">
        <v>1396.9927978999999</v>
      </c>
      <c r="J698">
        <v>1377.7088623</v>
      </c>
      <c r="K698">
        <v>0</v>
      </c>
      <c r="L698">
        <v>2750</v>
      </c>
      <c r="M698">
        <v>2750</v>
      </c>
      <c r="N698">
        <v>0</v>
      </c>
    </row>
    <row r="699" spans="1:14" x14ac:dyDescent="0.25">
      <c r="A699">
        <v>330.71506099999999</v>
      </c>
      <c r="B699" s="1">
        <f>DATE(2011,3,27) + TIME(17,9,41)</f>
        <v>40629.715057870373</v>
      </c>
      <c r="C699">
        <v>80</v>
      </c>
      <c r="D699">
        <v>58.241573334000002</v>
      </c>
      <c r="E699">
        <v>60</v>
      </c>
      <c r="F699">
        <v>59.947357177999997</v>
      </c>
      <c r="G699">
        <v>1278.1032714999999</v>
      </c>
      <c r="H699">
        <v>1257.4019774999999</v>
      </c>
      <c r="I699">
        <v>1396.9263916</v>
      </c>
      <c r="J699">
        <v>1377.6464844</v>
      </c>
      <c r="K699">
        <v>0</v>
      </c>
      <c r="L699">
        <v>2750</v>
      </c>
      <c r="M699">
        <v>2750</v>
      </c>
      <c r="N699">
        <v>0</v>
      </c>
    </row>
    <row r="700" spans="1:14" x14ac:dyDescent="0.25">
      <c r="A700">
        <v>332.77832000000001</v>
      </c>
      <c r="B700" s="1">
        <f>DATE(2011,3,29) + TIME(18,40,46)</f>
        <v>40631.778310185182</v>
      </c>
      <c r="C700">
        <v>80</v>
      </c>
      <c r="D700">
        <v>57.777133941999999</v>
      </c>
      <c r="E700">
        <v>60</v>
      </c>
      <c r="F700">
        <v>59.947509766000003</v>
      </c>
      <c r="G700">
        <v>1277.6911620999999</v>
      </c>
      <c r="H700">
        <v>1256.7706298999999</v>
      </c>
      <c r="I700">
        <v>1396.8596190999999</v>
      </c>
      <c r="J700">
        <v>1377.5836182</v>
      </c>
      <c r="K700">
        <v>0</v>
      </c>
      <c r="L700">
        <v>2750</v>
      </c>
      <c r="M700">
        <v>2750</v>
      </c>
      <c r="N700">
        <v>0</v>
      </c>
    </row>
    <row r="701" spans="1:14" x14ac:dyDescent="0.25">
      <c r="A701">
        <v>334.858341</v>
      </c>
      <c r="B701" s="1">
        <f>DATE(2011,3,31) + TIME(20,36,0)</f>
        <v>40633.85833333333</v>
      </c>
      <c r="C701">
        <v>80</v>
      </c>
      <c r="D701">
        <v>57.303524017000001</v>
      </c>
      <c r="E701">
        <v>60</v>
      </c>
      <c r="F701">
        <v>59.947662354000002</v>
      </c>
      <c r="G701">
        <v>1277.2777100000001</v>
      </c>
      <c r="H701">
        <v>1256.1342772999999</v>
      </c>
      <c r="I701">
        <v>1396.7930908000001</v>
      </c>
      <c r="J701">
        <v>1377.5209961</v>
      </c>
      <c r="K701">
        <v>0</v>
      </c>
      <c r="L701">
        <v>2750</v>
      </c>
      <c r="M701">
        <v>2750</v>
      </c>
      <c r="N701">
        <v>0</v>
      </c>
    </row>
    <row r="702" spans="1:14" x14ac:dyDescent="0.25">
      <c r="A702">
        <v>335</v>
      </c>
      <c r="B702" s="1">
        <f>DATE(2011,4,1) + TIME(0,0,0)</f>
        <v>40634</v>
      </c>
      <c r="C702">
        <v>80</v>
      </c>
      <c r="D702">
        <v>57.192276001000003</v>
      </c>
      <c r="E702">
        <v>60</v>
      </c>
      <c r="F702">
        <v>59.947666167999998</v>
      </c>
      <c r="G702">
        <v>1276.8897704999999</v>
      </c>
      <c r="H702">
        <v>1255.6638184000001</v>
      </c>
      <c r="I702">
        <v>1396.7286377</v>
      </c>
      <c r="J702">
        <v>1377.4604492000001</v>
      </c>
      <c r="K702">
        <v>0</v>
      </c>
      <c r="L702">
        <v>2750</v>
      </c>
      <c r="M702">
        <v>2750</v>
      </c>
      <c r="N702">
        <v>0</v>
      </c>
    </row>
    <row r="703" spans="1:14" x14ac:dyDescent="0.25">
      <c r="A703">
        <v>337.103813</v>
      </c>
      <c r="B703" s="1">
        <f>DATE(2011,4,3) + TIME(2,29,29)</f>
        <v>40636.103807870371</v>
      </c>
      <c r="C703">
        <v>80</v>
      </c>
      <c r="D703">
        <v>56.768394469999997</v>
      </c>
      <c r="E703">
        <v>60</v>
      </c>
      <c r="F703">
        <v>59.947826384999999</v>
      </c>
      <c r="G703">
        <v>1276.8267822</v>
      </c>
      <c r="H703">
        <v>1255.4291992000001</v>
      </c>
      <c r="I703">
        <v>1396.7214355000001</v>
      </c>
      <c r="J703">
        <v>1377.4534911999999</v>
      </c>
      <c r="K703">
        <v>0</v>
      </c>
      <c r="L703">
        <v>2750</v>
      </c>
      <c r="M703">
        <v>2750</v>
      </c>
      <c r="N703">
        <v>0</v>
      </c>
    </row>
    <row r="704" spans="1:14" x14ac:dyDescent="0.25">
      <c r="A704">
        <v>339.22173199999997</v>
      </c>
      <c r="B704" s="1">
        <f>DATE(2011,4,5) + TIME(5,19,17)</f>
        <v>40638.221724537034</v>
      </c>
      <c r="C704">
        <v>80</v>
      </c>
      <c r="D704">
        <v>56.290229797000002</v>
      </c>
      <c r="E704">
        <v>60</v>
      </c>
      <c r="F704">
        <v>59.947978972999998</v>
      </c>
      <c r="G704">
        <v>1276.4147949000001</v>
      </c>
      <c r="H704">
        <v>1254.7954102000001</v>
      </c>
      <c r="I704">
        <v>1396.6546631000001</v>
      </c>
      <c r="J704">
        <v>1377.3905029</v>
      </c>
      <c r="K704">
        <v>0</v>
      </c>
      <c r="L704">
        <v>2750</v>
      </c>
      <c r="M704">
        <v>2750</v>
      </c>
      <c r="N704">
        <v>0</v>
      </c>
    </row>
    <row r="705" spans="1:14" x14ac:dyDescent="0.25">
      <c r="A705">
        <v>341.35999600000002</v>
      </c>
      <c r="B705" s="1">
        <f>DATE(2011,4,7) + TIME(8,38,23)</f>
        <v>40640.359988425924</v>
      </c>
      <c r="C705">
        <v>80</v>
      </c>
      <c r="D705">
        <v>55.79328537</v>
      </c>
      <c r="E705">
        <v>60</v>
      </c>
      <c r="F705">
        <v>59.948135376000003</v>
      </c>
      <c r="G705">
        <v>1275.9980469</v>
      </c>
      <c r="H705">
        <v>1254.1468506000001</v>
      </c>
      <c r="I705">
        <v>1396.5874022999999</v>
      </c>
      <c r="J705">
        <v>1377.3270264</v>
      </c>
      <c r="K705">
        <v>0</v>
      </c>
      <c r="L705">
        <v>2750</v>
      </c>
      <c r="M705">
        <v>2750</v>
      </c>
      <c r="N705">
        <v>0</v>
      </c>
    </row>
    <row r="706" spans="1:14" x14ac:dyDescent="0.25">
      <c r="A706">
        <v>343.52485999999999</v>
      </c>
      <c r="B706" s="1">
        <f>DATE(2011,4,9) + TIME(12,35,47)</f>
        <v>40642.52484953704</v>
      </c>
      <c r="C706">
        <v>80</v>
      </c>
      <c r="D706">
        <v>55.285686493</v>
      </c>
      <c r="E706">
        <v>60</v>
      </c>
      <c r="F706">
        <v>59.948291779000002</v>
      </c>
      <c r="G706">
        <v>1275.5792236</v>
      </c>
      <c r="H706">
        <v>1253.4912108999999</v>
      </c>
      <c r="I706">
        <v>1396.5198975000001</v>
      </c>
      <c r="J706">
        <v>1377.2633057</v>
      </c>
      <c r="K706">
        <v>0</v>
      </c>
      <c r="L706">
        <v>2750</v>
      </c>
      <c r="M706">
        <v>2750</v>
      </c>
      <c r="N706">
        <v>0</v>
      </c>
    </row>
    <row r="707" spans="1:14" x14ac:dyDescent="0.25">
      <c r="A707">
        <v>345.72498200000001</v>
      </c>
      <c r="B707" s="1">
        <f>DATE(2011,4,11) + TIME(17,23,58)</f>
        <v>40644.724976851852</v>
      </c>
      <c r="C707">
        <v>80</v>
      </c>
      <c r="D707">
        <v>54.768760681000003</v>
      </c>
      <c r="E707">
        <v>60</v>
      </c>
      <c r="F707">
        <v>59.948448181000003</v>
      </c>
      <c r="G707">
        <v>1275.1588135</v>
      </c>
      <c r="H707">
        <v>1252.8297118999999</v>
      </c>
      <c r="I707">
        <v>1396.4519043</v>
      </c>
      <c r="J707">
        <v>1377.1990966999999</v>
      </c>
      <c r="K707">
        <v>0</v>
      </c>
      <c r="L707">
        <v>2750</v>
      </c>
      <c r="M707">
        <v>2750</v>
      </c>
      <c r="N707">
        <v>0</v>
      </c>
    </row>
    <row r="708" spans="1:14" x14ac:dyDescent="0.25">
      <c r="A708">
        <v>347.95052199999998</v>
      </c>
      <c r="B708" s="1">
        <f>DATE(2011,4,13) + TIME(22,48,45)</f>
        <v>40646.950520833336</v>
      </c>
      <c r="C708">
        <v>80</v>
      </c>
      <c r="D708">
        <v>54.242927551000001</v>
      </c>
      <c r="E708">
        <v>60</v>
      </c>
      <c r="F708">
        <v>59.948604584000002</v>
      </c>
      <c r="G708">
        <v>1274.7358397999999</v>
      </c>
      <c r="H708">
        <v>1252.1618652</v>
      </c>
      <c r="I708">
        <v>1396.3830565999999</v>
      </c>
      <c r="J708">
        <v>1377.1340332</v>
      </c>
      <c r="K708">
        <v>0</v>
      </c>
      <c r="L708">
        <v>2750</v>
      </c>
      <c r="M708">
        <v>2750</v>
      </c>
      <c r="N708">
        <v>0</v>
      </c>
    </row>
    <row r="709" spans="1:14" x14ac:dyDescent="0.25">
      <c r="A709">
        <v>349.06809900000002</v>
      </c>
      <c r="B709" s="1">
        <f>DATE(2011,4,15) + TIME(1,38,3)</f>
        <v>40648.068090277775</v>
      </c>
      <c r="C709">
        <v>80</v>
      </c>
      <c r="D709">
        <v>53.809898376</v>
      </c>
      <c r="E709">
        <v>60</v>
      </c>
      <c r="F709">
        <v>59.948680877999998</v>
      </c>
      <c r="G709">
        <v>1274.3186035000001</v>
      </c>
      <c r="H709">
        <v>1251.5379639</v>
      </c>
      <c r="I709">
        <v>1396.3132324000001</v>
      </c>
      <c r="J709">
        <v>1377.0679932</v>
      </c>
      <c r="K709">
        <v>0</v>
      </c>
      <c r="L709">
        <v>2750</v>
      </c>
      <c r="M709">
        <v>2750</v>
      </c>
      <c r="N709">
        <v>0</v>
      </c>
    </row>
    <row r="710" spans="1:14" x14ac:dyDescent="0.25">
      <c r="A710">
        <v>350.96460300000001</v>
      </c>
      <c r="B710" s="1">
        <f>DATE(2011,4,16) + TIME(23,9,1)</f>
        <v>40649.964594907404</v>
      </c>
      <c r="C710">
        <v>80</v>
      </c>
      <c r="D710">
        <v>53.421722412000001</v>
      </c>
      <c r="E710">
        <v>60</v>
      </c>
      <c r="F710">
        <v>59.948814392000003</v>
      </c>
      <c r="G710">
        <v>1274.0911865</v>
      </c>
      <c r="H710">
        <v>1251.1281738</v>
      </c>
      <c r="I710">
        <v>1396.2786865</v>
      </c>
      <c r="J710">
        <v>1377.0352783000001</v>
      </c>
      <c r="K710">
        <v>0</v>
      </c>
      <c r="L710">
        <v>2750</v>
      </c>
      <c r="M710">
        <v>2750</v>
      </c>
      <c r="N710">
        <v>0</v>
      </c>
    </row>
    <row r="711" spans="1:14" x14ac:dyDescent="0.25">
      <c r="A711">
        <v>353.18993699999999</v>
      </c>
      <c r="B711" s="1">
        <f>DATE(2011,4,19) + TIME(4,33,30)</f>
        <v>40652.189930555556</v>
      </c>
      <c r="C711">
        <v>80</v>
      </c>
      <c r="D711">
        <v>52.968349457000002</v>
      </c>
      <c r="E711">
        <v>60</v>
      </c>
      <c r="F711">
        <v>59.948974608999997</v>
      </c>
      <c r="G711">
        <v>1273.7420654</v>
      </c>
      <c r="H711">
        <v>1250.5709228999999</v>
      </c>
      <c r="I711">
        <v>1396.2202147999999</v>
      </c>
      <c r="J711">
        <v>1376.9799805</v>
      </c>
      <c r="K711">
        <v>0</v>
      </c>
      <c r="L711">
        <v>2750</v>
      </c>
      <c r="M711">
        <v>2750</v>
      </c>
      <c r="N711">
        <v>0</v>
      </c>
    </row>
    <row r="712" spans="1:14" x14ac:dyDescent="0.25">
      <c r="A712">
        <v>355.42704199999997</v>
      </c>
      <c r="B712" s="1">
        <f>DATE(2011,4,21) + TIME(10,14,56)</f>
        <v>40654.427037037036</v>
      </c>
      <c r="C712">
        <v>80</v>
      </c>
      <c r="D712">
        <v>52.456207274999997</v>
      </c>
      <c r="E712">
        <v>60</v>
      </c>
      <c r="F712">
        <v>59.949127197000003</v>
      </c>
      <c r="G712">
        <v>1273.3389893000001</v>
      </c>
      <c r="H712">
        <v>1249.932251</v>
      </c>
      <c r="I712">
        <v>1396.1516113</v>
      </c>
      <c r="J712">
        <v>1376.9149170000001</v>
      </c>
      <c r="K712">
        <v>0</v>
      </c>
      <c r="L712">
        <v>2750</v>
      </c>
      <c r="M712">
        <v>2750</v>
      </c>
      <c r="N712">
        <v>0</v>
      </c>
    </row>
    <row r="713" spans="1:14" x14ac:dyDescent="0.25">
      <c r="A713">
        <v>357.68370900000002</v>
      </c>
      <c r="B713" s="1">
        <f>DATE(2011,4,23) + TIME(16,24,32)</f>
        <v>40656.683703703704</v>
      </c>
      <c r="C713">
        <v>80</v>
      </c>
      <c r="D713">
        <v>51.930709839000002</v>
      </c>
      <c r="E713">
        <v>60</v>
      </c>
      <c r="F713">
        <v>59.949283600000001</v>
      </c>
      <c r="G713">
        <v>1272.9360352000001</v>
      </c>
      <c r="H713">
        <v>1249.2850341999999</v>
      </c>
      <c r="I713">
        <v>1396.0828856999999</v>
      </c>
      <c r="J713">
        <v>1376.8497314000001</v>
      </c>
      <c r="K713">
        <v>0</v>
      </c>
      <c r="L713">
        <v>2750</v>
      </c>
      <c r="M713">
        <v>2750</v>
      </c>
      <c r="N713">
        <v>0</v>
      </c>
    </row>
    <row r="714" spans="1:14" x14ac:dyDescent="0.25">
      <c r="A714">
        <v>359.959273</v>
      </c>
      <c r="B714" s="1">
        <f>DATE(2011,4,25) + TIME(23,1,21)</f>
        <v>40658.959270833337</v>
      </c>
      <c r="C714">
        <v>80</v>
      </c>
      <c r="D714">
        <v>51.402088165000002</v>
      </c>
      <c r="E714">
        <v>60</v>
      </c>
      <c r="F714">
        <v>59.949440002000003</v>
      </c>
      <c r="G714">
        <v>1272.5357666</v>
      </c>
      <c r="H714">
        <v>1248.6386719</v>
      </c>
      <c r="I714">
        <v>1396.0137939000001</v>
      </c>
      <c r="J714">
        <v>1376.7841797000001</v>
      </c>
      <c r="K714">
        <v>0</v>
      </c>
      <c r="L714">
        <v>2750</v>
      </c>
      <c r="M714">
        <v>2750</v>
      </c>
      <c r="N714">
        <v>0</v>
      </c>
    </row>
    <row r="715" spans="1:14" x14ac:dyDescent="0.25">
      <c r="A715">
        <v>362.269409</v>
      </c>
      <c r="B715" s="1">
        <f>DATE(2011,4,28) + TIME(6,27,56)</f>
        <v>40661.26939814815</v>
      </c>
      <c r="C715">
        <v>80</v>
      </c>
      <c r="D715">
        <v>50.872707366999997</v>
      </c>
      <c r="E715">
        <v>60</v>
      </c>
      <c r="F715">
        <v>59.949596405000001</v>
      </c>
      <c r="G715">
        <v>1272.1397704999999</v>
      </c>
      <c r="H715">
        <v>1247.9960937999999</v>
      </c>
      <c r="I715">
        <v>1395.9444579999999</v>
      </c>
      <c r="J715">
        <v>1376.7182617000001</v>
      </c>
      <c r="K715">
        <v>0</v>
      </c>
      <c r="L715">
        <v>2750</v>
      </c>
      <c r="M715">
        <v>2750</v>
      </c>
      <c r="N715">
        <v>0</v>
      </c>
    </row>
    <row r="716" spans="1:14" x14ac:dyDescent="0.25">
      <c r="A716">
        <v>364.61721799999998</v>
      </c>
      <c r="B716" s="1">
        <f>DATE(2011,4,30) + TIME(14,48,47)</f>
        <v>40663.617210648146</v>
      </c>
      <c r="C716">
        <v>80</v>
      </c>
      <c r="D716">
        <v>50.341888427999997</v>
      </c>
      <c r="E716">
        <v>60</v>
      </c>
      <c r="F716">
        <v>59.949756622000002</v>
      </c>
      <c r="G716">
        <v>1271.746582</v>
      </c>
      <c r="H716">
        <v>1247.3554687999999</v>
      </c>
      <c r="I716">
        <v>1395.8742675999999</v>
      </c>
      <c r="J716">
        <v>1376.6516113</v>
      </c>
      <c r="K716">
        <v>0</v>
      </c>
      <c r="L716">
        <v>2750</v>
      </c>
      <c r="M716">
        <v>2750</v>
      </c>
      <c r="N716">
        <v>0</v>
      </c>
    </row>
    <row r="717" spans="1:14" x14ac:dyDescent="0.25">
      <c r="A717">
        <v>365</v>
      </c>
      <c r="B717" s="1">
        <f>DATE(2011,5,1) + TIME(0,0,0)</f>
        <v>40664</v>
      </c>
      <c r="C717">
        <v>80</v>
      </c>
      <c r="D717">
        <v>50.091449738000001</v>
      </c>
      <c r="E717">
        <v>60</v>
      </c>
      <c r="F717">
        <v>59.949775696000003</v>
      </c>
      <c r="G717">
        <v>1271.3643798999999</v>
      </c>
      <c r="H717">
        <v>1246.8486327999999</v>
      </c>
      <c r="I717">
        <v>1395.8038329999999</v>
      </c>
      <c r="J717">
        <v>1376.5847168</v>
      </c>
      <c r="K717">
        <v>0</v>
      </c>
      <c r="L717">
        <v>2750</v>
      </c>
      <c r="M717">
        <v>2750</v>
      </c>
      <c r="N717">
        <v>0</v>
      </c>
    </row>
    <row r="718" spans="1:14" x14ac:dyDescent="0.25">
      <c r="A718">
        <v>365.000001</v>
      </c>
      <c r="B718" s="1">
        <f>DATE(2011,5,1) + TIME(0,0,0)</f>
        <v>40664</v>
      </c>
      <c r="C718">
        <v>80</v>
      </c>
      <c r="D718">
        <v>50.091640472000002</v>
      </c>
      <c r="E718">
        <v>60</v>
      </c>
      <c r="F718">
        <v>59.949642181000002</v>
      </c>
      <c r="G718">
        <v>1297.6254882999999</v>
      </c>
      <c r="H718">
        <v>1272.5021973</v>
      </c>
      <c r="I718">
        <v>1375.5837402</v>
      </c>
      <c r="J718">
        <v>1357.1125488</v>
      </c>
      <c r="K718">
        <v>2750</v>
      </c>
      <c r="L718">
        <v>0</v>
      </c>
      <c r="M718">
        <v>0</v>
      </c>
      <c r="N718">
        <v>2750</v>
      </c>
    </row>
    <row r="719" spans="1:14" x14ac:dyDescent="0.25">
      <c r="A719">
        <v>365.00000399999999</v>
      </c>
      <c r="B719" s="1">
        <f>DATE(2011,5,1) + TIME(0,0,0)</f>
        <v>40664</v>
      </c>
      <c r="C719">
        <v>80</v>
      </c>
      <c r="D719">
        <v>50.092159271</v>
      </c>
      <c r="E719">
        <v>60</v>
      </c>
      <c r="F719">
        <v>59.949298859000002</v>
      </c>
      <c r="G719">
        <v>1300.3828125</v>
      </c>
      <c r="H719">
        <v>1275.5230713000001</v>
      </c>
      <c r="I719">
        <v>1372.9611815999999</v>
      </c>
      <c r="J719">
        <v>1354.4888916</v>
      </c>
      <c r="K719">
        <v>2750</v>
      </c>
      <c r="L719">
        <v>0</v>
      </c>
      <c r="M719">
        <v>0</v>
      </c>
      <c r="N719">
        <v>2750</v>
      </c>
    </row>
    <row r="720" spans="1:14" x14ac:dyDescent="0.25">
      <c r="A720">
        <v>365.00001300000002</v>
      </c>
      <c r="B720" s="1">
        <f>DATE(2011,5,1) + TIME(0,0,1)</f>
        <v>40664.000011574077</v>
      </c>
      <c r="C720">
        <v>80</v>
      </c>
      <c r="D720">
        <v>50.093414307000003</v>
      </c>
      <c r="E720">
        <v>60</v>
      </c>
      <c r="F720">
        <v>59.948551178000002</v>
      </c>
      <c r="G720">
        <v>1306.7082519999999</v>
      </c>
      <c r="H720">
        <v>1282.2487793</v>
      </c>
      <c r="I720">
        <v>1367.2874756000001</v>
      </c>
      <c r="J720">
        <v>1348.8135986</v>
      </c>
      <c r="K720">
        <v>2750</v>
      </c>
      <c r="L720">
        <v>0</v>
      </c>
      <c r="M720">
        <v>0</v>
      </c>
      <c r="N720">
        <v>2750</v>
      </c>
    </row>
    <row r="721" spans="1:14" x14ac:dyDescent="0.25">
      <c r="A721">
        <v>365.00004000000001</v>
      </c>
      <c r="B721" s="1">
        <f>DATE(2011,5,1) + TIME(0,0,3)</f>
        <v>40664.000034722223</v>
      </c>
      <c r="C721">
        <v>80</v>
      </c>
      <c r="D721">
        <v>50.096046448000003</v>
      </c>
      <c r="E721">
        <v>60</v>
      </c>
      <c r="F721">
        <v>59.947357177999997</v>
      </c>
      <c r="G721">
        <v>1317.6595459</v>
      </c>
      <c r="H721">
        <v>1293.4362793</v>
      </c>
      <c r="I721">
        <v>1358.2593993999999</v>
      </c>
      <c r="J721">
        <v>1339.7883300999999</v>
      </c>
      <c r="K721">
        <v>2750</v>
      </c>
      <c r="L721">
        <v>0</v>
      </c>
      <c r="M721">
        <v>0</v>
      </c>
      <c r="N721">
        <v>2750</v>
      </c>
    </row>
    <row r="722" spans="1:14" x14ac:dyDescent="0.25">
      <c r="A722">
        <v>365.00012099999998</v>
      </c>
      <c r="B722" s="1">
        <f>DATE(2011,5,1) + TIME(0,0,10)</f>
        <v>40664.000115740739</v>
      </c>
      <c r="C722">
        <v>80</v>
      </c>
      <c r="D722">
        <v>50.101463318</v>
      </c>
      <c r="E722">
        <v>60</v>
      </c>
      <c r="F722">
        <v>59.945941925</v>
      </c>
      <c r="G722">
        <v>1331.4825439000001</v>
      </c>
      <c r="H722">
        <v>1307.1848144999999</v>
      </c>
      <c r="I722">
        <v>1347.6367187999999</v>
      </c>
      <c r="J722">
        <v>1329.1754149999999</v>
      </c>
      <c r="K722">
        <v>2750</v>
      </c>
      <c r="L722">
        <v>0</v>
      </c>
      <c r="M722">
        <v>0</v>
      </c>
      <c r="N722">
        <v>2750</v>
      </c>
    </row>
    <row r="723" spans="1:14" x14ac:dyDescent="0.25">
      <c r="A723">
        <v>365.00036399999999</v>
      </c>
      <c r="B723" s="1">
        <f>DATE(2011,5,1) + TIME(0,0,31)</f>
        <v>40664.000358796293</v>
      </c>
      <c r="C723">
        <v>80</v>
      </c>
      <c r="D723">
        <v>50.114387512</v>
      </c>
      <c r="E723">
        <v>60</v>
      </c>
      <c r="F723">
        <v>59.944454192999999</v>
      </c>
      <c r="G723">
        <v>1346.0314940999999</v>
      </c>
      <c r="H723">
        <v>1321.5900879000001</v>
      </c>
      <c r="I723">
        <v>1336.8153076000001</v>
      </c>
      <c r="J723">
        <v>1318.371582</v>
      </c>
      <c r="K723">
        <v>2750</v>
      </c>
      <c r="L723">
        <v>0</v>
      </c>
      <c r="M723">
        <v>0</v>
      </c>
      <c r="N723">
        <v>2750</v>
      </c>
    </row>
    <row r="724" spans="1:14" x14ac:dyDescent="0.25">
      <c r="A724">
        <v>365.00109300000003</v>
      </c>
      <c r="B724" s="1">
        <f>DATE(2011,5,1) + TIME(0,1,34)</f>
        <v>40664.001087962963</v>
      </c>
      <c r="C724">
        <v>80</v>
      </c>
      <c r="D724">
        <v>50.149745940999999</v>
      </c>
      <c r="E724">
        <v>60</v>
      </c>
      <c r="F724">
        <v>59.942836761000002</v>
      </c>
      <c r="G724">
        <v>1360.9864502</v>
      </c>
      <c r="H724">
        <v>1336.4125977000001</v>
      </c>
      <c r="I724">
        <v>1325.9692382999999</v>
      </c>
      <c r="J724">
        <v>1307.5449219</v>
      </c>
      <c r="K724">
        <v>2750</v>
      </c>
      <c r="L724">
        <v>0</v>
      </c>
      <c r="M724">
        <v>0</v>
      </c>
      <c r="N724">
        <v>2750</v>
      </c>
    </row>
    <row r="725" spans="1:14" x14ac:dyDescent="0.25">
      <c r="A725">
        <v>365.00328000000002</v>
      </c>
      <c r="B725" s="1">
        <f>DATE(2011,5,1) + TIME(0,4,43)</f>
        <v>40664.003275462965</v>
      </c>
      <c r="C725">
        <v>80</v>
      </c>
      <c r="D725">
        <v>50.252502440999997</v>
      </c>
      <c r="E725">
        <v>60</v>
      </c>
      <c r="F725">
        <v>59.94078064</v>
      </c>
      <c r="G725">
        <v>1376.7668457</v>
      </c>
      <c r="H725">
        <v>1352.0732422000001</v>
      </c>
      <c r="I725">
        <v>1314.7598877</v>
      </c>
      <c r="J725">
        <v>1296.3199463000001</v>
      </c>
      <c r="K725">
        <v>2750</v>
      </c>
      <c r="L725">
        <v>0</v>
      </c>
      <c r="M725">
        <v>0</v>
      </c>
      <c r="N725">
        <v>2750</v>
      </c>
    </row>
    <row r="726" spans="1:14" x14ac:dyDescent="0.25">
      <c r="A726">
        <v>365.00984099999999</v>
      </c>
      <c r="B726" s="1">
        <f>DATE(2011,5,1) + TIME(0,14,10)</f>
        <v>40664.009837962964</v>
      </c>
      <c r="C726">
        <v>80</v>
      </c>
      <c r="D726">
        <v>50.555694580000001</v>
      </c>
      <c r="E726">
        <v>60</v>
      </c>
      <c r="F726">
        <v>59.937492370999998</v>
      </c>
      <c r="G726">
        <v>1392.6621094</v>
      </c>
      <c r="H726">
        <v>1367.9345702999999</v>
      </c>
      <c r="I726">
        <v>1302.9626464999999</v>
      </c>
      <c r="J726">
        <v>1284.4655762</v>
      </c>
      <c r="K726">
        <v>2750</v>
      </c>
      <c r="L726">
        <v>0</v>
      </c>
      <c r="M726">
        <v>0</v>
      </c>
      <c r="N726">
        <v>2750</v>
      </c>
    </row>
    <row r="727" spans="1:14" x14ac:dyDescent="0.25">
      <c r="A727">
        <v>365.02885300000003</v>
      </c>
      <c r="B727" s="1">
        <f>DATE(2011,5,1) + TIME(0,41,32)</f>
        <v>40664.02884259259</v>
      </c>
      <c r="C727">
        <v>80</v>
      </c>
      <c r="D727">
        <v>51.408569335999999</v>
      </c>
      <c r="E727">
        <v>60</v>
      </c>
      <c r="F727">
        <v>59.931224823000001</v>
      </c>
      <c r="G727">
        <v>1405.1313477000001</v>
      </c>
      <c r="H727">
        <v>1380.6430664</v>
      </c>
      <c r="I727">
        <v>1293.0104980000001</v>
      </c>
      <c r="J727">
        <v>1274.4693603999999</v>
      </c>
      <c r="K727">
        <v>2750</v>
      </c>
      <c r="L727">
        <v>0</v>
      </c>
      <c r="M727">
        <v>0</v>
      </c>
      <c r="N727">
        <v>2750</v>
      </c>
    </row>
    <row r="728" spans="1:14" x14ac:dyDescent="0.25">
      <c r="A728">
        <v>365.04842300000001</v>
      </c>
      <c r="B728" s="1">
        <f>DATE(2011,5,1) + TIME(1,9,43)</f>
        <v>40664.048414351855</v>
      </c>
      <c r="C728">
        <v>80</v>
      </c>
      <c r="D728">
        <v>52.261478424000003</v>
      </c>
      <c r="E728">
        <v>60</v>
      </c>
      <c r="F728">
        <v>59.925662994</v>
      </c>
      <c r="G728">
        <v>1409.6545410000001</v>
      </c>
      <c r="H728">
        <v>1385.4532471</v>
      </c>
      <c r="I728">
        <v>1289.3930664</v>
      </c>
      <c r="J728">
        <v>1270.8386230000001</v>
      </c>
      <c r="K728">
        <v>2750</v>
      </c>
      <c r="L728">
        <v>0</v>
      </c>
      <c r="M728">
        <v>0</v>
      </c>
      <c r="N728">
        <v>2750</v>
      </c>
    </row>
    <row r="729" spans="1:14" x14ac:dyDescent="0.25">
      <c r="A729">
        <v>365.06843500000002</v>
      </c>
      <c r="B729" s="1">
        <f>DATE(2011,5,1) + TIME(1,38,32)</f>
        <v>40664.068425925929</v>
      </c>
      <c r="C729">
        <v>80</v>
      </c>
      <c r="D729">
        <v>53.108161926000001</v>
      </c>
      <c r="E729">
        <v>60</v>
      </c>
      <c r="F729">
        <v>59.920322417999998</v>
      </c>
      <c r="G729">
        <v>1411.4205322</v>
      </c>
      <c r="H729">
        <v>1387.5180664</v>
      </c>
      <c r="I729">
        <v>1288.0435791</v>
      </c>
      <c r="J729">
        <v>1269.4841309000001</v>
      </c>
      <c r="K729">
        <v>2750</v>
      </c>
      <c r="L729">
        <v>0</v>
      </c>
      <c r="M729">
        <v>0</v>
      </c>
      <c r="N729">
        <v>2750</v>
      </c>
    </row>
    <row r="730" spans="1:14" x14ac:dyDescent="0.25">
      <c r="A730">
        <v>365.08884999999998</v>
      </c>
      <c r="B730" s="1">
        <f>DATE(2011,5,1) + TIME(2,7,56)</f>
        <v>40664.088842592595</v>
      </c>
      <c r="C730">
        <v>80</v>
      </c>
      <c r="D730">
        <v>53.946056366000001</v>
      </c>
      <c r="E730">
        <v>60</v>
      </c>
      <c r="F730">
        <v>59.915035248000002</v>
      </c>
      <c r="G730">
        <v>1412.0541992000001</v>
      </c>
      <c r="H730">
        <v>1388.4467772999999</v>
      </c>
      <c r="I730">
        <v>1287.5760498</v>
      </c>
      <c r="J730">
        <v>1269.0144043</v>
      </c>
      <c r="K730">
        <v>2750</v>
      </c>
      <c r="L730">
        <v>0</v>
      </c>
      <c r="M730">
        <v>0</v>
      </c>
      <c r="N730">
        <v>2750</v>
      </c>
    </row>
    <row r="731" spans="1:14" x14ac:dyDescent="0.25">
      <c r="A731">
        <v>365.10965399999998</v>
      </c>
      <c r="B731" s="1">
        <f>DATE(2011,5,1) + TIME(2,37,54)</f>
        <v>40664.109652777777</v>
      </c>
      <c r="C731">
        <v>80</v>
      </c>
      <c r="D731">
        <v>54.773818970000001</v>
      </c>
      <c r="E731">
        <v>60</v>
      </c>
      <c r="F731">
        <v>59.909736633000001</v>
      </c>
      <c r="G731">
        <v>1412.1746826000001</v>
      </c>
      <c r="H731">
        <v>1388.8540039</v>
      </c>
      <c r="I731">
        <v>1287.4505615</v>
      </c>
      <c r="J731">
        <v>1268.8878173999999</v>
      </c>
      <c r="K731">
        <v>2750</v>
      </c>
      <c r="L731">
        <v>0</v>
      </c>
      <c r="M731">
        <v>0</v>
      </c>
      <c r="N731">
        <v>2750</v>
      </c>
    </row>
    <row r="732" spans="1:14" x14ac:dyDescent="0.25">
      <c r="A732">
        <v>365.13085899999999</v>
      </c>
      <c r="B732" s="1">
        <f>DATE(2011,5,1) + TIME(3,8,26)</f>
        <v>40664.130856481483</v>
      </c>
      <c r="C732">
        <v>80</v>
      </c>
      <c r="D732">
        <v>55.591228485000002</v>
      </c>
      <c r="E732">
        <v>60</v>
      </c>
      <c r="F732">
        <v>59.904399871999999</v>
      </c>
      <c r="G732">
        <v>1412.0495605000001</v>
      </c>
      <c r="H732">
        <v>1389.0062256000001</v>
      </c>
      <c r="I732">
        <v>1287.4484863</v>
      </c>
      <c r="J732">
        <v>1268.8848877</v>
      </c>
      <c r="K732">
        <v>2750</v>
      </c>
      <c r="L732">
        <v>0</v>
      </c>
      <c r="M732">
        <v>0</v>
      </c>
      <c r="N732">
        <v>2750</v>
      </c>
    </row>
    <row r="733" spans="1:14" x14ac:dyDescent="0.25">
      <c r="A733">
        <v>365.15248200000002</v>
      </c>
      <c r="B733" s="1">
        <f>DATE(2011,5,1) + TIME(3,39,34)</f>
        <v>40664.15247685185</v>
      </c>
      <c r="C733">
        <v>80</v>
      </c>
      <c r="D733">
        <v>56.398204802999999</v>
      </c>
      <c r="E733">
        <v>60</v>
      </c>
      <c r="F733">
        <v>59.899009704999997</v>
      </c>
      <c r="G733">
        <v>1411.8040771000001</v>
      </c>
      <c r="H733">
        <v>1389.0283202999999</v>
      </c>
      <c r="I733">
        <v>1287.4822998</v>
      </c>
      <c r="J733">
        <v>1268.9182129000001</v>
      </c>
      <c r="K733">
        <v>2750</v>
      </c>
      <c r="L733">
        <v>0</v>
      </c>
      <c r="M733">
        <v>0</v>
      </c>
      <c r="N733">
        <v>2750</v>
      </c>
    </row>
    <row r="734" spans="1:14" x14ac:dyDescent="0.25">
      <c r="A734">
        <v>365.17454199999997</v>
      </c>
      <c r="B734" s="1">
        <f>DATE(2011,5,1) + TIME(4,11,20)</f>
        <v>40664.174537037034</v>
      </c>
      <c r="C734">
        <v>80</v>
      </c>
      <c r="D734">
        <v>57.194721221999998</v>
      </c>
      <c r="E734">
        <v>60</v>
      </c>
      <c r="F734">
        <v>59.893554688000002</v>
      </c>
      <c r="G734">
        <v>1411.4997559000001</v>
      </c>
      <c r="H734">
        <v>1388.9819336</v>
      </c>
      <c r="I734">
        <v>1287.5196533000001</v>
      </c>
      <c r="J734">
        <v>1268.9550781</v>
      </c>
      <c r="K734">
        <v>2750</v>
      </c>
      <c r="L734">
        <v>0</v>
      </c>
      <c r="M734">
        <v>0</v>
      </c>
      <c r="N734">
        <v>2750</v>
      </c>
    </row>
    <row r="735" spans="1:14" x14ac:dyDescent="0.25">
      <c r="A735">
        <v>365.19706000000002</v>
      </c>
      <c r="B735" s="1">
        <f>DATE(2011,5,1) + TIME(4,43,46)</f>
        <v>40664.197060185186</v>
      </c>
      <c r="C735">
        <v>80</v>
      </c>
      <c r="D735">
        <v>57.980773925999998</v>
      </c>
      <c r="E735">
        <v>60</v>
      </c>
      <c r="F735">
        <v>59.888034820999998</v>
      </c>
      <c r="G735">
        <v>1411.1680908000001</v>
      </c>
      <c r="H735">
        <v>1388.8990478999999</v>
      </c>
      <c r="I735">
        <v>1287.5504149999999</v>
      </c>
      <c r="J735">
        <v>1268.9853516000001</v>
      </c>
      <c r="K735">
        <v>2750</v>
      </c>
      <c r="L735">
        <v>0</v>
      </c>
      <c r="M735">
        <v>0</v>
      </c>
      <c r="N735">
        <v>2750</v>
      </c>
    </row>
    <row r="736" spans="1:14" x14ac:dyDescent="0.25">
      <c r="A736">
        <v>365.22006099999999</v>
      </c>
      <c r="B736" s="1">
        <f>DATE(2011,5,1) + TIME(5,16,53)</f>
        <v>40664.220057870371</v>
      </c>
      <c r="C736">
        <v>80</v>
      </c>
      <c r="D736">
        <v>58.756351471000002</v>
      </c>
      <c r="E736">
        <v>60</v>
      </c>
      <c r="F736">
        <v>59.882446289000001</v>
      </c>
      <c r="G736">
        <v>1410.8259277</v>
      </c>
      <c r="H736">
        <v>1388.7966309000001</v>
      </c>
      <c r="I736">
        <v>1287.572876</v>
      </c>
      <c r="J736">
        <v>1269.0074463000001</v>
      </c>
      <c r="K736">
        <v>2750</v>
      </c>
      <c r="L736">
        <v>0</v>
      </c>
      <c r="M736">
        <v>0</v>
      </c>
      <c r="N736">
        <v>2750</v>
      </c>
    </row>
    <row r="737" spans="1:14" x14ac:dyDescent="0.25">
      <c r="A737">
        <v>365.24356699999998</v>
      </c>
      <c r="B737" s="1">
        <f>DATE(2011,5,1) + TIME(5,50,44)</f>
        <v>40664.243564814817</v>
      </c>
      <c r="C737">
        <v>80</v>
      </c>
      <c r="D737">
        <v>59.521442413000003</v>
      </c>
      <c r="E737">
        <v>60</v>
      </c>
      <c r="F737">
        <v>59.876785278</v>
      </c>
      <c r="G737">
        <v>1410.4825439000001</v>
      </c>
      <c r="H737">
        <v>1388.6844481999999</v>
      </c>
      <c r="I737">
        <v>1287.5883789</v>
      </c>
      <c r="J737">
        <v>1269.0224608999999</v>
      </c>
      <c r="K737">
        <v>2750</v>
      </c>
      <c r="L737">
        <v>0</v>
      </c>
      <c r="M737">
        <v>0</v>
      </c>
      <c r="N737">
        <v>2750</v>
      </c>
    </row>
    <row r="738" spans="1:14" x14ac:dyDescent="0.25">
      <c r="A738">
        <v>365.267605</v>
      </c>
      <c r="B738" s="1">
        <f>DATE(2011,5,1) + TIME(6,25,21)</f>
        <v>40664.267604166664</v>
      </c>
      <c r="C738">
        <v>80</v>
      </c>
      <c r="D738">
        <v>60.275753021</v>
      </c>
      <c r="E738">
        <v>60</v>
      </c>
      <c r="F738">
        <v>59.871044159</v>
      </c>
      <c r="G738">
        <v>1410.1428223</v>
      </c>
      <c r="H738">
        <v>1388.5676269999999</v>
      </c>
      <c r="I738">
        <v>1287.5986327999999</v>
      </c>
      <c r="J738">
        <v>1269.0322266000001</v>
      </c>
      <c r="K738">
        <v>2750</v>
      </c>
      <c r="L738">
        <v>0</v>
      </c>
      <c r="M738">
        <v>0</v>
      </c>
      <c r="N738">
        <v>2750</v>
      </c>
    </row>
    <row r="739" spans="1:14" x14ac:dyDescent="0.25">
      <c r="A739">
        <v>365.29220199999997</v>
      </c>
      <c r="B739" s="1">
        <f>DATE(2011,5,1) + TIME(7,0,46)</f>
        <v>40664.292199074072</v>
      </c>
      <c r="C739">
        <v>80</v>
      </c>
      <c r="D739">
        <v>61.019084929999998</v>
      </c>
      <c r="E739">
        <v>60</v>
      </c>
      <c r="F739">
        <v>59.865219115999999</v>
      </c>
      <c r="G739">
        <v>1409.8095702999999</v>
      </c>
      <c r="H739">
        <v>1388.4493408000001</v>
      </c>
      <c r="I739">
        <v>1287.6052245999999</v>
      </c>
      <c r="J739">
        <v>1269.0382079999999</v>
      </c>
      <c r="K739">
        <v>2750</v>
      </c>
      <c r="L739">
        <v>0</v>
      </c>
      <c r="M739">
        <v>0</v>
      </c>
      <c r="N739">
        <v>2750</v>
      </c>
    </row>
    <row r="740" spans="1:14" x14ac:dyDescent="0.25">
      <c r="A740">
        <v>365.31738999999999</v>
      </c>
      <c r="B740" s="1">
        <f>DATE(2011,5,1) + TIME(7,37,2)</f>
        <v>40664.317384259259</v>
      </c>
      <c r="C740">
        <v>80</v>
      </c>
      <c r="D740">
        <v>61.751819611000002</v>
      </c>
      <c r="E740">
        <v>60</v>
      </c>
      <c r="F740">
        <v>59.859306334999999</v>
      </c>
      <c r="G740">
        <v>1409.4841309000001</v>
      </c>
      <c r="H740">
        <v>1388.3314209</v>
      </c>
      <c r="I740">
        <v>1287.6092529</v>
      </c>
      <c r="J740">
        <v>1269.0417480000001</v>
      </c>
      <c r="K740">
        <v>2750</v>
      </c>
      <c r="L740">
        <v>0</v>
      </c>
      <c r="M740">
        <v>0</v>
      </c>
      <c r="N740">
        <v>2750</v>
      </c>
    </row>
    <row r="741" spans="1:14" x14ac:dyDescent="0.25">
      <c r="A741">
        <v>365.34320500000001</v>
      </c>
      <c r="B741" s="1">
        <f>DATE(2011,5,1) + TIME(8,14,12)</f>
        <v>40664.343194444446</v>
      </c>
      <c r="C741">
        <v>80</v>
      </c>
      <c r="D741">
        <v>62.473903655999997</v>
      </c>
      <c r="E741">
        <v>60</v>
      </c>
      <c r="F741">
        <v>59.853302002</v>
      </c>
      <c r="G741">
        <v>1409.1673584</v>
      </c>
      <c r="H741">
        <v>1388.2147216999999</v>
      </c>
      <c r="I741">
        <v>1287.6116943</v>
      </c>
      <c r="J741">
        <v>1269.0437012</v>
      </c>
      <c r="K741">
        <v>2750</v>
      </c>
      <c r="L741">
        <v>0</v>
      </c>
      <c r="M741">
        <v>0</v>
      </c>
      <c r="N741">
        <v>2750</v>
      </c>
    </row>
    <row r="742" spans="1:14" x14ac:dyDescent="0.25">
      <c r="A742">
        <v>365.36968000000002</v>
      </c>
      <c r="B742" s="1">
        <f>DATE(2011,5,1) + TIME(8,52,20)</f>
        <v>40664.369675925926</v>
      </c>
      <c r="C742">
        <v>80</v>
      </c>
      <c r="D742">
        <v>63.185272216999998</v>
      </c>
      <c r="E742">
        <v>60</v>
      </c>
      <c r="F742">
        <v>59.847198486000003</v>
      </c>
      <c r="G742">
        <v>1408.859375</v>
      </c>
      <c r="H742">
        <v>1388.0999756000001</v>
      </c>
      <c r="I742">
        <v>1287.6130370999999</v>
      </c>
      <c r="J742">
        <v>1269.0445557</v>
      </c>
      <c r="K742">
        <v>2750</v>
      </c>
      <c r="L742">
        <v>0</v>
      </c>
      <c r="M742">
        <v>0</v>
      </c>
      <c r="N742">
        <v>2750</v>
      </c>
    </row>
    <row r="743" spans="1:14" x14ac:dyDescent="0.25">
      <c r="A743">
        <v>365.39685600000001</v>
      </c>
      <c r="B743" s="1">
        <f>DATE(2011,5,1) + TIME(9,31,28)</f>
        <v>40664.396851851852</v>
      </c>
      <c r="C743">
        <v>80</v>
      </c>
      <c r="D743">
        <v>63.885848998999997</v>
      </c>
      <c r="E743">
        <v>60</v>
      </c>
      <c r="F743">
        <v>59.840988158999998</v>
      </c>
      <c r="G743">
        <v>1408.5601807</v>
      </c>
      <c r="H743">
        <v>1387.9873047000001</v>
      </c>
      <c r="I743">
        <v>1287.6136475000001</v>
      </c>
      <c r="J743">
        <v>1269.0446777</v>
      </c>
      <c r="K743">
        <v>2750</v>
      </c>
      <c r="L743">
        <v>0</v>
      </c>
      <c r="M743">
        <v>0</v>
      </c>
      <c r="N743">
        <v>2750</v>
      </c>
    </row>
    <row r="744" spans="1:14" x14ac:dyDescent="0.25">
      <c r="A744">
        <v>365.42477400000001</v>
      </c>
      <c r="B744" s="1">
        <f>DATE(2011,5,1) + TIME(10,11,40)</f>
        <v>40664.424768518518</v>
      </c>
      <c r="C744">
        <v>80</v>
      </c>
      <c r="D744">
        <v>64.575546265</v>
      </c>
      <c r="E744">
        <v>60</v>
      </c>
      <c r="F744">
        <v>59.834667205999999</v>
      </c>
      <c r="G744">
        <v>1408.2697754000001</v>
      </c>
      <c r="H744">
        <v>1387.8767089999999</v>
      </c>
      <c r="I744">
        <v>1287.6138916</v>
      </c>
      <c r="J744">
        <v>1269.0443115</v>
      </c>
      <c r="K744">
        <v>2750</v>
      </c>
      <c r="L744">
        <v>0</v>
      </c>
      <c r="M744">
        <v>0</v>
      </c>
      <c r="N744">
        <v>2750</v>
      </c>
    </row>
    <row r="745" spans="1:14" x14ac:dyDescent="0.25">
      <c r="A745">
        <v>365.45347800000002</v>
      </c>
      <c r="B745" s="1">
        <f>DATE(2011,5,1) + TIME(10,53,0)</f>
        <v>40664.453472222223</v>
      </c>
      <c r="C745">
        <v>80</v>
      </c>
      <c r="D745">
        <v>65.254325867000006</v>
      </c>
      <c r="E745">
        <v>60</v>
      </c>
      <c r="F745">
        <v>59.828224182</v>
      </c>
      <c r="G745">
        <v>1407.9875488</v>
      </c>
      <c r="H745">
        <v>1387.7684326000001</v>
      </c>
      <c r="I745">
        <v>1287.6137695</v>
      </c>
      <c r="J745">
        <v>1269.0437012</v>
      </c>
      <c r="K745">
        <v>2750</v>
      </c>
      <c r="L745">
        <v>0</v>
      </c>
      <c r="M745">
        <v>0</v>
      </c>
      <c r="N745">
        <v>2750</v>
      </c>
    </row>
    <row r="746" spans="1:14" x14ac:dyDescent="0.25">
      <c r="A746">
        <v>365.48302000000001</v>
      </c>
      <c r="B746" s="1">
        <f>DATE(2011,5,1) + TIME(11,35,32)</f>
        <v>40664.48300925926</v>
      </c>
      <c r="C746">
        <v>80</v>
      </c>
      <c r="D746">
        <v>65.922119140999996</v>
      </c>
      <c r="E746">
        <v>60</v>
      </c>
      <c r="F746">
        <v>59.821655272999998</v>
      </c>
      <c r="G746">
        <v>1407.713501</v>
      </c>
      <c r="H746">
        <v>1387.6621094</v>
      </c>
      <c r="I746">
        <v>1287.6134033000001</v>
      </c>
      <c r="J746">
        <v>1269.0427245999999</v>
      </c>
      <c r="K746">
        <v>2750</v>
      </c>
      <c r="L746">
        <v>0</v>
      </c>
      <c r="M746">
        <v>0</v>
      </c>
      <c r="N746">
        <v>2750</v>
      </c>
    </row>
    <row r="747" spans="1:14" x14ac:dyDescent="0.25">
      <c r="A747">
        <v>365.51345300000003</v>
      </c>
      <c r="B747" s="1">
        <f>DATE(2011,5,1) + TIME(12,19,22)</f>
        <v>40664.513449074075</v>
      </c>
      <c r="C747">
        <v>80</v>
      </c>
      <c r="D747">
        <v>66.578681946000003</v>
      </c>
      <c r="E747">
        <v>60</v>
      </c>
      <c r="F747">
        <v>59.814949036000002</v>
      </c>
      <c r="G747">
        <v>1407.4471435999999</v>
      </c>
      <c r="H747">
        <v>1387.5578613</v>
      </c>
      <c r="I747">
        <v>1287.6129149999999</v>
      </c>
      <c r="J747">
        <v>1269.0417480000001</v>
      </c>
      <c r="K747">
        <v>2750</v>
      </c>
      <c r="L747">
        <v>0</v>
      </c>
      <c r="M747">
        <v>0</v>
      </c>
      <c r="N747">
        <v>2750</v>
      </c>
    </row>
    <row r="748" spans="1:14" x14ac:dyDescent="0.25">
      <c r="A748">
        <v>365.54483800000003</v>
      </c>
      <c r="B748" s="1">
        <f>DATE(2011,5,1) + TIME(13,4,33)</f>
        <v>40664.54482638889</v>
      </c>
      <c r="C748">
        <v>80</v>
      </c>
      <c r="D748">
        <v>67.223945618000002</v>
      </c>
      <c r="E748">
        <v>60</v>
      </c>
      <c r="F748">
        <v>59.808097838999998</v>
      </c>
      <c r="G748">
        <v>1407.1881103999999</v>
      </c>
      <c r="H748">
        <v>1387.4553223</v>
      </c>
      <c r="I748">
        <v>1287.6124268000001</v>
      </c>
      <c r="J748">
        <v>1269.0405272999999</v>
      </c>
      <c r="K748">
        <v>2750</v>
      </c>
      <c r="L748">
        <v>0</v>
      </c>
      <c r="M748">
        <v>0</v>
      </c>
      <c r="N748">
        <v>2750</v>
      </c>
    </row>
    <row r="749" spans="1:14" x14ac:dyDescent="0.25">
      <c r="A749">
        <v>365.57724999999999</v>
      </c>
      <c r="B749" s="1">
        <f>DATE(2011,5,1) + TIME(13,51,14)</f>
        <v>40664.577245370368</v>
      </c>
      <c r="C749">
        <v>80</v>
      </c>
      <c r="D749">
        <v>67.857933044000006</v>
      </c>
      <c r="E749">
        <v>60</v>
      </c>
      <c r="F749">
        <v>59.801090240000001</v>
      </c>
      <c r="G749">
        <v>1406.9360352000001</v>
      </c>
      <c r="H749">
        <v>1387.3542480000001</v>
      </c>
      <c r="I749">
        <v>1287.6116943</v>
      </c>
      <c r="J749">
        <v>1269.0393065999999</v>
      </c>
      <c r="K749">
        <v>2750</v>
      </c>
      <c r="L749">
        <v>0</v>
      </c>
      <c r="M749">
        <v>0</v>
      </c>
      <c r="N749">
        <v>2750</v>
      </c>
    </row>
    <row r="750" spans="1:14" x14ac:dyDescent="0.25">
      <c r="A750">
        <v>365.61075</v>
      </c>
      <c r="B750" s="1">
        <f>DATE(2011,5,1) + TIME(14,39,28)</f>
        <v>40664.61074074074</v>
      </c>
      <c r="C750">
        <v>80</v>
      </c>
      <c r="D750">
        <v>68.480224609000004</v>
      </c>
      <c r="E750">
        <v>60</v>
      </c>
      <c r="F750">
        <v>59.79391098</v>
      </c>
      <c r="G750">
        <v>1406.6905518000001</v>
      </c>
      <c r="H750">
        <v>1387.2547606999999</v>
      </c>
      <c r="I750">
        <v>1287.6108397999999</v>
      </c>
      <c r="J750">
        <v>1269.0379639</v>
      </c>
      <c r="K750">
        <v>2750</v>
      </c>
      <c r="L750">
        <v>0</v>
      </c>
      <c r="M750">
        <v>0</v>
      </c>
      <c r="N750">
        <v>2750</v>
      </c>
    </row>
    <row r="751" spans="1:14" x14ac:dyDescent="0.25">
      <c r="A751">
        <v>365.64541600000001</v>
      </c>
      <c r="B751" s="1">
        <f>DATE(2011,5,1) + TIME(15,29,23)</f>
        <v>40664.645405092589</v>
      </c>
      <c r="C751">
        <v>80</v>
      </c>
      <c r="D751">
        <v>69.090652465999995</v>
      </c>
      <c r="E751">
        <v>60</v>
      </c>
      <c r="F751">
        <v>59.786552428999997</v>
      </c>
      <c r="G751">
        <v>1406.4512939000001</v>
      </c>
      <c r="H751">
        <v>1387.1564940999999</v>
      </c>
      <c r="I751">
        <v>1287.6099853999999</v>
      </c>
      <c r="J751">
        <v>1269.036499</v>
      </c>
      <c r="K751">
        <v>2750</v>
      </c>
      <c r="L751">
        <v>0</v>
      </c>
      <c r="M751">
        <v>0</v>
      </c>
      <c r="N751">
        <v>2750</v>
      </c>
    </row>
    <row r="752" spans="1:14" x14ac:dyDescent="0.25">
      <c r="A752">
        <v>365.68133399999999</v>
      </c>
      <c r="B752" s="1">
        <f>DATE(2011,5,1) + TIME(16,21,7)</f>
        <v>40664.681331018517</v>
      </c>
      <c r="C752">
        <v>80</v>
      </c>
      <c r="D752">
        <v>69.689002990999995</v>
      </c>
      <c r="E752">
        <v>60</v>
      </c>
      <c r="F752">
        <v>59.779003142999997</v>
      </c>
      <c r="G752">
        <v>1406.2181396000001</v>
      </c>
      <c r="H752">
        <v>1387.0593262</v>
      </c>
      <c r="I752">
        <v>1287.6091309000001</v>
      </c>
      <c r="J752">
        <v>1269.0349120999999</v>
      </c>
      <c r="K752">
        <v>2750</v>
      </c>
      <c r="L752">
        <v>0</v>
      </c>
      <c r="M752">
        <v>0</v>
      </c>
      <c r="N752">
        <v>2750</v>
      </c>
    </row>
    <row r="753" spans="1:14" x14ac:dyDescent="0.25">
      <c r="A753">
        <v>365.71860299999997</v>
      </c>
      <c r="B753" s="1">
        <f>DATE(2011,5,1) + TIME(17,14,47)</f>
        <v>40664.718599537038</v>
      </c>
      <c r="C753">
        <v>80</v>
      </c>
      <c r="D753">
        <v>70.274864196999999</v>
      </c>
      <c r="E753">
        <v>60</v>
      </c>
      <c r="F753">
        <v>59.771244049000003</v>
      </c>
      <c r="G753">
        <v>1405.9906006000001</v>
      </c>
      <c r="H753">
        <v>1386.9630127</v>
      </c>
      <c r="I753">
        <v>1287.6081543</v>
      </c>
      <c r="J753">
        <v>1269.0333252</v>
      </c>
      <c r="K753">
        <v>2750</v>
      </c>
      <c r="L753">
        <v>0</v>
      </c>
      <c r="M753">
        <v>0</v>
      </c>
      <c r="N753">
        <v>2750</v>
      </c>
    </row>
    <row r="754" spans="1:14" x14ac:dyDescent="0.25">
      <c r="A754">
        <v>365.75733000000002</v>
      </c>
      <c r="B754" s="1">
        <f>DATE(2011,5,1) + TIME(18,10,33)</f>
        <v>40664.757326388892</v>
      </c>
      <c r="C754">
        <v>80</v>
      </c>
      <c r="D754">
        <v>70.847961425999998</v>
      </c>
      <c r="E754">
        <v>60</v>
      </c>
      <c r="F754">
        <v>59.763259888</v>
      </c>
      <c r="G754">
        <v>1405.7683105000001</v>
      </c>
      <c r="H754">
        <v>1386.8673096</v>
      </c>
      <c r="I754">
        <v>1287.6070557</v>
      </c>
      <c r="J754">
        <v>1269.0314940999999</v>
      </c>
      <c r="K754">
        <v>2750</v>
      </c>
      <c r="L754">
        <v>0</v>
      </c>
      <c r="M754">
        <v>0</v>
      </c>
      <c r="N754">
        <v>2750</v>
      </c>
    </row>
    <row r="755" spans="1:14" x14ac:dyDescent="0.25">
      <c r="A755">
        <v>365.79763500000001</v>
      </c>
      <c r="B755" s="1">
        <f>DATE(2011,5,1) + TIME(19,8,35)</f>
        <v>40664.797627314816</v>
      </c>
      <c r="C755">
        <v>80</v>
      </c>
      <c r="D755">
        <v>71.408256531000006</v>
      </c>
      <c r="E755">
        <v>60</v>
      </c>
      <c r="F755">
        <v>59.755031586000001</v>
      </c>
      <c r="G755">
        <v>1405.5510254000001</v>
      </c>
      <c r="H755">
        <v>1386.7722168</v>
      </c>
      <c r="I755">
        <v>1287.6058350000001</v>
      </c>
      <c r="J755">
        <v>1269.0297852000001</v>
      </c>
      <c r="K755">
        <v>2750</v>
      </c>
      <c r="L755">
        <v>0</v>
      </c>
      <c r="M755">
        <v>0</v>
      </c>
      <c r="N755">
        <v>2750</v>
      </c>
    </row>
    <row r="756" spans="1:14" x14ac:dyDescent="0.25">
      <c r="A756">
        <v>365.83965599999999</v>
      </c>
      <c r="B756" s="1">
        <f>DATE(2011,5,1) + TIME(20,9,6)</f>
        <v>40664.83965277778</v>
      </c>
      <c r="C756">
        <v>80</v>
      </c>
      <c r="D756">
        <v>71.955482482999997</v>
      </c>
      <c r="E756">
        <v>60</v>
      </c>
      <c r="F756">
        <v>59.746536255000002</v>
      </c>
      <c r="G756">
        <v>1405.3383789</v>
      </c>
      <c r="H756">
        <v>1386.6773682</v>
      </c>
      <c r="I756">
        <v>1287.6046143000001</v>
      </c>
      <c r="J756">
        <v>1269.027832</v>
      </c>
      <c r="K756">
        <v>2750</v>
      </c>
      <c r="L756">
        <v>0</v>
      </c>
      <c r="M756">
        <v>0</v>
      </c>
      <c r="N756">
        <v>2750</v>
      </c>
    </row>
    <row r="757" spans="1:14" x14ac:dyDescent="0.25">
      <c r="A757">
        <v>365.88354500000003</v>
      </c>
      <c r="B757" s="1">
        <f>DATE(2011,5,1) + TIME(21,12,18)</f>
        <v>40664.88354166667</v>
      </c>
      <c r="C757">
        <v>80</v>
      </c>
      <c r="D757">
        <v>72.489356994999994</v>
      </c>
      <c r="E757">
        <v>60</v>
      </c>
      <c r="F757">
        <v>59.737754821999999</v>
      </c>
      <c r="G757">
        <v>1405.1300048999999</v>
      </c>
      <c r="H757">
        <v>1386.5826416</v>
      </c>
      <c r="I757">
        <v>1287.6033935999999</v>
      </c>
      <c r="J757">
        <v>1269.0258789</v>
      </c>
      <c r="K757">
        <v>2750</v>
      </c>
      <c r="L757">
        <v>0</v>
      </c>
      <c r="M757">
        <v>0</v>
      </c>
      <c r="N757">
        <v>2750</v>
      </c>
    </row>
    <row r="758" spans="1:14" x14ac:dyDescent="0.25">
      <c r="A758">
        <v>365.92947800000002</v>
      </c>
      <c r="B758" s="1">
        <f>DATE(2011,5,1) + TIME(22,18,26)</f>
        <v>40664.929467592592</v>
      </c>
      <c r="C758">
        <v>80</v>
      </c>
      <c r="D758">
        <v>73.009552002000007</v>
      </c>
      <c r="E758">
        <v>60</v>
      </c>
      <c r="F758">
        <v>59.728656768999997</v>
      </c>
      <c r="G758">
        <v>1404.9256591999999</v>
      </c>
      <c r="H758">
        <v>1386.4879149999999</v>
      </c>
      <c r="I758">
        <v>1287.6020507999999</v>
      </c>
      <c r="J758">
        <v>1269.0238036999999</v>
      </c>
      <c r="K758">
        <v>2750</v>
      </c>
      <c r="L758">
        <v>0</v>
      </c>
      <c r="M758">
        <v>0</v>
      </c>
      <c r="N758">
        <v>2750</v>
      </c>
    </row>
    <row r="759" spans="1:14" x14ac:dyDescent="0.25">
      <c r="A759">
        <v>365.97768100000002</v>
      </c>
      <c r="B759" s="1">
        <f>DATE(2011,5,1) + TIME(23,27,51)</f>
        <v>40664.977673611109</v>
      </c>
      <c r="C759">
        <v>80</v>
      </c>
      <c r="D759">
        <v>73.516021729000002</v>
      </c>
      <c r="E759">
        <v>60</v>
      </c>
      <c r="F759">
        <v>59.719207763999997</v>
      </c>
      <c r="G759">
        <v>1404.7249756000001</v>
      </c>
      <c r="H759">
        <v>1386.3925781</v>
      </c>
      <c r="I759">
        <v>1287.6005858999999</v>
      </c>
      <c r="J759">
        <v>1269.0216064000001</v>
      </c>
      <c r="K759">
        <v>2750</v>
      </c>
      <c r="L759">
        <v>0</v>
      </c>
      <c r="M759">
        <v>0</v>
      </c>
      <c r="N759">
        <v>2750</v>
      </c>
    </row>
    <row r="760" spans="1:14" x14ac:dyDescent="0.25">
      <c r="A760">
        <v>366.02837</v>
      </c>
      <c r="B760" s="1">
        <f>DATE(2011,5,2) + TIME(0,40,51)</f>
        <v>40665.028368055559</v>
      </c>
      <c r="C760">
        <v>80</v>
      </c>
      <c r="D760">
        <v>74.008193969999994</v>
      </c>
      <c r="E760">
        <v>60</v>
      </c>
      <c r="F760">
        <v>59.709377289000003</v>
      </c>
      <c r="G760">
        <v>1404.5274658000001</v>
      </c>
      <c r="H760">
        <v>1386.2967529</v>
      </c>
      <c r="I760">
        <v>1287.598999</v>
      </c>
      <c r="J760">
        <v>1269.0192870999999</v>
      </c>
      <c r="K760">
        <v>2750</v>
      </c>
      <c r="L760">
        <v>0</v>
      </c>
      <c r="M760">
        <v>0</v>
      </c>
      <c r="N760">
        <v>2750</v>
      </c>
    </row>
    <row r="761" spans="1:14" x14ac:dyDescent="0.25">
      <c r="A761">
        <v>366.08180299999998</v>
      </c>
      <c r="B761" s="1">
        <f>DATE(2011,5,2) + TIME(1,57,47)</f>
        <v>40665.081793981481</v>
      </c>
      <c r="C761">
        <v>80</v>
      </c>
      <c r="D761">
        <v>74.485626221000004</v>
      </c>
      <c r="E761">
        <v>60</v>
      </c>
      <c r="F761">
        <v>59.699127197000003</v>
      </c>
      <c r="G761">
        <v>1404.3328856999999</v>
      </c>
      <c r="H761">
        <v>1386.2000731999999</v>
      </c>
      <c r="I761">
        <v>1287.5974120999999</v>
      </c>
      <c r="J761">
        <v>1269.0168457</v>
      </c>
      <c r="K761">
        <v>2750</v>
      </c>
      <c r="L761">
        <v>0</v>
      </c>
      <c r="M761">
        <v>0</v>
      </c>
      <c r="N761">
        <v>2750</v>
      </c>
    </row>
    <row r="762" spans="1:14" x14ac:dyDescent="0.25">
      <c r="A762">
        <v>366.13829199999998</v>
      </c>
      <c r="B762" s="1">
        <f>DATE(2011,5,2) + TIME(3,19,8)</f>
        <v>40665.138287037036</v>
      </c>
      <c r="C762">
        <v>80</v>
      </c>
      <c r="D762">
        <v>74.947898864999999</v>
      </c>
      <c r="E762">
        <v>60</v>
      </c>
      <c r="F762">
        <v>59.688407898000001</v>
      </c>
      <c r="G762">
        <v>1404.1409911999999</v>
      </c>
      <c r="H762">
        <v>1386.1022949000001</v>
      </c>
      <c r="I762">
        <v>1287.5957031</v>
      </c>
      <c r="J762">
        <v>1269.0142822</v>
      </c>
      <c r="K762">
        <v>2750</v>
      </c>
      <c r="L762">
        <v>0</v>
      </c>
      <c r="M762">
        <v>0</v>
      </c>
      <c r="N762">
        <v>2750</v>
      </c>
    </row>
    <row r="763" spans="1:14" x14ac:dyDescent="0.25">
      <c r="A763">
        <v>366.19820199999998</v>
      </c>
      <c r="B763" s="1">
        <f>DATE(2011,5,2) + TIME(4,45,24)</f>
        <v>40665.198194444441</v>
      </c>
      <c r="C763">
        <v>80</v>
      </c>
      <c r="D763">
        <v>75.394271850999999</v>
      </c>
      <c r="E763">
        <v>60</v>
      </c>
      <c r="F763">
        <v>59.677165985000002</v>
      </c>
      <c r="G763">
        <v>1403.9514160000001</v>
      </c>
      <c r="H763">
        <v>1386.0030518000001</v>
      </c>
      <c r="I763">
        <v>1287.5938721</v>
      </c>
      <c r="J763">
        <v>1269.0115966999999</v>
      </c>
      <c r="K763">
        <v>2750</v>
      </c>
      <c r="L763">
        <v>0</v>
      </c>
      <c r="M763">
        <v>0</v>
      </c>
      <c r="N763">
        <v>2750</v>
      </c>
    </row>
    <row r="764" spans="1:14" x14ac:dyDescent="0.25">
      <c r="A764">
        <v>366.261957</v>
      </c>
      <c r="B764" s="1">
        <f>DATE(2011,5,2) + TIME(6,17,13)</f>
        <v>40665.261956018519</v>
      </c>
      <c r="C764">
        <v>80</v>
      </c>
      <c r="D764">
        <v>75.824462890999996</v>
      </c>
      <c r="E764">
        <v>60</v>
      </c>
      <c r="F764">
        <v>59.665344238000003</v>
      </c>
      <c r="G764">
        <v>1403.7635498</v>
      </c>
      <c r="H764">
        <v>1385.9019774999999</v>
      </c>
      <c r="I764">
        <v>1287.5919189000001</v>
      </c>
      <c r="J764">
        <v>1269.0087891000001</v>
      </c>
      <c r="K764">
        <v>2750</v>
      </c>
      <c r="L764">
        <v>0</v>
      </c>
      <c r="M764">
        <v>0</v>
      </c>
      <c r="N764">
        <v>2750</v>
      </c>
    </row>
    <row r="765" spans="1:14" x14ac:dyDescent="0.25">
      <c r="A765">
        <v>366.33007400000002</v>
      </c>
      <c r="B765" s="1">
        <f>DATE(2011,5,2) + TIME(7,55,18)</f>
        <v>40665.330069444448</v>
      </c>
      <c r="C765">
        <v>80</v>
      </c>
      <c r="D765">
        <v>76.237998962000006</v>
      </c>
      <c r="E765">
        <v>60</v>
      </c>
      <c r="F765">
        <v>59.652862548999998</v>
      </c>
      <c r="G765">
        <v>1403.5771483999999</v>
      </c>
      <c r="H765">
        <v>1385.7988281</v>
      </c>
      <c r="I765">
        <v>1287.5898437999999</v>
      </c>
      <c r="J765">
        <v>1269.0057373</v>
      </c>
      <c r="K765">
        <v>2750</v>
      </c>
      <c r="L765">
        <v>0</v>
      </c>
      <c r="M765">
        <v>0</v>
      </c>
      <c r="N765">
        <v>2750</v>
      </c>
    </row>
    <row r="766" spans="1:14" x14ac:dyDescent="0.25">
      <c r="A766">
        <v>366.40318500000001</v>
      </c>
      <c r="B766" s="1">
        <f>DATE(2011,5,2) + TIME(9,40,35)</f>
        <v>40665.403182870374</v>
      </c>
      <c r="C766">
        <v>80</v>
      </c>
      <c r="D766">
        <v>76.634376525999997</v>
      </c>
      <c r="E766">
        <v>60</v>
      </c>
      <c r="F766">
        <v>59.639629364000001</v>
      </c>
      <c r="G766">
        <v>1403.3916016000001</v>
      </c>
      <c r="H766">
        <v>1385.6931152</v>
      </c>
      <c r="I766">
        <v>1287.5876464999999</v>
      </c>
      <c r="J766">
        <v>1269.0025635</v>
      </c>
      <c r="K766">
        <v>2750</v>
      </c>
      <c r="L766">
        <v>0</v>
      </c>
      <c r="M766">
        <v>0</v>
      </c>
      <c r="N766">
        <v>2750</v>
      </c>
    </row>
    <row r="767" spans="1:14" x14ac:dyDescent="0.25">
      <c r="A767">
        <v>366.482057</v>
      </c>
      <c r="B767" s="1">
        <f>DATE(2011,5,2) + TIME(11,34,9)</f>
        <v>40665.482048611113</v>
      </c>
      <c r="C767">
        <v>80</v>
      </c>
      <c r="D767">
        <v>77.012992858999993</v>
      </c>
      <c r="E767">
        <v>60</v>
      </c>
      <c r="F767">
        <v>59.625537872000002</v>
      </c>
      <c r="G767">
        <v>1403.2064209</v>
      </c>
      <c r="H767">
        <v>1385.5843506000001</v>
      </c>
      <c r="I767">
        <v>1287.5852050999999</v>
      </c>
      <c r="J767">
        <v>1268.9991454999999</v>
      </c>
      <c r="K767">
        <v>2750</v>
      </c>
      <c r="L767">
        <v>0</v>
      </c>
      <c r="M767">
        <v>0</v>
      </c>
      <c r="N767">
        <v>2750</v>
      </c>
    </row>
    <row r="768" spans="1:14" x14ac:dyDescent="0.25">
      <c r="A768">
        <v>366.56764299999998</v>
      </c>
      <c r="B768" s="1">
        <f>DATE(2011,5,2) + TIME(13,37,24)</f>
        <v>40665.56763888889</v>
      </c>
      <c r="C768">
        <v>80</v>
      </c>
      <c r="D768">
        <v>77.373207092000001</v>
      </c>
      <c r="E768">
        <v>60</v>
      </c>
      <c r="F768">
        <v>59.610450745000001</v>
      </c>
      <c r="G768">
        <v>1403.0209961</v>
      </c>
      <c r="H768">
        <v>1385.4720459</v>
      </c>
      <c r="I768">
        <v>1287.5826416</v>
      </c>
      <c r="J768">
        <v>1268.9954834</v>
      </c>
      <c r="K768">
        <v>2750</v>
      </c>
      <c r="L768">
        <v>0</v>
      </c>
      <c r="M768">
        <v>0</v>
      </c>
      <c r="N768">
        <v>2750</v>
      </c>
    </row>
    <row r="769" spans="1:14" x14ac:dyDescent="0.25">
      <c r="A769">
        <v>366.65383200000002</v>
      </c>
      <c r="B769" s="1">
        <f>DATE(2011,5,2) + TIME(15,41,31)</f>
        <v>40665.653831018521</v>
      </c>
      <c r="C769">
        <v>80</v>
      </c>
      <c r="D769">
        <v>77.690948485999996</v>
      </c>
      <c r="E769">
        <v>60</v>
      </c>
      <c r="F769">
        <v>59.595340729</v>
      </c>
      <c r="G769">
        <v>1402.8450928</v>
      </c>
      <c r="H769">
        <v>1385.3602295000001</v>
      </c>
      <c r="I769">
        <v>1287.5797118999999</v>
      </c>
      <c r="J769">
        <v>1268.9914550999999</v>
      </c>
      <c r="K769">
        <v>2750</v>
      </c>
      <c r="L769">
        <v>0</v>
      </c>
      <c r="M769">
        <v>0</v>
      </c>
      <c r="N769">
        <v>2750</v>
      </c>
    </row>
    <row r="770" spans="1:14" x14ac:dyDescent="0.25">
      <c r="A770">
        <v>366.74038300000001</v>
      </c>
      <c r="B770" s="1">
        <f>DATE(2011,5,2) + TIME(17,46,9)</f>
        <v>40665.740381944444</v>
      </c>
      <c r="C770">
        <v>80</v>
      </c>
      <c r="D770">
        <v>77.970260620000005</v>
      </c>
      <c r="E770">
        <v>60</v>
      </c>
      <c r="F770">
        <v>59.580245972</v>
      </c>
      <c r="G770">
        <v>1402.6800536999999</v>
      </c>
      <c r="H770">
        <v>1385.2520752</v>
      </c>
      <c r="I770">
        <v>1287.5767822</v>
      </c>
      <c r="J770">
        <v>1268.9875488</v>
      </c>
      <c r="K770">
        <v>2750</v>
      </c>
      <c r="L770">
        <v>0</v>
      </c>
      <c r="M770">
        <v>0</v>
      </c>
      <c r="N770">
        <v>2750</v>
      </c>
    </row>
    <row r="771" spans="1:14" x14ac:dyDescent="0.25">
      <c r="A771">
        <v>366.82748800000002</v>
      </c>
      <c r="B771" s="1">
        <f>DATE(2011,5,2) + TIME(19,51,35)</f>
        <v>40665.827488425923</v>
      </c>
      <c r="C771">
        <v>80</v>
      </c>
      <c r="D771">
        <v>78.216117858999993</v>
      </c>
      <c r="E771">
        <v>60</v>
      </c>
      <c r="F771">
        <v>59.565128326</v>
      </c>
      <c r="G771">
        <v>1402.5245361</v>
      </c>
      <c r="H771">
        <v>1385.1474608999999</v>
      </c>
      <c r="I771">
        <v>1287.5737305</v>
      </c>
      <c r="J771">
        <v>1268.9835204999999</v>
      </c>
      <c r="K771">
        <v>2750</v>
      </c>
      <c r="L771">
        <v>0</v>
      </c>
      <c r="M771">
        <v>0</v>
      </c>
      <c r="N771">
        <v>2750</v>
      </c>
    </row>
    <row r="772" spans="1:14" x14ac:dyDescent="0.25">
      <c r="A772">
        <v>366.915344</v>
      </c>
      <c r="B772" s="1">
        <f>DATE(2011,5,2) + TIME(21,58,5)</f>
        <v>40665.915335648147</v>
      </c>
      <c r="C772">
        <v>80</v>
      </c>
      <c r="D772">
        <v>78.432754517000006</v>
      </c>
      <c r="E772">
        <v>60</v>
      </c>
      <c r="F772">
        <v>59.549957274999997</v>
      </c>
      <c r="G772">
        <v>1402.3771973</v>
      </c>
      <c r="H772">
        <v>1385.0458983999999</v>
      </c>
      <c r="I772">
        <v>1287.5708007999999</v>
      </c>
      <c r="J772">
        <v>1268.9794922000001</v>
      </c>
      <c r="K772">
        <v>2750</v>
      </c>
      <c r="L772">
        <v>0</v>
      </c>
      <c r="M772">
        <v>0</v>
      </c>
      <c r="N772">
        <v>2750</v>
      </c>
    </row>
    <row r="773" spans="1:14" x14ac:dyDescent="0.25">
      <c r="A773">
        <v>367.00413500000002</v>
      </c>
      <c r="B773" s="1">
        <f>DATE(2011,5,3) + TIME(0,5,57)</f>
        <v>40666.004131944443</v>
      </c>
      <c r="C773">
        <v>80</v>
      </c>
      <c r="D773">
        <v>78.623771667</v>
      </c>
      <c r="E773">
        <v>60</v>
      </c>
      <c r="F773">
        <v>59.534706116000002</v>
      </c>
      <c r="G773">
        <v>1402.2369385</v>
      </c>
      <c r="H773">
        <v>1384.9468993999999</v>
      </c>
      <c r="I773">
        <v>1287.567749</v>
      </c>
      <c r="J773">
        <v>1268.9754639</v>
      </c>
      <c r="K773">
        <v>2750</v>
      </c>
      <c r="L773">
        <v>0</v>
      </c>
      <c r="M773">
        <v>0</v>
      </c>
      <c r="N773">
        <v>2750</v>
      </c>
    </row>
    <row r="774" spans="1:14" x14ac:dyDescent="0.25">
      <c r="A774">
        <v>367.09404599999999</v>
      </c>
      <c r="B774" s="1">
        <f>DATE(2011,5,3) + TIME(2,15,25)</f>
        <v>40666.094039351854</v>
      </c>
      <c r="C774">
        <v>80</v>
      </c>
      <c r="D774">
        <v>78.792243958</v>
      </c>
      <c r="E774">
        <v>60</v>
      </c>
      <c r="F774">
        <v>59.519348145000002</v>
      </c>
      <c r="G774">
        <v>1402.1029053</v>
      </c>
      <c r="H774">
        <v>1384.8502197</v>
      </c>
      <c r="I774">
        <v>1287.5645752</v>
      </c>
      <c r="J774">
        <v>1268.9713135</v>
      </c>
      <c r="K774">
        <v>2750</v>
      </c>
      <c r="L774">
        <v>0</v>
      </c>
      <c r="M774">
        <v>0</v>
      </c>
      <c r="N774">
        <v>2750</v>
      </c>
    </row>
    <row r="775" spans="1:14" x14ac:dyDescent="0.25">
      <c r="A775">
        <v>367.18525899999997</v>
      </c>
      <c r="B775" s="1">
        <f>DATE(2011,5,3) + TIME(4,26,46)</f>
        <v>40666.185254629629</v>
      </c>
      <c r="C775">
        <v>80</v>
      </c>
      <c r="D775">
        <v>78.940841675000001</v>
      </c>
      <c r="E775">
        <v>60</v>
      </c>
      <c r="F775">
        <v>59.503849029999998</v>
      </c>
      <c r="G775">
        <v>1401.9742432</v>
      </c>
      <c r="H775">
        <v>1384.7556152</v>
      </c>
      <c r="I775">
        <v>1287.5615233999999</v>
      </c>
      <c r="J775">
        <v>1268.9671631000001</v>
      </c>
      <c r="K775">
        <v>2750</v>
      </c>
      <c r="L775">
        <v>0</v>
      </c>
      <c r="M775">
        <v>0</v>
      </c>
      <c r="N775">
        <v>2750</v>
      </c>
    </row>
    <row r="776" spans="1:14" x14ac:dyDescent="0.25">
      <c r="A776">
        <v>367.27795800000001</v>
      </c>
      <c r="B776" s="1">
        <f>DATE(2011,5,3) + TIME(6,40,15)</f>
        <v>40666.277951388889</v>
      </c>
      <c r="C776">
        <v>80</v>
      </c>
      <c r="D776">
        <v>79.071868895999998</v>
      </c>
      <c r="E776">
        <v>60</v>
      </c>
      <c r="F776">
        <v>59.488182068</v>
      </c>
      <c r="G776">
        <v>1401.8504639</v>
      </c>
      <c r="H776">
        <v>1384.6628418</v>
      </c>
      <c r="I776">
        <v>1287.5583495999999</v>
      </c>
      <c r="J776">
        <v>1268.9628906</v>
      </c>
      <c r="K776">
        <v>2750</v>
      </c>
      <c r="L776">
        <v>0</v>
      </c>
      <c r="M776">
        <v>0</v>
      </c>
      <c r="N776">
        <v>2750</v>
      </c>
    </row>
    <row r="777" spans="1:14" x14ac:dyDescent="0.25">
      <c r="A777">
        <v>367.37233300000003</v>
      </c>
      <c r="B777" s="1">
        <f>DATE(2011,5,3) + TIME(8,56,9)</f>
        <v>40666.37232638889</v>
      </c>
      <c r="C777">
        <v>80</v>
      </c>
      <c r="D777">
        <v>79.187347411999994</v>
      </c>
      <c r="E777">
        <v>60</v>
      </c>
      <c r="F777">
        <v>59.472320557000003</v>
      </c>
      <c r="G777">
        <v>1401.7308350000001</v>
      </c>
      <c r="H777">
        <v>1384.5715332</v>
      </c>
      <c r="I777">
        <v>1287.5550536999999</v>
      </c>
      <c r="J777">
        <v>1268.9586182</v>
      </c>
      <c r="K777">
        <v>2750</v>
      </c>
      <c r="L777">
        <v>0</v>
      </c>
      <c r="M777">
        <v>0</v>
      </c>
      <c r="N777">
        <v>2750</v>
      </c>
    </row>
    <row r="778" spans="1:14" x14ac:dyDescent="0.25">
      <c r="A778">
        <v>367.46860900000001</v>
      </c>
      <c r="B778" s="1">
        <f>DATE(2011,5,3) + TIME(11,14,47)</f>
        <v>40666.468599537038</v>
      </c>
      <c r="C778">
        <v>80</v>
      </c>
      <c r="D778">
        <v>79.289047241000006</v>
      </c>
      <c r="E778">
        <v>60</v>
      </c>
      <c r="F778">
        <v>59.456226348999998</v>
      </c>
      <c r="G778">
        <v>1401.6147461</v>
      </c>
      <c r="H778">
        <v>1384.4814452999999</v>
      </c>
      <c r="I778">
        <v>1287.5517577999999</v>
      </c>
      <c r="J778">
        <v>1268.9542236</v>
      </c>
      <c r="K778">
        <v>2750</v>
      </c>
      <c r="L778">
        <v>0</v>
      </c>
      <c r="M778">
        <v>0</v>
      </c>
      <c r="N778">
        <v>2750</v>
      </c>
    </row>
    <row r="779" spans="1:14" x14ac:dyDescent="0.25">
      <c r="A779">
        <v>367.56698299999999</v>
      </c>
      <c r="B779" s="1">
        <f>DATE(2011,5,3) + TIME(13,36,27)</f>
        <v>40666.566979166666</v>
      </c>
      <c r="C779">
        <v>80</v>
      </c>
      <c r="D779">
        <v>79.378517150999997</v>
      </c>
      <c r="E779">
        <v>60</v>
      </c>
      <c r="F779">
        <v>59.439876556000002</v>
      </c>
      <c r="G779">
        <v>1401.5018310999999</v>
      </c>
      <c r="H779">
        <v>1384.3925781</v>
      </c>
      <c r="I779">
        <v>1287.5483397999999</v>
      </c>
      <c r="J779">
        <v>1268.9498291</v>
      </c>
      <c r="K779">
        <v>2750</v>
      </c>
      <c r="L779">
        <v>0</v>
      </c>
      <c r="M779">
        <v>0</v>
      </c>
      <c r="N779">
        <v>2750</v>
      </c>
    </row>
    <row r="780" spans="1:14" x14ac:dyDescent="0.25">
      <c r="A780">
        <v>367.66766100000001</v>
      </c>
      <c r="B780" s="1">
        <f>DATE(2011,5,3) + TIME(16,1,25)</f>
        <v>40666.667650462965</v>
      </c>
      <c r="C780">
        <v>80</v>
      </c>
      <c r="D780">
        <v>79.457107543999996</v>
      </c>
      <c r="E780">
        <v>60</v>
      </c>
      <c r="F780">
        <v>59.423236846999998</v>
      </c>
      <c r="G780">
        <v>1401.3916016000001</v>
      </c>
      <c r="H780">
        <v>1384.3046875</v>
      </c>
      <c r="I780">
        <v>1287.5447998</v>
      </c>
      <c r="J780">
        <v>1268.9451904</v>
      </c>
      <c r="K780">
        <v>2750</v>
      </c>
      <c r="L780">
        <v>0</v>
      </c>
      <c r="M780">
        <v>0</v>
      </c>
      <c r="N780">
        <v>2750</v>
      </c>
    </row>
    <row r="781" spans="1:14" x14ac:dyDescent="0.25">
      <c r="A781">
        <v>367.77088099999997</v>
      </c>
      <c r="B781" s="1">
        <f>DATE(2011,5,3) + TIME(18,30,4)</f>
        <v>40666.770879629628</v>
      </c>
      <c r="C781">
        <v>80</v>
      </c>
      <c r="D781">
        <v>79.526031493999994</v>
      </c>
      <c r="E781">
        <v>60</v>
      </c>
      <c r="F781">
        <v>59.406272887999997</v>
      </c>
      <c r="G781">
        <v>1401.2836914</v>
      </c>
      <c r="H781">
        <v>1384.2174072</v>
      </c>
      <c r="I781">
        <v>1287.5412598</v>
      </c>
      <c r="J781">
        <v>1268.9405518000001</v>
      </c>
      <c r="K781">
        <v>2750</v>
      </c>
      <c r="L781">
        <v>0</v>
      </c>
      <c r="M781">
        <v>0</v>
      </c>
      <c r="N781">
        <v>2750</v>
      </c>
    </row>
    <row r="782" spans="1:14" x14ac:dyDescent="0.25">
      <c r="A782">
        <v>367.87689699999999</v>
      </c>
      <c r="B782" s="1">
        <f>DATE(2011,5,3) + TIME(21,2,43)</f>
        <v>40666.876886574071</v>
      </c>
      <c r="C782">
        <v>80</v>
      </c>
      <c r="D782">
        <v>79.586357117000006</v>
      </c>
      <c r="E782">
        <v>60</v>
      </c>
      <c r="F782">
        <v>59.388950348000002</v>
      </c>
      <c r="G782">
        <v>1401.1778564000001</v>
      </c>
      <c r="H782">
        <v>1384.1308594</v>
      </c>
      <c r="I782">
        <v>1287.5375977000001</v>
      </c>
      <c r="J782">
        <v>1268.9356689000001</v>
      </c>
      <c r="K782">
        <v>2750</v>
      </c>
      <c r="L782">
        <v>0</v>
      </c>
      <c r="M782">
        <v>0</v>
      </c>
      <c r="N782">
        <v>2750</v>
      </c>
    </row>
    <row r="783" spans="1:14" x14ac:dyDescent="0.25">
      <c r="A783">
        <v>367.98598900000002</v>
      </c>
      <c r="B783" s="1">
        <f>DATE(2011,5,3) + TIME(23,39,49)</f>
        <v>40666.985983796294</v>
      </c>
      <c r="C783">
        <v>80</v>
      </c>
      <c r="D783">
        <v>79.639053344999994</v>
      </c>
      <c r="E783">
        <v>60</v>
      </c>
      <c r="F783">
        <v>59.371231078999998</v>
      </c>
      <c r="G783">
        <v>1401.0736084</v>
      </c>
      <c r="H783">
        <v>1384.0446777</v>
      </c>
      <c r="I783">
        <v>1287.5338135</v>
      </c>
      <c r="J783">
        <v>1268.9307861</v>
      </c>
      <c r="K783">
        <v>2750</v>
      </c>
      <c r="L783">
        <v>0</v>
      </c>
      <c r="M783">
        <v>0</v>
      </c>
      <c r="N783">
        <v>2750</v>
      </c>
    </row>
    <row r="784" spans="1:14" x14ac:dyDescent="0.25">
      <c r="A784">
        <v>368.09846099999999</v>
      </c>
      <c r="B784" s="1">
        <f>DATE(2011,5,4) + TIME(2,21,47)</f>
        <v>40667.098460648151</v>
      </c>
      <c r="C784">
        <v>80</v>
      </c>
      <c r="D784">
        <v>79.684974670000003</v>
      </c>
      <c r="E784">
        <v>60</v>
      </c>
      <c r="F784">
        <v>59.353069304999998</v>
      </c>
      <c r="G784">
        <v>1400.9705810999999</v>
      </c>
      <c r="H784">
        <v>1383.9587402</v>
      </c>
      <c r="I784">
        <v>1287.5299072</v>
      </c>
      <c r="J784">
        <v>1268.9256591999999</v>
      </c>
      <c r="K784">
        <v>2750</v>
      </c>
      <c r="L784">
        <v>0</v>
      </c>
      <c r="M784">
        <v>0</v>
      </c>
      <c r="N784">
        <v>2750</v>
      </c>
    </row>
    <row r="785" spans="1:14" x14ac:dyDescent="0.25">
      <c r="A785">
        <v>368.214653</v>
      </c>
      <c r="B785" s="1">
        <f>DATE(2011,5,4) + TIME(5,9,5)</f>
        <v>40667.214641203704</v>
      </c>
      <c r="C785">
        <v>80</v>
      </c>
      <c r="D785">
        <v>79.724876404</v>
      </c>
      <c r="E785">
        <v>60</v>
      </c>
      <c r="F785">
        <v>59.334419250000003</v>
      </c>
      <c r="G785">
        <v>1400.8686522999999</v>
      </c>
      <c r="H785">
        <v>1383.8729248</v>
      </c>
      <c r="I785">
        <v>1287.5258789</v>
      </c>
      <c r="J785">
        <v>1268.9204102000001</v>
      </c>
      <c r="K785">
        <v>2750</v>
      </c>
      <c r="L785">
        <v>0</v>
      </c>
      <c r="M785">
        <v>0</v>
      </c>
      <c r="N785">
        <v>2750</v>
      </c>
    </row>
    <row r="786" spans="1:14" x14ac:dyDescent="0.25">
      <c r="A786">
        <v>368.33493800000002</v>
      </c>
      <c r="B786" s="1">
        <f>DATE(2011,5,4) + TIME(8,2,18)</f>
        <v>40667.334930555553</v>
      </c>
      <c r="C786">
        <v>80</v>
      </c>
      <c r="D786">
        <v>79.759445189999994</v>
      </c>
      <c r="E786">
        <v>60</v>
      </c>
      <c r="F786">
        <v>59.315235137999998</v>
      </c>
      <c r="G786">
        <v>1400.7674560999999</v>
      </c>
      <c r="H786">
        <v>1383.7871094</v>
      </c>
      <c r="I786">
        <v>1287.5217285000001</v>
      </c>
      <c r="J786">
        <v>1268.9149170000001</v>
      </c>
      <c r="K786">
        <v>2750</v>
      </c>
      <c r="L786">
        <v>0</v>
      </c>
      <c r="M786">
        <v>0</v>
      </c>
      <c r="N786">
        <v>2750</v>
      </c>
    </row>
    <row r="787" spans="1:14" x14ac:dyDescent="0.25">
      <c r="A787">
        <v>368.45974000000001</v>
      </c>
      <c r="B787" s="1">
        <f>DATE(2011,5,4) + TIME(11,2,1)</f>
        <v>40667.459733796299</v>
      </c>
      <c r="C787">
        <v>80</v>
      </c>
      <c r="D787">
        <v>79.789291382000002</v>
      </c>
      <c r="E787">
        <v>60</v>
      </c>
      <c r="F787">
        <v>59.295452118</v>
      </c>
      <c r="G787">
        <v>1400.6667480000001</v>
      </c>
      <c r="H787">
        <v>1383.7010498</v>
      </c>
      <c r="I787">
        <v>1287.5173339999999</v>
      </c>
      <c r="J787">
        <v>1268.9093018000001</v>
      </c>
      <c r="K787">
        <v>2750</v>
      </c>
      <c r="L787">
        <v>0</v>
      </c>
      <c r="M787">
        <v>0</v>
      </c>
      <c r="N787">
        <v>2750</v>
      </c>
    </row>
    <row r="788" spans="1:14" x14ac:dyDescent="0.25">
      <c r="A788">
        <v>368.589564</v>
      </c>
      <c r="B788" s="1">
        <f>DATE(2011,5,4) + TIME(14,8,58)</f>
        <v>40667.589560185188</v>
      </c>
      <c r="C788">
        <v>80</v>
      </c>
      <c r="D788">
        <v>79.814979553000001</v>
      </c>
      <c r="E788">
        <v>60</v>
      </c>
      <c r="F788">
        <v>59.275009154999999</v>
      </c>
      <c r="G788">
        <v>1400.5660399999999</v>
      </c>
      <c r="H788">
        <v>1383.6145019999999</v>
      </c>
      <c r="I788">
        <v>1287.5128173999999</v>
      </c>
      <c r="J788">
        <v>1268.9034423999999</v>
      </c>
      <c r="K788">
        <v>2750</v>
      </c>
      <c r="L788">
        <v>0</v>
      </c>
      <c r="M788">
        <v>0</v>
      </c>
      <c r="N788">
        <v>2750</v>
      </c>
    </row>
    <row r="789" spans="1:14" x14ac:dyDescent="0.25">
      <c r="A789">
        <v>368.72498300000001</v>
      </c>
      <c r="B789" s="1">
        <f>DATE(2011,5,4) + TIME(17,23,58)</f>
        <v>40667.724976851852</v>
      </c>
      <c r="C789">
        <v>80</v>
      </c>
      <c r="D789">
        <v>79.836990356000001</v>
      </c>
      <c r="E789">
        <v>60</v>
      </c>
      <c r="F789">
        <v>59.253829955999997</v>
      </c>
      <c r="G789">
        <v>1400.4652100000001</v>
      </c>
      <c r="H789">
        <v>1383.5273437999999</v>
      </c>
      <c r="I789">
        <v>1287.5081786999999</v>
      </c>
      <c r="J789">
        <v>1268.8973389</v>
      </c>
      <c r="K789">
        <v>2750</v>
      </c>
      <c r="L789">
        <v>0</v>
      </c>
      <c r="M789">
        <v>0</v>
      </c>
      <c r="N789">
        <v>2750</v>
      </c>
    </row>
    <row r="790" spans="1:14" x14ac:dyDescent="0.25">
      <c r="A790">
        <v>368.86656399999998</v>
      </c>
      <c r="B790" s="1">
        <f>DATE(2011,5,4) + TIME(20,47,51)</f>
        <v>40667.866562499999</v>
      </c>
      <c r="C790">
        <v>80</v>
      </c>
      <c r="D790">
        <v>79.855758667000003</v>
      </c>
      <c r="E790">
        <v>60</v>
      </c>
      <c r="F790">
        <v>59.231838226000001</v>
      </c>
      <c r="G790">
        <v>1400.3638916</v>
      </c>
      <c r="H790">
        <v>1383.4393310999999</v>
      </c>
      <c r="I790">
        <v>1287.5032959</v>
      </c>
      <c r="J790">
        <v>1268.8909911999999</v>
      </c>
      <c r="K790">
        <v>2750</v>
      </c>
      <c r="L790">
        <v>0</v>
      </c>
      <c r="M790">
        <v>0</v>
      </c>
      <c r="N790">
        <v>2750</v>
      </c>
    </row>
    <row r="791" spans="1:14" x14ac:dyDescent="0.25">
      <c r="A791">
        <v>369.01432899999998</v>
      </c>
      <c r="B791" s="1">
        <f>DATE(2011,5,5) + TIME(0,20,38)</f>
        <v>40668.014328703706</v>
      </c>
      <c r="C791">
        <v>80</v>
      </c>
      <c r="D791">
        <v>79.871635436999995</v>
      </c>
      <c r="E791">
        <v>60</v>
      </c>
      <c r="F791">
        <v>59.209030151</v>
      </c>
      <c r="G791">
        <v>1400.2618408000001</v>
      </c>
      <c r="H791">
        <v>1383.3503418</v>
      </c>
      <c r="I791">
        <v>1287.4980469</v>
      </c>
      <c r="J791">
        <v>1268.8842772999999</v>
      </c>
      <c r="K791">
        <v>2750</v>
      </c>
      <c r="L791">
        <v>0</v>
      </c>
      <c r="M791">
        <v>0</v>
      </c>
      <c r="N791">
        <v>2750</v>
      </c>
    </row>
    <row r="792" spans="1:14" x14ac:dyDescent="0.25">
      <c r="A792">
        <v>369.167644</v>
      </c>
      <c r="B792" s="1">
        <f>DATE(2011,5,5) + TIME(4,1,24)</f>
        <v>40668.167638888888</v>
      </c>
      <c r="C792">
        <v>80</v>
      </c>
      <c r="D792">
        <v>79.884895325000002</v>
      </c>
      <c r="E792">
        <v>60</v>
      </c>
      <c r="F792">
        <v>59.185489654999998</v>
      </c>
      <c r="G792">
        <v>1400.1591797000001</v>
      </c>
      <c r="H792">
        <v>1383.2604980000001</v>
      </c>
      <c r="I792">
        <v>1287.4926757999999</v>
      </c>
      <c r="J792">
        <v>1268.8774414</v>
      </c>
      <c r="K792">
        <v>2750</v>
      </c>
      <c r="L792">
        <v>0</v>
      </c>
      <c r="M792">
        <v>0</v>
      </c>
      <c r="N792">
        <v>2750</v>
      </c>
    </row>
    <row r="793" spans="1:14" x14ac:dyDescent="0.25">
      <c r="A793">
        <v>369.32712299999997</v>
      </c>
      <c r="B793" s="1">
        <f>DATE(2011,5,5) + TIME(7,51,3)</f>
        <v>40668.327118055553</v>
      </c>
      <c r="C793">
        <v>80</v>
      </c>
      <c r="D793">
        <v>79.895935058999996</v>
      </c>
      <c r="E793">
        <v>60</v>
      </c>
      <c r="F793">
        <v>59.161140441999997</v>
      </c>
      <c r="G793">
        <v>1400.0563964999999</v>
      </c>
      <c r="H793">
        <v>1383.1704102000001</v>
      </c>
      <c r="I793">
        <v>1287.4870605000001</v>
      </c>
      <c r="J793">
        <v>1268.8701172000001</v>
      </c>
      <c r="K793">
        <v>2750</v>
      </c>
      <c r="L793">
        <v>0</v>
      </c>
      <c r="M793">
        <v>0</v>
      </c>
      <c r="N793">
        <v>2750</v>
      </c>
    </row>
    <row r="794" spans="1:14" x14ac:dyDescent="0.25">
      <c r="A794">
        <v>369.49351899999999</v>
      </c>
      <c r="B794" s="1">
        <f>DATE(2011,5,5) + TIME(11,50,40)</f>
        <v>40668.493518518517</v>
      </c>
      <c r="C794">
        <v>80</v>
      </c>
      <c r="D794">
        <v>79.905090332</v>
      </c>
      <c r="E794">
        <v>60</v>
      </c>
      <c r="F794">
        <v>59.135887146000002</v>
      </c>
      <c r="G794">
        <v>1399.953125</v>
      </c>
      <c r="H794">
        <v>1383.0795897999999</v>
      </c>
      <c r="I794">
        <v>1287.4812012</v>
      </c>
      <c r="J794">
        <v>1268.8626709</v>
      </c>
      <c r="K794">
        <v>2750</v>
      </c>
      <c r="L794">
        <v>0</v>
      </c>
      <c r="M794">
        <v>0</v>
      </c>
      <c r="N794">
        <v>2750</v>
      </c>
    </row>
    <row r="795" spans="1:14" x14ac:dyDescent="0.25">
      <c r="A795">
        <v>369.667462</v>
      </c>
      <c r="B795" s="1">
        <f>DATE(2011,5,5) + TIME(16,1,8)</f>
        <v>40668.667453703703</v>
      </c>
      <c r="C795">
        <v>80</v>
      </c>
      <c r="D795">
        <v>79.912643433</v>
      </c>
      <c r="E795">
        <v>60</v>
      </c>
      <c r="F795">
        <v>59.109657288000001</v>
      </c>
      <c r="G795">
        <v>1399.8491211</v>
      </c>
      <c r="H795">
        <v>1382.9880370999999</v>
      </c>
      <c r="I795">
        <v>1287.4750977000001</v>
      </c>
      <c r="J795">
        <v>1268.8548584</v>
      </c>
      <c r="K795">
        <v>2750</v>
      </c>
      <c r="L795">
        <v>0</v>
      </c>
      <c r="M795">
        <v>0</v>
      </c>
      <c r="N795">
        <v>2750</v>
      </c>
    </row>
    <row r="796" spans="1:14" x14ac:dyDescent="0.25">
      <c r="A796">
        <v>369.843908</v>
      </c>
      <c r="B796" s="1">
        <f>DATE(2011,5,5) + TIME(20,15,13)</f>
        <v>40668.843900462962</v>
      </c>
      <c r="C796">
        <v>80</v>
      </c>
      <c r="D796">
        <v>79.918685913000004</v>
      </c>
      <c r="E796">
        <v>60</v>
      </c>
      <c r="F796">
        <v>59.083053589000002</v>
      </c>
      <c r="G796">
        <v>1399.7442627</v>
      </c>
      <c r="H796">
        <v>1382.8956298999999</v>
      </c>
      <c r="I796">
        <v>1287.4686279</v>
      </c>
      <c r="J796">
        <v>1268.8466797000001</v>
      </c>
      <c r="K796">
        <v>2750</v>
      </c>
      <c r="L796">
        <v>0</v>
      </c>
      <c r="M796">
        <v>0</v>
      </c>
      <c r="N796">
        <v>2750</v>
      </c>
    </row>
    <row r="797" spans="1:14" x14ac:dyDescent="0.25">
      <c r="A797">
        <v>370.02155199999999</v>
      </c>
      <c r="B797" s="1">
        <f>DATE(2011,5,6) + TIME(0,31,2)</f>
        <v>40669.021550925929</v>
      </c>
      <c r="C797">
        <v>80</v>
      </c>
      <c r="D797">
        <v>79.923492432000003</v>
      </c>
      <c r="E797">
        <v>60</v>
      </c>
      <c r="F797">
        <v>59.056262969999999</v>
      </c>
      <c r="G797">
        <v>1399.6413574000001</v>
      </c>
      <c r="H797">
        <v>1382.8048096</v>
      </c>
      <c r="I797">
        <v>1287.4619141000001</v>
      </c>
      <c r="J797">
        <v>1268.8383789</v>
      </c>
      <c r="K797">
        <v>2750</v>
      </c>
      <c r="L797">
        <v>0</v>
      </c>
      <c r="M797">
        <v>0</v>
      </c>
      <c r="N797">
        <v>2750</v>
      </c>
    </row>
    <row r="798" spans="1:14" x14ac:dyDescent="0.25">
      <c r="A798">
        <v>370.19998299999997</v>
      </c>
      <c r="B798" s="1">
        <f>DATE(2011,5,6) + TIME(4,47,58)</f>
        <v>40669.199976851851</v>
      </c>
      <c r="C798">
        <v>80</v>
      </c>
      <c r="D798">
        <v>79.927307128999999</v>
      </c>
      <c r="E798">
        <v>60</v>
      </c>
      <c r="F798">
        <v>59.029354095000002</v>
      </c>
      <c r="G798">
        <v>1399.5411377</v>
      </c>
      <c r="H798">
        <v>1382.7164307</v>
      </c>
      <c r="I798">
        <v>1287.4553223</v>
      </c>
      <c r="J798">
        <v>1268.8299560999999</v>
      </c>
      <c r="K798">
        <v>2750</v>
      </c>
      <c r="L798">
        <v>0</v>
      </c>
      <c r="M798">
        <v>0</v>
      </c>
      <c r="N798">
        <v>2750</v>
      </c>
    </row>
    <row r="799" spans="1:14" x14ac:dyDescent="0.25">
      <c r="A799">
        <v>370.37962099999999</v>
      </c>
      <c r="B799" s="1">
        <f>DATE(2011,5,6) + TIME(9,6,39)</f>
        <v>40669.379618055558</v>
      </c>
      <c r="C799">
        <v>80</v>
      </c>
      <c r="D799">
        <v>79.930351256999998</v>
      </c>
      <c r="E799">
        <v>60</v>
      </c>
      <c r="F799">
        <v>59.002300261999999</v>
      </c>
      <c r="G799">
        <v>1399.4436035000001</v>
      </c>
      <c r="H799">
        <v>1382.630249</v>
      </c>
      <c r="I799">
        <v>1287.4486084</v>
      </c>
      <c r="J799">
        <v>1268.8215332</v>
      </c>
      <c r="K799">
        <v>2750</v>
      </c>
      <c r="L799">
        <v>0</v>
      </c>
      <c r="M799">
        <v>0</v>
      </c>
      <c r="N799">
        <v>2750</v>
      </c>
    </row>
    <row r="800" spans="1:14" x14ac:dyDescent="0.25">
      <c r="A800">
        <v>370.56086900000003</v>
      </c>
      <c r="B800" s="1">
        <f>DATE(2011,5,6) + TIME(13,27,39)</f>
        <v>40669.560868055552</v>
      </c>
      <c r="C800">
        <v>80</v>
      </c>
      <c r="D800">
        <v>79.932792664000004</v>
      </c>
      <c r="E800">
        <v>60</v>
      </c>
      <c r="F800">
        <v>58.975067138999997</v>
      </c>
      <c r="G800">
        <v>1399.3482666</v>
      </c>
      <c r="H800">
        <v>1382.5462646000001</v>
      </c>
      <c r="I800">
        <v>1287.4418945</v>
      </c>
      <c r="J800">
        <v>1268.8131103999999</v>
      </c>
      <c r="K800">
        <v>2750</v>
      </c>
      <c r="L800">
        <v>0</v>
      </c>
      <c r="M800">
        <v>0</v>
      </c>
      <c r="N800">
        <v>2750</v>
      </c>
    </row>
    <row r="801" spans="1:14" x14ac:dyDescent="0.25">
      <c r="A801">
        <v>370.74412599999999</v>
      </c>
      <c r="B801" s="1">
        <f>DATE(2011,5,6) + TIME(17,51,32)</f>
        <v>40669.744120370371</v>
      </c>
      <c r="C801">
        <v>80</v>
      </c>
      <c r="D801">
        <v>79.934753418</v>
      </c>
      <c r="E801">
        <v>60</v>
      </c>
      <c r="F801">
        <v>58.947620391999997</v>
      </c>
      <c r="G801">
        <v>1399.2550048999999</v>
      </c>
      <c r="H801">
        <v>1382.4638672000001</v>
      </c>
      <c r="I801">
        <v>1287.4350586</v>
      </c>
      <c r="J801">
        <v>1268.8045654</v>
      </c>
      <c r="K801">
        <v>2750</v>
      </c>
      <c r="L801">
        <v>0</v>
      </c>
      <c r="M801">
        <v>0</v>
      </c>
      <c r="N801">
        <v>2750</v>
      </c>
    </row>
    <row r="802" spans="1:14" x14ac:dyDescent="0.25">
      <c r="A802">
        <v>370.92986200000001</v>
      </c>
      <c r="B802" s="1">
        <f>DATE(2011,5,6) + TIME(22,19,0)</f>
        <v>40669.929861111108</v>
      </c>
      <c r="C802">
        <v>80</v>
      </c>
      <c r="D802">
        <v>79.936340332</v>
      </c>
      <c r="E802">
        <v>60</v>
      </c>
      <c r="F802">
        <v>58.919906615999999</v>
      </c>
      <c r="G802">
        <v>1399.1632079999999</v>
      </c>
      <c r="H802">
        <v>1382.3830565999999</v>
      </c>
      <c r="I802">
        <v>1287.4282227000001</v>
      </c>
      <c r="J802">
        <v>1268.7957764</v>
      </c>
      <c r="K802">
        <v>2750</v>
      </c>
      <c r="L802">
        <v>0</v>
      </c>
      <c r="M802">
        <v>0</v>
      </c>
      <c r="N802">
        <v>2750</v>
      </c>
    </row>
    <row r="803" spans="1:14" x14ac:dyDescent="0.25">
      <c r="A803">
        <v>371.11840599999999</v>
      </c>
      <c r="B803" s="1">
        <f>DATE(2011,5,7) + TIME(2,50,30)</f>
        <v>40670.118402777778</v>
      </c>
      <c r="C803">
        <v>80</v>
      </c>
      <c r="D803">
        <v>79.937629700000002</v>
      </c>
      <c r="E803">
        <v>60</v>
      </c>
      <c r="F803">
        <v>58.891895294000001</v>
      </c>
      <c r="G803">
        <v>1399.072876</v>
      </c>
      <c r="H803">
        <v>1382.3034668</v>
      </c>
      <c r="I803">
        <v>1287.4212646000001</v>
      </c>
      <c r="J803">
        <v>1268.7869873</v>
      </c>
      <c r="K803">
        <v>2750</v>
      </c>
      <c r="L803">
        <v>0</v>
      </c>
      <c r="M803">
        <v>0</v>
      </c>
      <c r="N803">
        <v>2750</v>
      </c>
    </row>
    <row r="804" spans="1:14" x14ac:dyDescent="0.25">
      <c r="A804">
        <v>371.31017900000001</v>
      </c>
      <c r="B804" s="1">
        <f>DATE(2011,5,7) + TIME(7,26,39)</f>
        <v>40670.310173611113</v>
      </c>
      <c r="C804">
        <v>80</v>
      </c>
      <c r="D804">
        <v>79.938674926999994</v>
      </c>
      <c r="E804">
        <v>60</v>
      </c>
      <c r="F804">
        <v>58.863536834999998</v>
      </c>
      <c r="G804">
        <v>1398.9835204999999</v>
      </c>
      <c r="H804">
        <v>1382.2248535000001</v>
      </c>
      <c r="I804">
        <v>1287.4141846</v>
      </c>
      <c r="J804">
        <v>1268.7780762</v>
      </c>
      <c r="K804">
        <v>2750</v>
      </c>
      <c r="L804">
        <v>0</v>
      </c>
      <c r="M804">
        <v>0</v>
      </c>
      <c r="N804">
        <v>2750</v>
      </c>
    </row>
    <row r="805" spans="1:14" x14ac:dyDescent="0.25">
      <c r="A805">
        <v>371.50561800000003</v>
      </c>
      <c r="B805" s="1">
        <f>DATE(2011,5,7) + TIME(12,8,5)</f>
        <v>40670.505613425928</v>
      </c>
      <c r="C805">
        <v>80</v>
      </c>
      <c r="D805">
        <v>79.939529418999996</v>
      </c>
      <c r="E805">
        <v>60</v>
      </c>
      <c r="F805">
        <v>58.834777832</v>
      </c>
      <c r="G805">
        <v>1398.8951416</v>
      </c>
      <c r="H805">
        <v>1382.1470947</v>
      </c>
      <c r="I805">
        <v>1287.4068603999999</v>
      </c>
      <c r="J805">
        <v>1268.7689209</v>
      </c>
      <c r="K805">
        <v>2750</v>
      </c>
      <c r="L805">
        <v>0</v>
      </c>
      <c r="M805">
        <v>0</v>
      </c>
      <c r="N805">
        <v>2750</v>
      </c>
    </row>
    <row r="806" spans="1:14" x14ac:dyDescent="0.25">
      <c r="A806">
        <v>371.70518900000002</v>
      </c>
      <c r="B806" s="1">
        <f>DATE(2011,5,7) + TIME(16,55,28)</f>
        <v>40670.705185185187</v>
      </c>
      <c r="C806">
        <v>80</v>
      </c>
      <c r="D806">
        <v>79.940231323000006</v>
      </c>
      <c r="E806">
        <v>60</v>
      </c>
      <c r="F806">
        <v>58.805568694999998</v>
      </c>
      <c r="G806">
        <v>1398.8073730000001</v>
      </c>
      <c r="H806">
        <v>1382.0699463000001</v>
      </c>
      <c r="I806">
        <v>1287.3995361</v>
      </c>
      <c r="J806">
        <v>1268.7596435999999</v>
      </c>
      <c r="K806">
        <v>2750</v>
      </c>
      <c r="L806">
        <v>0</v>
      </c>
      <c r="M806">
        <v>0</v>
      </c>
      <c r="N806">
        <v>2750</v>
      </c>
    </row>
    <row r="807" spans="1:14" x14ac:dyDescent="0.25">
      <c r="A807">
        <v>371.90939200000003</v>
      </c>
      <c r="B807" s="1">
        <f>DATE(2011,5,7) + TIME(21,49,31)</f>
        <v>40670.909386574072</v>
      </c>
      <c r="C807">
        <v>80</v>
      </c>
      <c r="D807">
        <v>79.940811156999999</v>
      </c>
      <c r="E807">
        <v>60</v>
      </c>
      <c r="F807">
        <v>58.775844573999997</v>
      </c>
      <c r="G807">
        <v>1398.7200928</v>
      </c>
      <c r="H807">
        <v>1381.9932861</v>
      </c>
      <c r="I807">
        <v>1287.3920897999999</v>
      </c>
      <c r="J807">
        <v>1268.7502440999999</v>
      </c>
      <c r="K807">
        <v>2750</v>
      </c>
      <c r="L807">
        <v>0</v>
      </c>
      <c r="M807">
        <v>0</v>
      </c>
      <c r="N807">
        <v>2750</v>
      </c>
    </row>
    <row r="808" spans="1:14" x14ac:dyDescent="0.25">
      <c r="A808">
        <v>372.11876699999999</v>
      </c>
      <c r="B808" s="1">
        <f>DATE(2011,5,8) + TIME(2,51,1)</f>
        <v>40671.118761574071</v>
      </c>
      <c r="C808">
        <v>80</v>
      </c>
      <c r="D808">
        <v>79.941291809000006</v>
      </c>
      <c r="E808">
        <v>60</v>
      </c>
      <c r="F808">
        <v>58.745544434000003</v>
      </c>
      <c r="G808">
        <v>1398.6329346</v>
      </c>
      <c r="H808">
        <v>1381.9169922000001</v>
      </c>
      <c r="I808">
        <v>1287.3842772999999</v>
      </c>
      <c r="J808">
        <v>1268.7404785000001</v>
      </c>
      <c r="K808">
        <v>2750</v>
      </c>
      <c r="L808">
        <v>0</v>
      </c>
      <c r="M808">
        <v>0</v>
      </c>
      <c r="N808">
        <v>2750</v>
      </c>
    </row>
    <row r="809" spans="1:14" x14ac:dyDescent="0.25">
      <c r="A809">
        <v>372.33390900000001</v>
      </c>
      <c r="B809" s="1">
        <f>DATE(2011,5,8) + TIME(8,0,49)</f>
        <v>40671.33390046296</v>
      </c>
      <c r="C809">
        <v>80</v>
      </c>
      <c r="D809">
        <v>79.941688537999994</v>
      </c>
      <c r="E809">
        <v>60</v>
      </c>
      <c r="F809">
        <v>58.714599608999997</v>
      </c>
      <c r="G809">
        <v>1398.5460204999999</v>
      </c>
      <c r="H809">
        <v>1381.8408202999999</v>
      </c>
      <c r="I809">
        <v>1287.3764647999999</v>
      </c>
      <c r="J809">
        <v>1268.7304687999999</v>
      </c>
      <c r="K809">
        <v>2750</v>
      </c>
      <c r="L809">
        <v>0</v>
      </c>
      <c r="M809">
        <v>0</v>
      </c>
      <c r="N809">
        <v>2750</v>
      </c>
    </row>
    <row r="810" spans="1:14" x14ac:dyDescent="0.25">
      <c r="A810">
        <v>372.55547100000001</v>
      </c>
      <c r="B810" s="1">
        <f>DATE(2011,5,8) + TIME(13,19,52)</f>
        <v>40671.555462962962</v>
      </c>
      <c r="C810">
        <v>80</v>
      </c>
      <c r="D810">
        <v>79.942024231000005</v>
      </c>
      <c r="E810">
        <v>60</v>
      </c>
      <c r="F810">
        <v>58.682926178000002</v>
      </c>
      <c r="G810">
        <v>1398.4588623</v>
      </c>
      <c r="H810">
        <v>1381.7645264</v>
      </c>
      <c r="I810">
        <v>1287.3682861</v>
      </c>
      <c r="J810">
        <v>1268.7203368999999</v>
      </c>
      <c r="K810">
        <v>2750</v>
      </c>
      <c r="L810">
        <v>0</v>
      </c>
      <c r="M810">
        <v>0</v>
      </c>
      <c r="N810">
        <v>2750</v>
      </c>
    </row>
    <row r="811" spans="1:14" x14ac:dyDescent="0.25">
      <c r="A811">
        <v>372.78418499999998</v>
      </c>
      <c r="B811" s="1">
        <f>DATE(2011,5,8) + TIME(18,49,13)</f>
        <v>40671.784178240741</v>
      </c>
      <c r="C811">
        <v>80</v>
      </c>
      <c r="D811">
        <v>79.942298889</v>
      </c>
      <c r="E811">
        <v>60</v>
      </c>
      <c r="F811">
        <v>58.650444030999999</v>
      </c>
      <c r="G811">
        <v>1398.3713379000001</v>
      </c>
      <c r="H811">
        <v>1381.6879882999999</v>
      </c>
      <c r="I811">
        <v>1287.3598632999999</v>
      </c>
      <c r="J811">
        <v>1268.7097168</v>
      </c>
      <c r="K811">
        <v>2750</v>
      </c>
      <c r="L811">
        <v>0</v>
      </c>
      <c r="M811">
        <v>0</v>
      </c>
      <c r="N811">
        <v>2750</v>
      </c>
    </row>
    <row r="812" spans="1:14" x14ac:dyDescent="0.25">
      <c r="A812">
        <v>373.02100999999999</v>
      </c>
      <c r="B812" s="1">
        <f>DATE(2011,5,9) + TIME(0,30,15)</f>
        <v>40672.021006944444</v>
      </c>
      <c r="C812">
        <v>80</v>
      </c>
      <c r="D812">
        <v>79.942535399999997</v>
      </c>
      <c r="E812">
        <v>60</v>
      </c>
      <c r="F812">
        <v>58.617038727000001</v>
      </c>
      <c r="G812">
        <v>1398.2833252</v>
      </c>
      <c r="H812">
        <v>1381.6110839999999</v>
      </c>
      <c r="I812">
        <v>1287.3511963000001</v>
      </c>
      <c r="J812">
        <v>1268.6988524999999</v>
      </c>
      <c r="K812">
        <v>2750</v>
      </c>
      <c r="L812">
        <v>0</v>
      </c>
      <c r="M812">
        <v>0</v>
      </c>
      <c r="N812">
        <v>2750</v>
      </c>
    </row>
    <row r="813" spans="1:14" x14ac:dyDescent="0.25">
      <c r="A813">
        <v>373.26678900000002</v>
      </c>
      <c r="B813" s="1">
        <f>DATE(2011,5,9) + TIME(6,24,10)</f>
        <v>40672.266782407409</v>
      </c>
      <c r="C813">
        <v>80</v>
      </c>
      <c r="D813">
        <v>79.942733765</v>
      </c>
      <c r="E813">
        <v>60</v>
      </c>
      <c r="F813">
        <v>58.582611084</v>
      </c>
      <c r="G813">
        <v>1398.1944579999999</v>
      </c>
      <c r="H813">
        <v>1381.5335693</v>
      </c>
      <c r="I813">
        <v>1287.3422852000001</v>
      </c>
      <c r="J813">
        <v>1268.6875</v>
      </c>
      <c r="K813">
        <v>2750</v>
      </c>
      <c r="L813">
        <v>0</v>
      </c>
      <c r="M813">
        <v>0</v>
      </c>
      <c r="N813">
        <v>2750</v>
      </c>
    </row>
    <row r="814" spans="1:14" x14ac:dyDescent="0.25">
      <c r="A814">
        <v>373.52038099999999</v>
      </c>
      <c r="B814" s="1">
        <f>DATE(2011,5,9) + TIME(12,29,20)</f>
        <v>40672.520370370374</v>
      </c>
      <c r="C814">
        <v>80</v>
      </c>
      <c r="D814">
        <v>79.942893982000001</v>
      </c>
      <c r="E814">
        <v>60</v>
      </c>
      <c r="F814">
        <v>58.547267914000003</v>
      </c>
      <c r="G814">
        <v>1398.1044922000001</v>
      </c>
      <c r="H814">
        <v>1381.4550781</v>
      </c>
      <c r="I814">
        <v>1287.3328856999999</v>
      </c>
      <c r="J814">
        <v>1268.6757812000001</v>
      </c>
      <c r="K814">
        <v>2750</v>
      </c>
      <c r="L814">
        <v>0</v>
      </c>
      <c r="M814">
        <v>0</v>
      </c>
      <c r="N814">
        <v>2750</v>
      </c>
    </row>
    <row r="815" spans="1:14" x14ac:dyDescent="0.25">
      <c r="A815">
        <v>373.781318</v>
      </c>
      <c r="B815" s="1">
        <f>DATE(2011,5,9) + TIME(18,45,5)</f>
        <v>40672.781307870369</v>
      </c>
      <c r="C815">
        <v>80</v>
      </c>
      <c r="D815">
        <v>79.943038939999994</v>
      </c>
      <c r="E815">
        <v>60</v>
      </c>
      <c r="F815">
        <v>58.511058806999998</v>
      </c>
      <c r="G815">
        <v>1398.0140381000001</v>
      </c>
      <c r="H815">
        <v>1381.3763428</v>
      </c>
      <c r="I815">
        <v>1287.3231201000001</v>
      </c>
      <c r="J815">
        <v>1268.6636963000001</v>
      </c>
      <c r="K815">
        <v>2750</v>
      </c>
      <c r="L815">
        <v>0</v>
      </c>
      <c r="M815">
        <v>0</v>
      </c>
      <c r="N815">
        <v>2750</v>
      </c>
    </row>
    <row r="816" spans="1:14" x14ac:dyDescent="0.25">
      <c r="A816">
        <v>374.05043599999999</v>
      </c>
      <c r="B816" s="1">
        <f>DATE(2011,5,10) + TIME(1,12,37)</f>
        <v>40673.050428240742</v>
      </c>
      <c r="C816">
        <v>80</v>
      </c>
      <c r="D816">
        <v>79.943153381000002</v>
      </c>
      <c r="E816">
        <v>60</v>
      </c>
      <c r="F816">
        <v>58.473903655999997</v>
      </c>
      <c r="G816">
        <v>1397.9233397999999</v>
      </c>
      <c r="H816">
        <v>1381.2974853999999</v>
      </c>
      <c r="I816">
        <v>1287.3131103999999</v>
      </c>
      <c r="J816">
        <v>1268.6512451000001</v>
      </c>
      <c r="K816">
        <v>2750</v>
      </c>
      <c r="L816">
        <v>0</v>
      </c>
      <c r="M816">
        <v>0</v>
      </c>
      <c r="N816">
        <v>2750</v>
      </c>
    </row>
    <row r="817" spans="1:14" x14ac:dyDescent="0.25">
      <c r="A817">
        <v>374.32633499999997</v>
      </c>
      <c r="B817" s="1">
        <f>DATE(2011,5,10) + TIME(7,49,55)</f>
        <v>40673.326331018521</v>
      </c>
      <c r="C817">
        <v>80</v>
      </c>
      <c r="D817">
        <v>79.943244934000006</v>
      </c>
      <c r="E817">
        <v>60</v>
      </c>
      <c r="F817">
        <v>58.435943604000002</v>
      </c>
      <c r="G817">
        <v>1397.8321533000001</v>
      </c>
      <c r="H817">
        <v>1381.2182617000001</v>
      </c>
      <c r="I817">
        <v>1287.3028564000001</v>
      </c>
      <c r="J817">
        <v>1268.6383057</v>
      </c>
      <c r="K817">
        <v>2750</v>
      </c>
      <c r="L817">
        <v>0</v>
      </c>
      <c r="M817">
        <v>0</v>
      </c>
      <c r="N817">
        <v>2750</v>
      </c>
    </row>
    <row r="818" spans="1:14" x14ac:dyDescent="0.25">
      <c r="A818">
        <v>374.60434299999997</v>
      </c>
      <c r="B818" s="1">
        <f>DATE(2011,5,10) + TIME(14,30,15)</f>
        <v>40673.60434027778</v>
      </c>
      <c r="C818">
        <v>80</v>
      </c>
      <c r="D818">
        <v>79.943321228000002</v>
      </c>
      <c r="E818">
        <v>60</v>
      </c>
      <c r="F818">
        <v>58.397663115999997</v>
      </c>
      <c r="G818">
        <v>1397.7410889</v>
      </c>
      <c r="H818">
        <v>1381.1390381000001</v>
      </c>
      <c r="I818">
        <v>1287.2921143000001</v>
      </c>
      <c r="J818">
        <v>1268.6251221</v>
      </c>
      <c r="K818">
        <v>2750</v>
      </c>
      <c r="L818">
        <v>0</v>
      </c>
      <c r="M818">
        <v>0</v>
      </c>
      <c r="N818">
        <v>2750</v>
      </c>
    </row>
    <row r="819" spans="1:14" x14ac:dyDescent="0.25">
      <c r="A819">
        <v>374.88433900000001</v>
      </c>
      <c r="B819" s="1">
        <f>DATE(2011,5,10) + TIME(21,13,26)</f>
        <v>40673.884328703702</v>
      </c>
      <c r="C819">
        <v>80</v>
      </c>
      <c r="D819">
        <v>79.943389893000003</v>
      </c>
      <c r="E819">
        <v>60</v>
      </c>
      <c r="F819">
        <v>58.359127045000001</v>
      </c>
      <c r="G819">
        <v>1397.6514893000001</v>
      </c>
      <c r="H819">
        <v>1381.0614014</v>
      </c>
      <c r="I819">
        <v>1287.2813721</v>
      </c>
      <c r="J819">
        <v>1268.6118164</v>
      </c>
      <c r="K819">
        <v>2750</v>
      </c>
      <c r="L819">
        <v>0</v>
      </c>
      <c r="M819">
        <v>0</v>
      </c>
      <c r="N819">
        <v>2750</v>
      </c>
    </row>
    <row r="820" spans="1:14" x14ac:dyDescent="0.25">
      <c r="A820">
        <v>375.16603500000002</v>
      </c>
      <c r="B820" s="1">
        <f>DATE(2011,5,11) + TIME(3,59,5)</f>
        <v>40674.166030092594</v>
      </c>
      <c r="C820">
        <v>80</v>
      </c>
      <c r="D820">
        <v>79.943435668999996</v>
      </c>
      <c r="E820">
        <v>60</v>
      </c>
      <c r="F820">
        <v>58.320415496999999</v>
      </c>
      <c r="G820">
        <v>1397.5634766000001</v>
      </c>
      <c r="H820">
        <v>1380.9851074000001</v>
      </c>
      <c r="I820">
        <v>1287.2705077999999</v>
      </c>
      <c r="J820">
        <v>1268.5983887</v>
      </c>
      <c r="K820">
        <v>2750</v>
      </c>
      <c r="L820">
        <v>0</v>
      </c>
      <c r="M820">
        <v>0</v>
      </c>
      <c r="N820">
        <v>2750</v>
      </c>
    </row>
    <row r="821" spans="1:14" x14ac:dyDescent="0.25">
      <c r="A821">
        <v>375.45016399999997</v>
      </c>
      <c r="B821" s="1">
        <f>DATE(2011,5,11) + TIME(10,48,14)</f>
        <v>40674.450162037036</v>
      </c>
      <c r="C821">
        <v>80</v>
      </c>
      <c r="D821">
        <v>79.943481445000003</v>
      </c>
      <c r="E821">
        <v>60</v>
      </c>
      <c r="F821">
        <v>58.281486510999997</v>
      </c>
      <c r="G821">
        <v>1397.4770507999999</v>
      </c>
      <c r="H821">
        <v>1380.9104004000001</v>
      </c>
      <c r="I821">
        <v>1287.2596435999999</v>
      </c>
      <c r="J821">
        <v>1268.5848389</v>
      </c>
      <c r="K821">
        <v>2750</v>
      </c>
      <c r="L821">
        <v>0</v>
      </c>
      <c r="M821">
        <v>0</v>
      </c>
      <c r="N821">
        <v>2750</v>
      </c>
    </row>
    <row r="822" spans="1:14" x14ac:dyDescent="0.25">
      <c r="A822">
        <v>375.73737</v>
      </c>
      <c r="B822" s="1">
        <f>DATE(2011,5,11) + TIME(17,41,48)</f>
        <v>40674.737361111111</v>
      </c>
      <c r="C822">
        <v>80</v>
      </c>
      <c r="D822">
        <v>79.943511963000006</v>
      </c>
      <c r="E822">
        <v>60</v>
      </c>
      <c r="F822">
        <v>58.242294311999999</v>
      </c>
      <c r="G822">
        <v>1397.3919678</v>
      </c>
      <c r="H822">
        <v>1380.8366699000001</v>
      </c>
      <c r="I822">
        <v>1287.2486572</v>
      </c>
      <c r="J822">
        <v>1268.5711670000001</v>
      </c>
      <c r="K822">
        <v>2750</v>
      </c>
      <c r="L822">
        <v>0</v>
      </c>
      <c r="M822">
        <v>0</v>
      </c>
      <c r="N822">
        <v>2750</v>
      </c>
    </row>
    <row r="823" spans="1:14" x14ac:dyDescent="0.25">
      <c r="A823">
        <v>376.02825899999999</v>
      </c>
      <c r="B823" s="1">
        <f>DATE(2011,5,12) + TIME(0,40,41)</f>
        <v>40675.028252314813</v>
      </c>
      <c r="C823">
        <v>80</v>
      </c>
      <c r="D823">
        <v>79.943534850999995</v>
      </c>
      <c r="E823">
        <v>60</v>
      </c>
      <c r="F823">
        <v>58.202789307000003</v>
      </c>
      <c r="G823">
        <v>1397.3079834</v>
      </c>
      <c r="H823">
        <v>1380.7640381000001</v>
      </c>
      <c r="I823">
        <v>1287.2374268000001</v>
      </c>
      <c r="J823">
        <v>1268.5573730000001</v>
      </c>
      <c r="K823">
        <v>2750</v>
      </c>
      <c r="L823">
        <v>0</v>
      </c>
      <c r="M823">
        <v>0</v>
      </c>
      <c r="N823">
        <v>2750</v>
      </c>
    </row>
    <row r="824" spans="1:14" x14ac:dyDescent="0.25">
      <c r="A824">
        <v>376.32350700000001</v>
      </c>
      <c r="B824" s="1">
        <f>DATE(2011,5,12) + TIME(7,45,51)</f>
        <v>40675.323506944442</v>
      </c>
      <c r="C824">
        <v>80</v>
      </c>
      <c r="D824">
        <v>79.943550110000004</v>
      </c>
      <c r="E824">
        <v>60</v>
      </c>
      <c r="F824">
        <v>58.162914276000002</v>
      </c>
      <c r="G824">
        <v>1397.2247314000001</v>
      </c>
      <c r="H824">
        <v>1380.6921387</v>
      </c>
      <c r="I824">
        <v>1287.2261963000001</v>
      </c>
      <c r="J824">
        <v>1268.5433350000001</v>
      </c>
      <c r="K824">
        <v>2750</v>
      </c>
      <c r="L824">
        <v>0</v>
      </c>
      <c r="M824">
        <v>0</v>
      </c>
      <c r="N824">
        <v>2750</v>
      </c>
    </row>
    <row r="825" spans="1:14" x14ac:dyDescent="0.25">
      <c r="A825">
        <v>376.62381900000003</v>
      </c>
      <c r="B825" s="1">
        <f>DATE(2011,5,12) + TIME(14,58,17)</f>
        <v>40675.623807870368</v>
      </c>
      <c r="C825">
        <v>80</v>
      </c>
      <c r="D825">
        <v>79.943565368999998</v>
      </c>
      <c r="E825">
        <v>60</v>
      </c>
      <c r="F825">
        <v>58.122589111000003</v>
      </c>
      <c r="G825">
        <v>1397.1422118999999</v>
      </c>
      <c r="H825">
        <v>1380.6209716999999</v>
      </c>
      <c r="I825">
        <v>1287.2145995999999</v>
      </c>
      <c r="J825">
        <v>1268.5290527</v>
      </c>
      <c r="K825">
        <v>2750</v>
      </c>
      <c r="L825">
        <v>0</v>
      </c>
      <c r="M825">
        <v>0</v>
      </c>
      <c r="N825">
        <v>2750</v>
      </c>
    </row>
    <row r="826" spans="1:14" x14ac:dyDescent="0.25">
      <c r="A826">
        <v>376.92994399999998</v>
      </c>
      <c r="B826" s="1">
        <f>DATE(2011,5,12) + TIME(22,19,7)</f>
        <v>40675.929942129631</v>
      </c>
      <c r="C826">
        <v>80</v>
      </c>
      <c r="D826">
        <v>79.943580627000003</v>
      </c>
      <c r="E826">
        <v>60</v>
      </c>
      <c r="F826">
        <v>58.081737517999997</v>
      </c>
      <c r="G826">
        <v>1397.0601807</v>
      </c>
      <c r="H826">
        <v>1380.5501709</v>
      </c>
      <c r="I826">
        <v>1287.2030029</v>
      </c>
      <c r="J826">
        <v>1268.5145264</v>
      </c>
      <c r="K826">
        <v>2750</v>
      </c>
      <c r="L826">
        <v>0</v>
      </c>
      <c r="M826">
        <v>0</v>
      </c>
      <c r="N826">
        <v>2750</v>
      </c>
    </row>
    <row r="827" spans="1:14" x14ac:dyDescent="0.25">
      <c r="A827">
        <v>377.24267900000001</v>
      </c>
      <c r="B827" s="1">
        <f>DATE(2011,5,13) + TIME(5,49,27)</f>
        <v>40676.242673611108</v>
      </c>
      <c r="C827">
        <v>80</v>
      </c>
      <c r="D827">
        <v>79.943580627000003</v>
      </c>
      <c r="E827">
        <v>60</v>
      </c>
      <c r="F827">
        <v>58.040279388000002</v>
      </c>
      <c r="G827">
        <v>1396.9782714999999</v>
      </c>
      <c r="H827">
        <v>1380.4794922000001</v>
      </c>
      <c r="I827">
        <v>1287.1910399999999</v>
      </c>
      <c r="J827">
        <v>1268.4996338000001</v>
      </c>
      <c r="K827">
        <v>2750</v>
      </c>
      <c r="L827">
        <v>0</v>
      </c>
      <c r="M827">
        <v>0</v>
      </c>
      <c r="N827">
        <v>2750</v>
      </c>
    </row>
    <row r="828" spans="1:14" x14ac:dyDescent="0.25">
      <c r="A828">
        <v>377.56289400000003</v>
      </c>
      <c r="B828" s="1">
        <f>DATE(2011,5,13) + TIME(13,30,34)</f>
        <v>40676.562893518516</v>
      </c>
      <c r="C828">
        <v>80</v>
      </c>
      <c r="D828">
        <v>79.943588257000002</v>
      </c>
      <c r="E828">
        <v>60</v>
      </c>
      <c r="F828">
        <v>57.998111725000001</v>
      </c>
      <c r="G828">
        <v>1396.8964844</v>
      </c>
      <c r="H828">
        <v>1380.4090576000001</v>
      </c>
      <c r="I828">
        <v>1287.1787108999999</v>
      </c>
      <c r="J828">
        <v>1268.4844971</v>
      </c>
      <c r="K828">
        <v>2750</v>
      </c>
      <c r="L828">
        <v>0</v>
      </c>
      <c r="M828">
        <v>0</v>
      </c>
      <c r="N828">
        <v>2750</v>
      </c>
    </row>
    <row r="829" spans="1:14" x14ac:dyDescent="0.25">
      <c r="A829">
        <v>377.89153900000002</v>
      </c>
      <c r="B829" s="1">
        <f>DATE(2011,5,13) + TIME(21,23,48)</f>
        <v>40676.891527777778</v>
      </c>
      <c r="C829">
        <v>80</v>
      </c>
      <c r="D829">
        <v>79.943588257000002</v>
      </c>
      <c r="E829">
        <v>60</v>
      </c>
      <c r="F829">
        <v>57.955135345000002</v>
      </c>
      <c r="G829">
        <v>1396.8144531</v>
      </c>
      <c r="H829">
        <v>1380.338501</v>
      </c>
      <c r="I829">
        <v>1287.1662598</v>
      </c>
      <c r="J829">
        <v>1268.4688721</v>
      </c>
      <c r="K829">
        <v>2750</v>
      </c>
      <c r="L829">
        <v>0</v>
      </c>
      <c r="M829">
        <v>0</v>
      </c>
      <c r="N829">
        <v>2750</v>
      </c>
    </row>
    <row r="830" spans="1:14" x14ac:dyDescent="0.25">
      <c r="A830">
        <v>378.22951799999998</v>
      </c>
      <c r="B830" s="1">
        <f>DATE(2011,5,14) + TIME(5,30,30)</f>
        <v>40677.229513888888</v>
      </c>
      <c r="C830">
        <v>80</v>
      </c>
      <c r="D830">
        <v>79.943588257000002</v>
      </c>
      <c r="E830">
        <v>60</v>
      </c>
      <c r="F830">
        <v>57.911251067999999</v>
      </c>
      <c r="G830">
        <v>1396.7321777</v>
      </c>
      <c r="H830">
        <v>1380.2677002</v>
      </c>
      <c r="I830">
        <v>1287.1533202999999</v>
      </c>
      <c r="J830">
        <v>1268.4528809000001</v>
      </c>
      <c r="K830">
        <v>2750</v>
      </c>
      <c r="L830">
        <v>0</v>
      </c>
      <c r="M830">
        <v>0</v>
      </c>
      <c r="N830">
        <v>2750</v>
      </c>
    </row>
    <row r="831" spans="1:14" x14ac:dyDescent="0.25">
      <c r="A831">
        <v>378.57694199999997</v>
      </c>
      <c r="B831" s="1">
        <f>DATE(2011,5,14) + TIME(13,50,47)</f>
        <v>40677.576932870368</v>
      </c>
      <c r="C831">
        <v>80</v>
      </c>
      <c r="D831">
        <v>79.943580627000003</v>
      </c>
      <c r="E831">
        <v>60</v>
      </c>
      <c r="F831">
        <v>57.866432189999998</v>
      </c>
      <c r="G831">
        <v>1396.6492920000001</v>
      </c>
      <c r="H831">
        <v>1380.1964111</v>
      </c>
      <c r="I831">
        <v>1287.1400146000001</v>
      </c>
      <c r="J831">
        <v>1268.4364014</v>
      </c>
      <c r="K831">
        <v>2750</v>
      </c>
      <c r="L831">
        <v>0</v>
      </c>
      <c r="M831">
        <v>0</v>
      </c>
      <c r="N831">
        <v>2750</v>
      </c>
    </row>
    <row r="832" spans="1:14" x14ac:dyDescent="0.25">
      <c r="A832">
        <v>378.93497400000001</v>
      </c>
      <c r="B832" s="1">
        <f>DATE(2011,5,14) + TIME(22,26,21)</f>
        <v>40677.934965277775</v>
      </c>
      <c r="C832">
        <v>80</v>
      </c>
      <c r="D832">
        <v>79.943572997999993</v>
      </c>
      <c r="E832">
        <v>60</v>
      </c>
      <c r="F832">
        <v>57.820560454999999</v>
      </c>
      <c r="G832">
        <v>1396.5660399999999</v>
      </c>
      <c r="H832">
        <v>1380.1248779</v>
      </c>
      <c r="I832">
        <v>1287.1263428</v>
      </c>
      <c r="J832">
        <v>1268.4194336</v>
      </c>
      <c r="K832">
        <v>2750</v>
      </c>
      <c r="L832">
        <v>0</v>
      </c>
      <c r="M832">
        <v>0</v>
      </c>
      <c r="N832">
        <v>2750</v>
      </c>
    </row>
    <row r="833" spans="1:14" x14ac:dyDescent="0.25">
      <c r="A833">
        <v>379.30498399999999</v>
      </c>
      <c r="B833" s="1">
        <f>DATE(2011,5,15) + TIME(7,19,10)</f>
        <v>40678.304976851854</v>
      </c>
      <c r="C833">
        <v>80</v>
      </c>
      <c r="D833">
        <v>79.943572997999993</v>
      </c>
      <c r="E833">
        <v>60</v>
      </c>
      <c r="F833">
        <v>57.773502350000001</v>
      </c>
      <c r="G833">
        <v>1396.4820557</v>
      </c>
      <c r="H833">
        <v>1380.0527344</v>
      </c>
      <c r="I833">
        <v>1287.1121826000001</v>
      </c>
      <c r="J833">
        <v>1268.4018555</v>
      </c>
      <c r="K833">
        <v>2750</v>
      </c>
      <c r="L833">
        <v>0</v>
      </c>
      <c r="M833">
        <v>0</v>
      </c>
      <c r="N833">
        <v>2750</v>
      </c>
    </row>
    <row r="834" spans="1:14" x14ac:dyDescent="0.25">
      <c r="A834">
        <v>379.67877299999998</v>
      </c>
      <c r="B834" s="1">
        <f>DATE(2011,5,15) + TIME(16,17,25)</f>
        <v>40678.678761574076</v>
      </c>
      <c r="C834">
        <v>80</v>
      </c>
      <c r="D834">
        <v>79.943565368999998</v>
      </c>
      <c r="E834">
        <v>60</v>
      </c>
      <c r="F834">
        <v>57.725929260000001</v>
      </c>
      <c r="G834">
        <v>1396.3970947</v>
      </c>
      <c r="H834">
        <v>1379.9798584</v>
      </c>
      <c r="I834">
        <v>1287.0974120999999</v>
      </c>
      <c r="J834">
        <v>1268.3837891000001</v>
      </c>
      <c r="K834">
        <v>2750</v>
      </c>
      <c r="L834">
        <v>0</v>
      </c>
      <c r="M834">
        <v>0</v>
      </c>
      <c r="N834">
        <v>2750</v>
      </c>
    </row>
    <row r="835" spans="1:14" x14ac:dyDescent="0.25">
      <c r="A835">
        <v>380.05464899999998</v>
      </c>
      <c r="B835" s="1">
        <f>DATE(2011,5,16) + TIME(1,18,41)</f>
        <v>40679.0546412037</v>
      </c>
      <c r="C835">
        <v>80</v>
      </c>
      <c r="D835">
        <v>79.943550110000004</v>
      </c>
      <c r="E835">
        <v>60</v>
      </c>
      <c r="F835">
        <v>57.678073883000003</v>
      </c>
      <c r="G835">
        <v>1396.3131103999999</v>
      </c>
      <c r="H835">
        <v>1379.9078368999999</v>
      </c>
      <c r="I835">
        <v>1287.0823975000001</v>
      </c>
      <c r="J835">
        <v>1268.3654785000001</v>
      </c>
      <c r="K835">
        <v>2750</v>
      </c>
      <c r="L835">
        <v>0</v>
      </c>
      <c r="M835">
        <v>0</v>
      </c>
      <c r="N835">
        <v>2750</v>
      </c>
    </row>
    <row r="836" spans="1:14" x14ac:dyDescent="0.25">
      <c r="A836">
        <v>380.43345299999999</v>
      </c>
      <c r="B836" s="1">
        <f>DATE(2011,5,16) + TIME(10,24,10)</f>
        <v>40679.433449074073</v>
      </c>
      <c r="C836">
        <v>80</v>
      </c>
      <c r="D836">
        <v>79.943542480000005</v>
      </c>
      <c r="E836">
        <v>60</v>
      </c>
      <c r="F836">
        <v>57.629962921000001</v>
      </c>
      <c r="G836">
        <v>1396.2304687999999</v>
      </c>
      <c r="H836">
        <v>1379.8369141000001</v>
      </c>
      <c r="I836">
        <v>1287.0673827999999</v>
      </c>
      <c r="J836">
        <v>1268.3469238</v>
      </c>
      <c r="K836">
        <v>2750</v>
      </c>
      <c r="L836">
        <v>0</v>
      </c>
      <c r="M836">
        <v>0</v>
      </c>
      <c r="N836">
        <v>2750</v>
      </c>
    </row>
    <row r="837" spans="1:14" x14ac:dyDescent="0.25">
      <c r="A837">
        <v>380.816104</v>
      </c>
      <c r="B837" s="1">
        <f>DATE(2011,5,16) + TIME(19,35,11)</f>
        <v>40679.816099537034</v>
      </c>
      <c r="C837">
        <v>80</v>
      </c>
      <c r="D837">
        <v>79.943534850999995</v>
      </c>
      <c r="E837">
        <v>60</v>
      </c>
      <c r="F837">
        <v>57.581558227999999</v>
      </c>
      <c r="G837">
        <v>1396.1489257999999</v>
      </c>
      <c r="H837">
        <v>1379.7670897999999</v>
      </c>
      <c r="I837">
        <v>1287.052124</v>
      </c>
      <c r="J837">
        <v>1268.3282471</v>
      </c>
      <c r="K837">
        <v>2750</v>
      </c>
      <c r="L837">
        <v>0</v>
      </c>
      <c r="M837">
        <v>0</v>
      </c>
      <c r="N837">
        <v>2750</v>
      </c>
    </row>
    <row r="838" spans="1:14" x14ac:dyDescent="0.25">
      <c r="A838">
        <v>381.20353399999999</v>
      </c>
      <c r="B838" s="1">
        <f>DATE(2011,5,17) + TIME(4,53,5)</f>
        <v>40680.203530092593</v>
      </c>
      <c r="C838">
        <v>80</v>
      </c>
      <c r="D838">
        <v>79.943519592000001</v>
      </c>
      <c r="E838">
        <v>60</v>
      </c>
      <c r="F838">
        <v>57.532814025999997</v>
      </c>
      <c r="G838">
        <v>1396.0682373</v>
      </c>
      <c r="H838">
        <v>1379.697876</v>
      </c>
      <c r="I838">
        <v>1287.0367432</v>
      </c>
      <c r="J838">
        <v>1268.3092041</v>
      </c>
      <c r="K838">
        <v>2750</v>
      </c>
      <c r="L838">
        <v>0</v>
      </c>
      <c r="M838">
        <v>0</v>
      </c>
      <c r="N838">
        <v>2750</v>
      </c>
    </row>
    <row r="839" spans="1:14" x14ac:dyDescent="0.25">
      <c r="A839">
        <v>381.59670199999999</v>
      </c>
      <c r="B839" s="1">
        <f>DATE(2011,5,17) + TIME(14,19,15)</f>
        <v>40680.596701388888</v>
      </c>
      <c r="C839">
        <v>80</v>
      </c>
      <c r="D839">
        <v>79.943511963000006</v>
      </c>
      <c r="E839">
        <v>60</v>
      </c>
      <c r="F839">
        <v>57.483646393000001</v>
      </c>
      <c r="G839">
        <v>1395.9881591999999</v>
      </c>
      <c r="H839">
        <v>1379.6293945</v>
      </c>
      <c r="I839">
        <v>1287.0211182</v>
      </c>
      <c r="J839">
        <v>1268.2900391000001</v>
      </c>
      <c r="K839">
        <v>2750</v>
      </c>
      <c r="L839">
        <v>0</v>
      </c>
      <c r="M839">
        <v>0</v>
      </c>
      <c r="N839">
        <v>2750</v>
      </c>
    </row>
    <row r="840" spans="1:14" x14ac:dyDescent="0.25">
      <c r="A840">
        <v>381.99531100000002</v>
      </c>
      <c r="B840" s="1">
        <f>DATE(2011,5,17) + TIME(23,53,14)</f>
        <v>40680.995300925926</v>
      </c>
      <c r="C840">
        <v>80</v>
      </c>
      <c r="D840">
        <v>79.943504333000007</v>
      </c>
      <c r="E840">
        <v>60</v>
      </c>
      <c r="F840">
        <v>57.434074402</v>
      </c>
      <c r="G840">
        <v>1395.9085693</v>
      </c>
      <c r="H840">
        <v>1379.5612793</v>
      </c>
      <c r="I840">
        <v>1287.005249</v>
      </c>
      <c r="J840">
        <v>1268.2703856999999</v>
      </c>
      <c r="K840">
        <v>2750</v>
      </c>
      <c r="L840">
        <v>0</v>
      </c>
      <c r="M840">
        <v>0</v>
      </c>
      <c r="N840">
        <v>2750</v>
      </c>
    </row>
    <row r="841" spans="1:14" x14ac:dyDescent="0.25">
      <c r="A841">
        <v>382.39840500000003</v>
      </c>
      <c r="B841" s="1">
        <f>DATE(2011,5,18) + TIME(9,33,42)</f>
        <v>40681.398402777777</v>
      </c>
      <c r="C841">
        <v>80</v>
      </c>
      <c r="D841">
        <v>79.943489075000002</v>
      </c>
      <c r="E841">
        <v>60</v>
      </c>
      <c r="F841">
        <v>57.384178161999998</v>
      </c>
      <c r="G841">
        <v>1395.8295897999999</v>
      </c>
      <c r="H841">
        <v>1379.4935303</v>
      </c>
      <c r="I841">
        <v>1286.9890137</v>
      </c>
      <c r="J841">
        <v>1268.2504882999999</v>
      </c>
      <c r="K841">
        <v>2750</v>
      </c>
      <c r="L841">
        <v>0</v>
      </c>
      <c r="M841">
        <v>0</v>
      </c>
      <c r="N841">
        <v>2750</v>
      </c>
    </row>
    <row r="842" spans="1:14" x14ac:dyDescent="0.25">
      <c r="A842">
        <v>382.806917</v>
      </c>
      <c r="B842" s="1">
        <f>DATE(2011,5,18) + TIME(19,21,57)</f>
        <v>40681.806909722225</v>
      </c>
      <c r="C842">
        <v>80</v>
      </c>
      <c r="D842">
        <v>79.943481445000003</v>
      </c>
      <c r="E842">
        <v>60</v>
      </c>
      <c r="F842">
        <v>57.333896637000002</v>
      </c>
      <c r="G842">
        <v>1395.7510986</v>
      </c>
      <c r="H842">
        <v>1379.4265137</v>
      </c>
      <c r="I842">
        <v>1286.9726562000001</v>
      </c>
      <c r="J842">
        <v>1268.2303466999999</v>
      </c>
      <c r="K842">
        <v>2750</v>
      </c>
      <c r="L842">
        <v>0</v>
      </c>
      <c r="M842">
        <v>0</v>
      </c>
      <c r="N842">
        <v>2750</v>
      </c>
    </row>
    <row r="843" spans="1:14" x14ac:dyDescent="0.25">
      <c r="A843">
        <v>383.22180200000003</v>
      </c>
      <c r="B843" s="1">
        <f>DATE(2011,5,19) + TIME(5,19,23)</f>
        <v>40682.22179398148</v>
      </c>
      <c r="C843">
        <v>80</v>
      </c>
      <c r="D843">
        <v>79.943473815999994</v>
      </c>
      <c r="E843">
        <v>60</v>
      </c>
      <c r="F843">
        <v>57.283153534</v>
      </c>
      <c r="G843">
        <v>1395.6732178</v>
      </c>
      <c r="H843">
        <v>1379.3598632999999</v>
      </c>
      <c r="I843">
        <v>1286.9559326000001</v>
      </c>
      <c r="J843">
        <v>1268.2098389</v>
      </c>
      <c r="K843">
        <v>2750</v>
      </c>
      <c r="L843">
        <v>0</v>
      </c>
      <c r="M843">
        <v>0</v>
      </c>
      <c r="N843">
        <v>2750</v>
      </c>
    </row>
    <row r="844" spans="1:14" x14ac:dyDescent="0.25">
      <c r="A844">
        <v>383.644069</v>
      </c>
      <c r="B844" s="1">
        <f>DATE(2011,5,19) + TIME(15,27,27)</f>
        <v>40682.644062500003</v>
      </c>
      <c r="C844">
        <v>80</v>
      </c>
      <c r="D844">
        <v>79.943466186999999</v>
      </c>
      <c r="E844">
        <v>60</v>
      </c>
      <c r="F844">
        <v>57.231861115000001</v>
      </c>
      <c r="G844">
        <v>1395.5955810999999</v>
      </c>
      <c r="H844">
        <v>1379.293457</v>
      </c>
      <c r="I844">
        <v>1286.9389647999999</v>
      </c>
      <c r="J844">
        <v>1268.1889647999999</v>
      </c>
      <c r="K844">
        <v>2750</v>
      </c>
      <c r="L844">
        <v>0</v>
      </c>
      <c r="M844">
        <v>0</v>
      </c>
      <c r="N844">
        <v>2750</v>
      </c>
    </row>
    <row r="845" spans="1:14" x14ac:dyDescent="0.25">
      <c r="A845">
        <v>384.074791</v>
      </c>
      <c r="B845" s="1">
        <f>DATE(2011,5,20) + TIME(1,47,41)</f>
        <v>40683.074780092589</v>
      </c>
      <c r="C845">
        <v>80</v>
      </c>
      <c r="D845">
        <v>79.943450928000004</v>
      </c>
      <c r="E845">
        <v>60</v>
      </c>
      <c r="F845">
        <v>57.179916382000002</v>
      </c>
      <c r="G845">
        <v>1395.5180664</v>
      </c>
      <c r="H845">
        <v>1379.2272949000001</v>
      </c>
      <c r="I845">
        <v>1286.9216309000001</v>
      </c>
      <c r="J845">
        <v>1268.1676024999999</v>
      </c>
      <c r="K845">
        <v>2750</v>
      </c>
      <c r="L845">
        <v>0</v>
      </c>
      <c r="M845">
        <v>0</v>
      </c>
      <c r="N845">
        <v>2750</v>
      </c>
    </row>
    <row r="846" spans="1:14" x14ac:dyDescent="0.25">
      <c r="A846">
        <v>384.51513999999997</v>
      </c>
      <c r="B846" s="1">
        <f>DATE(2011,5,20) + TIME(12,21,48)</f>
        <v>40683.515138888892</v>
      </c>
      <c r="C846">
        <v>80</v>
      </c>
      <c r="D846">
        <v>79.943443298000005</v>
      </c>
      <c r="E846">
        <v>60</v>
      </c>
      <c r="F846">
        <v>57.127204894999998</v>
      </c>
      <c r="G846">
        <v>1395.4405518000001</v>
      </c>
      <c r="H846">
        <v>1379.1610106999999</v>
      </c>
      <c r="I846">
        <v>1286.9039307</v>
      </c>
      <c r="J846">
        <v>1268.1457519999999</v>
      </c>
      <c r="K846">
        <v>2750</v>
      </c>
      <c r="L846">
        <v>0</v>
      </c>
      <c r="M846">
        <v>0</v>
      </c>
      <c r="N846">
        <v>2750</v>
      </c>
    </row>
    <row r="847" spans="1:14" x14ac:dyDescent="0.25">
      <c r="A847">
        <v>384.96638400000001</v>
      </c>
      <c r="B847" s="1">
        <f>DATE(2011,5,20) + TIME(23,11,35)</f>
        <v>40683.966377314813</v>
      </c>
      <c r="C847">
        <v>80</v>
      </c>
      <c r="D847">
        <v>79.943435668999996</v>
      </c>
      <c r="E847">
        <v>60</v>
      </c>
      <c r="F847">
        <v>57.073608397999998</v>
      </c>
      <c r="G847">
        <v>1395.362793</v>
      </c>
      <c r="H847">
        <v>1379.0946045000001</v>
      </c>
      <c r="I847">
        <v>1286.8857422000001</v>
      </c>
      <c r="J847">
        <v>1268.1234131000001</v>
      </c>
      <c r="K847">
        <v>2750</v>
      </c>
      <c r="L847">
        <v>0</v>
      </c>
      <c r="M847">
        <v>0</v>
      </c>
      <c r="N847">
        <v>2750</v>
      </c>
    </row>
    <row r="848" spans="1:14" x14ac:dyDescent="0.25">
      <c r="A848">
        <v>385.42993799999999</v>
      </c>
      <c r="B848" s="1">
        <f>DATE(2011,5,21) + TIME(10,19,6)</f>
        <v>40684.429930555554</v>
      </c>
      <c r="C848">
        <v>80</v>
      </c>
      <c r="D848">
        <v>79.943428040000001</v>
      </c>
      <c r="E848">
        <v>60</v>
      </c>
      <c r="F848">
        <v>57.018985747999999</v>
      </c>
      <c r="G848">
        <v>1395.284668</v>
      </c>
      <c r="H848">
        <v>1379.027832</v>
      </c>
      <c r="I848">
        <v>1286.8670654</v>
      </c>
      <c r="J848">
        <v>1268.1003418</v>
      </c>
      <c r="K848">
        <v>2750</v>
      </c>
      <c r="L848">
        <v>0</v>
      </c>
      <c r="M848">
        <v>0</v>
      </c>
      <c r="N848">
        <v>2750</v>
      </c>
    </row>
    <row r="849" spans="1:14" x14ac:dyDescent="0.25">
      <c r="A849">
        <v>385.90738099999999</v>
      </c>
      <c r="B849" s="1">
        <f>DATE(2011,5,21) + TIME(21,46,37)</f>
        <v>40684.907372685186</v>
      </c>
      <c r="C849">
        <v>80</v>
      </c>
      <c r="D849">
        <v>79.943420410000002</v>
      </c>
      <c r="E849">
        <v>60</v>
      </c>
      <c r="F849">
        <v>56.963188170999999</v>
      </c>
      <c r="G849">
        <v>1395.2058105000001</v>
      </c>
      <c r="H849">
        <v>1378.9604492000001</v>
      </c>
      <c r="I849">
        <v>1286.8477783000001</v>
      </c>
      <c r="J849">
        <v>1268.0766602000001</v>
      </c>
      <c r="K849">
        <v>2750</v>
      </c>
      <c r="L849">
        <v>0</v>
      </c>
      <c r="M849">
        <v>0</v>
      </c>
      <c r="N849">
        <v>2750</v>
      </c>
    </row>
    <row r="850" spans="1:14" x14ac:dyDescent="0.25">
      <c r="A850">
        <v>386.38769400000001</v>
      </c>
      <c r="B850" s="1">
        <f>DATE(2011,5,22) + TIME(9,18,16)</f>
        <v>40685.387685185182</v>
      </c>
      <c r="C850">
        <v>80</v>
      </c>
      <c r="D850">
        <v>79.943412781000006</v>
      </c>
      <c r="E850">
        <v>60</v>
      </c>
      <c r="F850">
        <v>56.906959534000002</v>
      </c>
      <c r="G850">
        <v>1395.1262207</v>
      </c>
      <c r="H850">
        <v>1378.8924560999999</v>
      </c>
      <c r="I850">
        <v>1286.8277588000001</v>
      </c>
      <c r="J850">
        <v>1268.052124</v>
      </c>
      <c r="K850">
        <v>2750</v>
      </c>
      <c r="L850">
        <v>0</v>
      </c>
      <c r="M850">
        <v>0</v>
      </c>
      <c r="N850">
        <v>2750</v>
      </c>
    </row>
    <row r="851" spans="1:14" x14ac:dyDescent="0.25">
      <c r="A851">
        <v>386.871174</v>
      </c>
      <c r="B851" s="1">
        <f>DATE(2011,5,22) + TIME(20,54,29)</f>
        <v>40685.871168981481</v>
      </c>
      <c r="C851">
        <v>80</v>
      </c>
      <c r="D851">
        <v>79.943405150999993</v>
      </c>
      <c r="E851">
        <v>60</v>
      </c>
      <c r="F851">
        <v>56.850440978999998</v>
      </c>
      <c r="G851">
        <v>1395.0476074000001</v>
      </c>
      <c r="H851">
        <v>1378.8253173999999</v>
      </c>
      <c r="I851">
        <v>1286.8074951000001</v>
      </c>
      <c r="J851">
        <v>1268.0273437999999</v>
      </c>
      <c r="K851">
        <v>2750</v>
      </c>
      <c r="L851">
        <v>0</v>
      </c>
      <c r="M851">
        <v>0</v>
      </c>
      <c r="N851">
        <v>2750</v>
      </c>
    </row>
    <row r="852" spans="1:14" x14ac:dyDescent="0.25">
      <c r="A852">
        <v>387.35901699999999</v>
      </c>
      <c r="B852" s="1">
        <f>DATE(2011,5,23) + TIME(8,36,59)</f>
        <v>40686.359016203707</v>
      </c>
      <c r="C852">
        <v>80</v>
      </c>
      <c r="D852">
        <v>79.943397521999998</v>
      </c>
      <c r="E852">
        <v>60</v>
      </c>
      <c r="F852">
        <v>56.793647765999999</v>
      </c>
      <c r="G852">
        <v>1394.9699707</v>
      </c>
      <c r="H852">
        <v>1378.7590332</v>
      </c>
      <c r="I852">
        <v>1286.7871094</v>
      </c>
      <c r="J852">
        <v>1268.0023193</v>
      </c>
      <c r="K852">
        <v>2750</v>
      </c>
      <c r="L852">
        <v>0</v>
      </c>
      <c r="M852">
        <v>0</v>
      </c>
      <c r="N852">
        <v>2750</v>
      </c>
    </row>
    <row r="853" spans="1:14" x14ac:dyDescent="0.25">
      <c r="A853">
        <v>387.85242299999999</v>
      </c>
      <c r="B853" s="1">
        <f>DATE(2011,5,23) + TIME(20,27,29)</f>
        <v>40686.852418981478</v>
      </c>
      <c r="C853">
        <v>80</v>
      </c>
      <c r="D853">
        <v>79.943389893000003</v>
      </c>
      <c r="E853">
        <v>60</v>
      </c>
      <c r="F853">
        <v>56.736530303999999</v>
      </c>
      <c r="G853">
        <v>1394.8930664</v>
      </c>
      <c r="H853">
        <v>1378.6934814000001</v>
      </c>
      <c r="I853">
        <v>1286.7663574000001</v>
      </c>
      <c r="J853">
        <v>1267.9769286999999</v>
      </c>
      <c r="K853">
        <v>2750</v>
      </c>
      <c r="L853">
        <v>0</v>
      </c>
      <c r="M853">
        <v>0</v>
      </c>
      <c r="N853">
        <v>2750</v>
      </c>
    </row>
    <row r="854" spans="1:14" x14ac:dyDescent="0.25">
      <c r="A854">
        <v>388.35262999999998</v>
      </c>
      <c r="B854" s="1">
        <f>DATE(2011,5,24) + TIME(8,27,47)</f>
        <v>40687.352627314816</v>
      </c>
      <c r="C854">
        <v>80</v>
      </c>
      <c r="D854">
        <v>79.943389893000003</v>
      </c>
      <c r="E854">
        <v>60</v>
      </c>
      <c r="F854">
        <v>56.679012299</v>
      </c>
      <c r="G854">
        <v>1394.8166504000001</v>
      </c>
      <c r="H854">
        <v>1378.6282959</v>
      </c>
      <c r="I854">
        <v>1286.7453613</v>
      </c>
      <c r="J854">
        <v>1267.9510498</v>
      </c>
      <c r="K854">
        <v>2750</v>
      </c>
      <c r="L854">
        <v>0</v>
      </c>
      <c r="M854">
        <v>0</v>
      </c>
      <c r="N854">
        <v>2750</v>
      </c>
    </row>
    <row r="855" spans="1:14" x14ac:dyDescent="0.25">
      <c r="A855">
        <v>388.860928</v>
      </c>
      <c r="B855" s="1">
        <f>DATE(2011,5,24) + TIME(20,39,44)</f>
        <v>40687.860925925925</v>
      </c>
      <c r="C855">
        <v>80</v>
      </c>
      <c r="D855">
        <v>79.943382263000004</v>
      </c>
      <c r="E855">
        <v>60</v>
      </c>
      <c r="F855">
        <v>56.620994568</v>
      </c>
      <c r="G855">
        <v>1394.7406006000001</v>
      </c>
      <c r="H855">
        <v>1378.5633545000001</v>
      </c>
      <c r="I855">
        <v>1286.723999</v>
      </c>
      <c r="J855">
        <v>1267.9246826000001</v>
      </c>
      <c r="K855">
        <v>2750</v>
      </c>
      <c r="L855">
        <v>0</v>
      </c>
      <c r="M855">
        <v>0</v>
      </c>
      <c r="N855">
        <v>2750</v>
      </c>
    </row>
    <row r="856" spans="1:14" x14ac:dyDescent="0.25">
      <c r="A856">
        <v>389.37868500000002</v>
      </c>
      <c r="B856" s="1">
        <f>DATE(2011,5,25) + TIME(9,5,18)</f>
        <v>40688.378680555557</v>
      </c>
      <c r="C856">
        <v>80</v>
      </c>
      <c r="D856">
        <v>79.943382263000004</v>
      </c>
      <c r="E856">
        <v>60</v>
      </c>
      <c r="F856">
        <v>56.562355042</v>
      </c>
      <c r="G856">
        <v>1394.6647949000001</v>
      </c>
      <c r="H856">
        <v>1378.4985352000001</v>
      </c>
      <c r="I856">
        <v>1286.7021483999999</v>
      </c>
      <c r="J856">
        <v>1267.8978271000001</v>
      </c>
      <c r="K856">
        <v>2750</v>
      </c>
      <c r="L856">
        <v>0</v>
      </c>
      <c r="M856">
        <v>0</v>
      </c>
      <c r="N856">
        <v>2750</v>
      </c>
    </row>
    <row r="857" spans="1:14" x14ac:dyDescent="0.25">
      <c r="A857">
        <v>389.90402999999998</v>
      </c>
      <c r="B857" s="1">
        <f>DATE(2011,5,25) + TIME(21,41,48)</f>
        <v>40688.904027777775</v>
      </c>
      <c r="C857">
        <v>80</v>
      </c>
      <c r="D857">
        <v>79.943374633999994</v>
      </c>
      <c r="E857">
        <v>60</v>
      </c>
      <c r="F857">
        <v>56.503177643000001</v>
      </c>
      <c r="G857">
        <v>1394.5888672000001</v>
      </c>
      <c r="H857">
        <v>1378.4338379000001</v>
      </c>
      <c r="I857">
        <v>1286.6798096</v>
      </c>
      <c r="J857">
        <v>1267.8702393000001</v>
      </c>
      <c r="K857">
        <v>2750</v>
      </c>
      <c r="L857">
        <v>0</v>
      </c>
      <c r="M857">
        <v>0</v>
      </c>
      <c r="N857">
        <v>2750</v>
      </c>
    </row>
    <row r="858" spans="1:14" x14ac:dyDescent="0.25">
      <c r="A858">
        <v>390.43629199999998</v>
      </c>
      <c r="B858" s="1">
        <f>DATE(2011,5,26) + TIME(10,28,15)</f>
        <v>40689.436284722222</v>
      </c>
      <c r="C858">
        <v>80</v>
      </c>
      <c r="D858">
        <v>79.943374633999994</v>
      </c>
      <c r="E858">
        <v>60</v>
      </c>
      <c r="F858">
        <v>56.443527222</v>
      </c>
      <c r="G858">
        <v>1394.5131836</v>
      </c>
      <c r="H858">
        <v>1378.3691406</v>
      </c>
      <c r="I858">
        <v>1286.6568603999999</v>
      </c>
      <c r="J858">
        <v>1267.8421631000001</v>
      </c>
      <c r="K858">
        <v>2750</v>
      </c>
      <c r="L858">
        <v>0</v>
      </c>
      <c r="M858">
        <v>0</v>
      </c>
      <c r="N858">
        <v>2750</v>
      </c>
    </row>
    <row r="859" spans="1:14" x14ac:dyDescent="0.25">
      <c r="A859">
        <v>390.97678100000002</v>
      </c>
      <c r="B859" s="1">
        <f>DATE(2011,5,26) + TIME(23,26,33)</f>
        <v>40689.976770833331</v>
      </c>
      <c r="C859">
        <v>80</v>
      </c>
      <c r="D859">
        <v>79.943374633999994</v>
      </c>
      <c r="E859">
        <v>60</v>
      </c>
      <c r="F859">
        <v>56.383346558</v>
      </c>
      <c r="G859">
        <v>1394.4377440999999</v>
      </c>
      <c r="H859">
        <v>1378.3049315999999</v>
      </c>
      <c r="I859">
        <v>1286.6336670000001</v>
      </c>
      <c r="J859">
        <v>1267.8135986</v>
      </c>
      <c r="K859">
        <v>2750</v>
      </c>
      <c r="L859">
        <v>0</v>
      </c>
      <c r="M859">
        <v>0</v>
      </c>
      <c r="N859">
        <v>2750</v>
      </c>
    </row>
    <row r="860" spans="1:14" x14ac:dyDescent="0.25">
      <c r="A860">
        <v>391.52686299999999</v>
      </c>
      <c r="B860" s="1">
        <f>DATE(2011,5,27) + TIME(12,38,40)</f>
        <v>40690.52685185185</v>
      </c>
      <c r="C860">
        <v>80</v>
      </c>
      <c r="D860">
        <v>79.943367003999995</v>
      </c>
      <c r="E860">
        <v>60</v>
      </c>
      <c r="F860">
        <v>56.322532654</v>
      </c>
      <c r="G860">
        <v>1394.3626709</v>
      </c>
      <c r="H860">
        <v>1378.2407227000001</v>
      </c>
      <c r="I860">
        <v>1286.6098632999999</v>
      </c>
      <c r="J860">
        <v>1267.7843018000001</v>
      </c>
      <c r="K860">
        <v>2750</v>
      </c>
      <c r="L860">
        <v>0</v>
      </c>
      <c r="M860">
        <v>0</v>
      </c>
      <c r="N860">
        <v>2750</v>
      </c>
    </row>
    <row r="861" spans="1:14" x14ac:dyDescent="0.25">
      <c r="A861">
        <v>392.088009</v>
      </c>
      <c r="B861" s="1">
        <f>DATE(2011,5,28) + TIME(2,6,43)</f>
        <v>40691.087997685187</v>
      </c>
      <c r="C861">
        <v>80</v>
      </c>
      <c r="D861">
        <v>79.943367003999995</v>
      </c>
      <c r="E861">
        <v>60</v>
      </c>
      <c r="F861">
        <v>56.260971069</v>
      </c>
      <c r="G861">
        <v>1394.2874756000001</v>
      </c>
      <c r="H861">
        <v>1378.1765137</v>
      </c>
      <c r="I861">
        <v>1286.5855713000001</v>
      </c>
      <c r="J861">
        <v>1267.7543945</v>
      </c>
      <c r="K861">
        <v>2750</v>
      </c>
      <c r="L861">
        <v>0</v>
      </c>
      <c r="M861">
        <v>0</v>
      </c>
      <c r="N861">
        <v>2750</v>
      </c>
    </row>
    <row r="862" spans="1:14" x14ac:dyDescent="0.25">
      <c r="A862">
        <v>392.66181399999999</v>
      </c>
      <c r="B862" s="1">
        <f>DATE(2011,5,28) + TIME(15,53,0)</f>
        <v>40691.661805555559</v>
      </c>
      <c r="C862">
        <v>80</v>
      </c>
      <c r="D862">
        <v>79.943367003999995</v>
      </c>
      <c r="E862">
        <v>60</v>
      </c>
      <c r="F862">
        <v>56.198532104000002</v>
      </c>
      <c r="G862">
        <v>1394.2120361</v>
      </c>
      <c r="H862">
        <v>1378.1121826000001</v>
      </c>
      <c r="I862">
        <v>1286.5606689000001</v>
      </c>
      <c r="J862">
        <v>1267.7235106999999</v>
      </c>
      <c r="K862">
        <v>2750</v>
      </c>
      <c r="L862">
        <v>0</v>
      </c>
      <c r="M862">
        <v>0</v>
      </c>
      <c r="N862">
        <v>2750</v>
      </c>
    </row>
    <row r="863" spans="1:14" x14ac:dyDescent="0.25">
      <c r="A863">
        <v>393.25001900000001</v>
      </c>
      <c r="B863" s="1">
        <f>DATE(2011,5,29) + TIME(6,0,1)</f>
        <v>40692.250011574077</v>
      </c>
      <c r="C863">
        <v>80</v>
      </c>
      <c r="D863">
        <v>79.943367003999995</v>
      </c>
      <c r="E863">
        <v>60</v>
      </c>
      <c r="F863">
        <v>56.135055542000003</v>
      </c>
      <c r="G863">
        <v>1394.1363524999999</v>
      </c>
      <c r="H863">
        <v>1378.0474853999999</v>
      </c>
      <c r="I863">
        <v>1286.5350341999999</v>
      </c>
      <c r="J863">
        <v>1267.6918945</v>
      </c>
      <c r="K863">
        <v>2750</v>
      </c>
      <c r="L863">
        <v>0</v>
      </c>
      <c r="M863">
        <v>0</v>
      </c>
      <c r="N863">
        <v>2750</v>
      </c>
    </row>
    <row r="864" spans="1:14" x14ac:dyDescent="0.25">
      <c r="A864">
        <v>393.84719799999999</v>
      </c>
      <c r="B864" s="1">
        <f>DATE(2011,5,29) + TIME(20,19,57)</f>
        <v>40692.847187500003</v>
      </c>
      <c r="C864">
        <v>80</v>
      </c>
      <c r="D864">
        <v>79.943367003999995</v>
      </c>
      <c r="E864">
        <v>60</v>
      </c>
      <c r="F864">
        <v>56.070823668999999</v>
      </c>
      <c r="G864">
        <v>1394.0600586</v>
      </c>
      <c r="H864">
        <v>1377.9822998</v>
      </c>
      <c r="I864">
        <v>1286.5084228999999</v>
      </c>
      <c r="J864">
        <v>1267.6591797000001</v>
      </c>
      <c r="K864">
        <v>2750</v>
      </c>
      <c r="L864">
        <v>0</v>
      </c>
      <c r="M864">
        <v>0</v>
      </c>
      <c r="N864">
        <v>2750</v>
      </c>
    </row>
    <row r="865" spans="1:14" x14ac:dyDescent="0.25">
      <c r="A865">
        <v>394.44789300000002</v>
      </c>
      <c r="B865" s="1">
        <f>DATE(2011,5,30) + TIME(10,44,57)</f>
        <v>40693.447881944441</v>
      </c>
      <c r="C865">
        <v>80</v>
      </c>
      <c r="D865">
        <v>79.943374633999994</v>
      </c>
      <c r="E865">
        <v>60</v>
      </c>
      <c r="F865">
        <v>56.006240845000001</v>
      </c>
      <c r="G865">
        <v>1393.9838867000001</v>
      </c>
      <c r="H865">
        <v>1377.9172363</v>
      </c>
      <c r="I865">
        <v>1286.4813231999999</v>
      </c>
      <c r="J865">
        <v>1267.6257324000001</v>
      </c>
      <c r="K865">
        <v>2750</v>
      </c>
      <c r="L865">
        <v>0</v>
      </c>
      <c r="M865">
        <v>0</v>
      </c>
      <c r="N865">
        <v>2750</v>
      </c>
    </row>
    <row r="866" spans="1:14" x14ac:dyDescent="0.25">
      <c r="A866">
        <v>395.05271099999999</v>
      </c>
      <c r="B866" s="1">
        <f>DATE(2011,5,31) + TIME(1,15,54)</f>
        <v>40694.052708333336</v>
      </c>
      <c r="C866">
        <v>80</v>
      </c>
      <c r="D866">
        <v>79.943374633999994</v>
      </c>
      <c r="E866">
        <v>60</v>
      </c>
      <c r="F866">
        <v>55.941436768000003</v>
      </c>
      <c r="G866">
        <v>1393.9085693</v>
      </c>
      <c r="H866">
        <v>1377.8529053</v>
      </c>
      <c r="I866">
        <v>1286.4538574000001</v>
      </c>
      <c r="J866">
        <v>1267.5917969</v>
      </c>
      <c r="K866">
        <v>2750</v>
      </c>
      <c r="L866">
        <v>0</v>
      </c>
      <c r="M866">
        <v>0</v>
      </c>
      <c r="N866">
        <v>2750</v>
      </c>
    </row>
    <row r="867" spans="1:14" x14ac:dyDescent="0.25">
      <c r="A867">
        <v>395.66215799999998</v>
      </c>
      <c r="B867" s="1">
        <f>DATE(2011,5,31) + TIME(15,53,30)</f>
        <v>40694.662152777775</v>
      </c>
      <c r="C867">
        <v>80</v>
      </c>
      <c r="D867">
        <v>79.943374633999994</v>
      </c>
      <c r="E867">
        <v>60</v>
      </c>
      <c r="F867">
        <v>55.876453400000003</v>
      </c>
      <c r="G867">
        <v>1393.8339844</v>
      </c>
      <c r="H867">
        <v>1377.7893065999999</v>
      </c>
      <c r="I867">
        <v>1286.4259033000001</v>
      </c>
      <c r="J867">
        <v>1267.5573730000001</v>
      </c>
      <c r="K867">
        <v>2750</v>
      </c>
      <c r="L867">
        <v>0</v>
      </c>
      <c r="M867">
        <v>0</v>
      </c>
      <c r="N867">
        <v>2750</v>
      </c>
    </row>
    <row r="868" spans="1:14" x14ac:dyDescent="0.25">
      <c r="A868">
        <v>396</v>
      </c>
      <c r="B868" s="1">
        <f>DATE(2011,6,1) + TIME(0,0,0)</f>
        <v>40695</v>
      </c>
      <c r="C868">
        <v>80</v>
      </c>
      <c r="D868">
        <v>79.943367003999995</v>
      </c>
      <c r="E868">
        <v>60</v>
      </c>
      <c r="F868">
        <v>55.831691741999997</v>
      </c>
      <c r="G868">
        <v>1393.7600098</v>
      </c>
      <c r="H868">
        <v>1377.7259521000001</v>
      </c>
      <c r="I868">
        <v>1286.3956298999999</v>
      </c>
      <c r="J868">
        <v>1267.5240478999999</v>
      </c>
      <c r="K868">
        <v>2750</v>
      </c>
      <c r="L868">
        <v>0</v>
      </c>
      <c r="M868">
        <v>0</v>
      </c>
      <c r="N868">
        <v>2750</v>
      </c>
    </row>
    <row r="869" spans="1:14" x14ac:dyDescent="0.25">
      <c r="A869">
        <v>396.61551900000001</v>
      </c>
      <c r="B869" s="1">
        <f>DATE(2011,6,1) + TIME(14,46,20)</f>
        <v>40695.61550925926</v>
      </c>
      <c r="C869">
        <v>80</v>
      </c>
      <c r="D869">
        <v>79.943382263000004</v>
      </c>
      <c r="E869">
        <v>60</v>
      </c>
      <c r="F869">
        <v>55.770515441999997</v>
      </c>
      <c r="G869">
        <v>1393.7194824000001</v>
      </c>
      <c r="H869">
        <v>1377.6912841999999</v>
      </c>
      <c r="I869">
        <v>1286.3820800999999</v>
      </c>
      <c r="J869">
        <v>1267.5019531</v>
      </c>
      <c r="K869">
        <v>2750</v>
      </c>
      <c r="L869">
        <v>0</v>
      </c>
      <c r="M869">
        <v>0</v>
      </c>
      <c r="N869">
        <v>2750</v>
      </c>
    </row>
    <row r="870" spans="1:14" x14ac:dyDescent="0.25">
      <c r="A870">
        <v>397.24352399999998</v>
      </c>
      <c r="B870" s="1">
        <f>DATE(2011,6,2) + TIME(5,50,40)</f>
        <v>40696.243518518517</v>
      </c>
      <c r="C870">
        <v>80</v>
      </c>
      <c r="D870">
        <v>79.943382263000004</v>
      </c>
      <c r="E870">
        <v>60</v>
      </c>
      <c r="F870">
        <v>55.707050322999997</v>
      </c>
      <c r="G870">
        <v>1393.6469727000001</v>
      </c>
      <c r="H870">
        <v>1377.6293945</v>
      </c>
      <c r="I870">
        <v>1286.3531493999999</v>
      </c>
      <c r="J870">
        <v>1267.4664307</v>
      </c>
      <c r="K870">
        <v>2750</v>
      </c>
      <c r="L870">
        <v>0</v>
      </c>
      <c r="M870">
        <v>0</v>
      </c>
      <c r="N870">
        <v>2750</v>
      </c>
    </row>
    <row r="871" spans="1:14" x14ac:dyDescent="0.25">
      <c r="A871">
        <v>397.88140499999997</v>
      </c>
      <c r="B871" s="1">
        <f>DATE(2011,6,2) + TIME(21,9,13)</f>
        <v>40696.88140046296</v>
      </c>
      <c r="C871">
        <v>80</v>
      </c>
      <c r="D871">
        <v>79.943389893000003</v>
      </c>
      <c r="E871">
        <v>60</v>
      </c>
      <c r="F871">
        <v>55.642040252999998</v>
      </c>
      <c r="G871">
        <v>1393.5739745999999</v>
      </c>
      <c r="H871">
        <v>1377.5670166</v>
      </c>
      <c r="I871">
        <v>1286.3232422000001</v>
      </c>
      <c r="J871">
        <v>1267.4296875</v>
      </c>
      <c r="K871">
        <v>2750</v>
      </c>
      <c r="L871">
        <v>0</v>
      </c>
      <c r="M871">
        <v>0</v>
      </c>
      <c r="N871">
        <v>2750</v>
      </c>
    </row>
    <row r="872" spans="1:14" x14ac:dyDescent="0.25">
      <c r="A872">
        <v>398.53088500000001</v>
      </c>
      <c r="B872" s="1">
        <f>DATE(2011,6,3) + TIME(12,44,28)</f>
        <v>40697.53087962963</v>
      </c>
      <c r="C872">
        <v>80</v>
      </c>
      <c r="D872">
        <v>79.943397521999998</v>
      </c>
      <c r="E872">
        <v>60</v>
      </c>
      <c r="F872">
        <v>55.575790404999999</v>
      </c>
      <c r="G872">
        <v>1393.5009766000001</v>
      </c>
      <c r="H872">
        <v>1377.5045166</v>
      </c>
      <c r="I872">
        <v>1286.2928466999999</v>
      </c>
      <c r="J872">
        <v>1267.3918457</v>
      </c>
      <c r="K872">
        <v>2750</v>
      </c>
      <c r="L872">
        <v>0</v>
      </c>
      <c r="M872">
        <v>0</v>
      </c>
      <c r="N872">
        <v>2750</v>
      </c>
    </row>
    <row r="873" spans="1:14" x14ac:dyDescent="0.25">
      <c r="A873">
        <v>399.19373999999999</v>
      </c>
      <c r="B873" s="1">
        <f>DATE(2011,6,4) + TIME(4,38,59)</f>
        <v>40698.193738425929</v>
      </c>
      <c r="C873">
        <v>80</v>
      </c>
      <c r="D873">
        <v>79.943405150999993</v>
      </c>
      <c r="E873">
        <v>60</v>
      </c>
      <c r="F873">
        <v>55.508403778000002</v>
      </c>
      <c r="G873">
        <v>1393.4279785000001</v>
      </c>
      <c r="H873">
        <v>1377.4420166</v>
      </c>
      <c r="I873">
        <v>1286.2614745999999</v>
      </c>
      <c r="J873">
        <v>1267.3529053</v>
      </c>
      <c r="K873">
        <v>2750</v>
      </c>
      <c r="L873">
        <v>0</v>
      </c>
      <c r="M873">
        <v>0</v>
      </c>
      <c r="N873">
        <v>2750</v>
      </c>
    </row>
    <row r="874" spans="1:14" x14ac:dyDescent="0.25">
      <c r="A874">
        <v>399.87191000000001</v>
      </c>
      <c r="B874" s="1">
        <f>DATE(2011,6,4) + TIME(20,55,32)</f>
        <v>40698.871898148151</v>
      </c>
      <c r="C874">
        <v>80</v>
      </c>
      <c r="D874">
        <v>79.943412781000006</v>
      </c>
      <c r="E874">
        <v>60</v>
      </c>
      <c r="F874">
        <v>55.439853667999998</v>
      </c>
      <c r="G874">
        <v>1393.3544922000001</v>
      </c>
      <c r="H874">
        <v>1377.3791504000001</v>
      </c>
      <c r="I874">
        <v>1286.2292480000001</v>
      </c>
      <c r="J874">
        <v>1267.3127440999999</v>
      </c>
      <c r="K874">
        <v>2750</v>
      </c>
      <c r="L874">
        <v>0</v>
      </c>
      <c r="M874">
        <v>0</v>
      </c>
      <c r="N874">
        <v>2750</v>
      </c>
    </row>
    <row r="875" spans="1:14" x14ac:dyDescent="0.25">
      <c r="A875">
        <v>400.56481200000002</v>
      </c>
      <c r="B875" s="1">
        <f>DATE(2011,6,5) + TIME(13,33,19)</f>
        <v>40699.564803240741</v>
      </c>
      <c r="C875">
        <v>80</v>
      </c>
      <c r="D875">
        <v>79.943420410000002</v>
      </c>
      <c r="E875">
        <v>60</v>
      </c>
      <c r="F875">
        <v>55.370170592999997</v>
      </c>
      <c r="G875">
        <v>1393.2806396000001</v>
      </c>
      <c r="H875">
        <v>1377.315918</v>
      </c>
      <c r="I875">
        <v>1286.1959228999999</v>
      </c>
      <c r="J875">
        <v>1267.2712402</v>
      </c>
      <c r="K875">
        <v>2750</v>
      </c>
      <c r="L875">
        <v>0</v>
      </c>
      <c r="M875">
        <v>0</v>
      </c>
      <c r="N875">
        <v>2750</v>
      </c>
    </row>
    <row r="876" spans="1:14" x14ac:dyDescent="0.25">
      <c r="A876">
        <v>401.26831299999998</v>
      </c>
      <c r="B876" s="1">
        <f>DATE(2011,6,6) + TIME(6,26,22)</f>
        <v>40700.268310185187</v>
      </c>
      <c r="C876">
        <v>80</v>
      </c>
      <c r="D876">
        <v>79.943428040000001</v>
      </c>
      <c r="E876">
        <v>60</v>
      </c>
      <c r="F876">
        <v>55.299606322999999</v>
      </c>
      <c r="G876">
        <v>1393.2062988</v>
      </c>
      <c r="H876">
        <v>1377.2523193</v>
      </c>
      <c r="I876">
        <v>1286.1616211</v>
      </c>
      <c r="J876">
        <v>1267.2282714999999</v>
      </c>
      <c r="K876">
        <v>2750</v>
      </c>
      <c r="L876">
        <v>0</v>
      </c>
      <c r="M876">
        <v>0</v>
      </c>
      <c r="N876">
        <v>2750</v>
      </c>
    </row>
    <row r="877" spans="1:14" x14ac:dyDescent="0.25">
      <c r="A877">
        <v>401.97961600000002</v>
      </c>
      <c r="B877" s="1">
        <f>DATE(2011,6,6) + TIME(23,30,38)</f>
        <v>40700.97960648148</v>
      </c>
      <c r="C877">
        <v>80</v>
      </c>
      <c r="D877">
        <v>79.943443298000005</v>
      </c>
      <c r="E877">
        <v>60</v>
      </c>
      <c r="F877">
        <v>55.228408813000001</v>
      </c>
      <c r="G877">
        <v>1393.1320800999999</v>
      </c>
      <c r="H877">
        <v>1377.1887207</v>
      </c>
      <c r="I877">
        <v>1286.1263428</v>
      </c>
      <c r="J877">
        <v>1267.1842041</v>
      </c>
      <c r="K877">
        <v>2750</v>
      </c>
      <c r="L877">
        <v>0</v>
      </c>
      <c r="M877">
        <v>0</v>
      </c>
      <c r="N877">
        <v>2750</v>
      </c>
    </row>
    <row r="878" spans="1:14" x14ac:dyDescent="0.25">
      <c r="A878">
        <v>402.69240300000001</v>
      </c>
      <c r="B878" s="1">
        <f>DATE(2011,6,7) + TIME(16,37,3)</f>
        <v>40701.692395833335</v>
      </c>
      <c r="C878">
        <v>80</v>
      </c>
      <c r="D878">
        <v>79.943450928000004</v>
      </c>
      <c r="E878">
        <v>60</v>
      </c>
      <c r="F878">
        <v>55.157032012999998</v>
      </c>
      <c r="G878">
        <v>1393.0581055</v>
      </c>
      <c r="H878">
        <v>1377.1253661999999</v>
      </c>
      <c r="I878">
        <v>1286.090332</v>
      </c>
      <c r="J878">
        <v>1267.1391602000001</v>
      </c>
      <c r="K878">
        <v>2750</v>
      </c>
      <c r="L878">
        <v>0</v>
      </c>
      <c r="M878">
        <v>0</v>
      </c>
      <c r="N878">
        <v>2750</v>
      </c>
    </row>
    <row r="879" spans="1:14" x14ac:dyDescent="0.25">
      <c r="A879">
        <v>403.40852999999998</v>
      </c>
      <c r="B879" s="1">
        <f>DATE(2011,6,8) + TIME(9,48,16)</f>
        <v>40702.408518518518</v>
      </c>
      <c r="C879">
        <v>80</v>
      </c>
      <c r="D879">
        <v>79.943458557</v>
      </c>
      <c r="E879">
        <v>60</v>
      </c>
      <c r="F879">
        <v>55.085590363000001</v>
      </c>
      <c r="G879">
        <v>1392.9852295000001</v>
      </c>
      <c r="H879">
        <v>1377.0628661999999</v>
      </c>
      <c r="I879">
        <v>1286.0538329999999</v>
      </c>
      <c r="J879">
        <v>1267.0933838000001</v>
      </c>
      <c r="K879">
        <v>2750</v>
      </c>
      <c r="L879">
        <v>0</v>
      </c>
      <c r="M879">
        <v>0</v>
      </c>
      <c r="N879">
        <v>2750</v>
      </c>
    </row>
    <row r="880" spans="1:14" x14ac:dyDescent="0.25">
      <c r="A880">
        <v>404.12948699999998</v>
      </c>
      <c r="B880" s="1">
        <f>DATE(2011,6,9) + TIME(3,6,27)</f>
        <v>40703.129479166666</v>
      </c>
      <c r="C880">
        <v>80</v>
      </c>
      <c r="D880">
        <v>79.943473815999994</v>
      </c>
      <c r="E880">
        <v>60</v>
      </c>
      <c r="F880">
        <v>55.014060974000003</v>
      </c>
      <c r="G880">
        <v>1392.9132079999999</v>
      </c>
      <c r="H880">
        <v>1377.0009766000001</v>
      </c>
      <c r="I880">
        <v>1286.0168457</v>
      </c>
      <c r="J880">
        <v>1267.0467529</v>
      </c>
      <c r="K880">
        <v>2750</v>
      </c>
      <c r="L880">
        <v>0</v>
      </c>
      <c r="M880">
        <v>0</v>
      </c>
      <c r="N880">
        <v>2750</v>
      </c>
    </row>
    <row r="881" spans="1:14" x14ac:dyDescent="0.25">
      <c r="A881">
        <v>404.85698600000001</v>
      </c>
      <c r="B881" s="1">
        <f>DATE(2011,6,9) + TIME(20,34,3)</f>
        <v>40703.856979166667</v>
      </c>
      <c r="C881">
        <v>80</v>
      </c>
      <c r="D881">
        <v>79.943489075000002</v>
      </c>
      <c r="E881">
        <v>60</v>
      </c>
      <c r="F881">
        <v>54.942352294999999</v>
      </c>
      <c r="G881">
        <v>1392.8416748</v>
      </c>
      <c r="H881">
        <v>1376.9396973</v>
      </c>
      <c r="I881">
        <v>1285.979126</v>
      </c>
      <c r="J881">
        <v>1266.9991454999999</v>
      </c>
      <c r="K881">
        <v>2750</v>
      </c>
      <c r="L881">
        <v>0</v>
      </c>
      <c r="M881">
        <v>0</v>
      </c>
      <c r="N881">
        <v>2750</v>
      </c>
    </row>
    <row r="882" spans="1:14" x14ac:dyDescent="0.25">
      <c r="A882">
        <v>405.59276999999997</v>
      </c>
      <c r="B882" s="1">
        <f>DATE(2011,6,10) + TIME(14,13,35)</f>
        <v>40704.592766203707</v>
      </c>
      <c r="C882">
        <v>80</v>
      </c>
      <c r="D882">
        <v>79.943496703999998</v>
      </c>
      <c r="E882">
        <v>60</v>
      </c>
      <c r="F882">
        <v>54.870342254999997</v>
      </c>
      <c r="G882">
        <v>1392.7706298999999</v>
      </c>
      <c r="H882">
        <v>1376.8786620999999</v>
      </c>
      <c r="I882">
        <v>1285.9406738</v>
      </c>
      <c r="J882">
        <v>1266.9505615</v>
      </c>
      <c r="K882">
        <v>2750</v>
      </c>
      <c r="L882">
        <v>0</v>
      </c>
      <c r="M882">
        <v>0</v>
      </c>
      <c r="N882">
        <v>2750</v>
      </c>
    </row>
    <row r="883" spans="1:14" x14ac:dyDescent="0.25">
      <c r="A883">
        <v>406.338641</v>
      </c>
      <c r="B883" s="1">
        <f>DATE(2011,6,11) + TIME(8,7,38)</f>
        <v>40705.338634259257</v>
      </c>
      <c r="C883">
        <v>80</v>
      </c>
      <c r="D883">
        <v>79.943511963000006</v>
      </c>
      <c r="E883">
        <v>60</v>
      </c>
      <c r="F883">
        <v>54.797870635999999</v>
      </c>
      <c r="G883">
        <v>1392.6999512</v>
      </c>
      <c r="H883">
        <v>1376.8178711</v>
      </c>
      <c r="I883">
        <v>1285.9013672000001</v>
      </c>
      <c r="J883">
        <v>1266.9006348</v>
      </c>
      <c r="K883">
        <v>2750</v>
      </c>
      <c r="L883">
        <v>0</v>
      </c>
      <c r="M883">
        <v>0</v>
      </c>
      <c r="N883">
        <v>2750</v>
      </c>
    </row>
    <row r="884" spans="1:14" x14ac:dyDescent="0.25">
      <c r="A884">
        <v>407.09648900000002</v>
      </c>
      <c r="B884" s="1">
        <f>DATE(2011,6,12) + TIME(2,18,56)</f>
        <v>40706.09648148148</v>
      </c>
      <c r="C884">
        <v>80</v>
      </c>
      <c r="D884">
        <v>79.943527222</v>
      </c>
      <c r="E884">
        <v>60</v>
      </c>
      <c r="F884">
        <v>54.724773407000001</v>
      </c>
      <c r="G884">
        <v>1392.6292725000001</v>
      </c>
      <c r="H884">
        <v>1376.7572021000001</v>
      </c>
      <c r="I884">
        <v>1285.8609618999999</v>
      </c>
      <c r="J884">
        <v>1266.8494873</v>
      </c>
      <c r="K884">
        <v>2750</v>
      </c>
      <c r="L884">
        <v>0</v>
      </c>
      <c r="M884">
        <v>0</v>
      </c>
      <c r="N884">
        <v>2750</v>
      </c>
    </row>
    <row r="885" spans="1:14" x14ac:dyDescent="0.25">
      <c r="A885">
        <v>407.86832800000002</v>
      </c>
      <c r="B885" s="1">
        <f>DATE(2011,6,12) + TIME(20,50,23)</f>
        <v>40706.868321759262</v>
      </c>
      <c r="C885">
        <v>80</v>
      </c>
      <c r="D885">
        <v>79.943542480000005</v>
      </c>
      <c r="E885">
        <v>60</v>
      </c>
      <c r="F885">
        <v>54.650871277</v>
      </c>
      <c r="G885">
        <v>1392.5584716999999</v>
      </c>
      <c r="H885">
        <v>1376.6964111</v>
      </c>
      <c r="I885">
        <v>1285.8195800999999</v>
      </c>
      <c r="J885">
        <v>1266.7966309000001</v>
      </c>
      <c r="K885">
        <v>2750</v>
      </c>
      <c r="L885">
        <v>0</v>
      </c>
      <c r="M885">
        <v>0</v>
      </c>
      <c r="N885">
        <v>2750</v>
      </c>
    </row>
    <row r="886" spans="1:14" x14ac:dyDescent="0.25">
      <c r="A886">
        <v>408.65632599999998</v>
      </c>
      <c r="B886" s="1">
        <f>DATE(2011,6,13) + TIME(15,45,6)</f>
        <v>40707.656319444446</v>
      </c>
      <c r="C886">
        <v>80</v>
      </c>
      <c r="D886">
        <v>79.943557738999999</v>
      </c>
      <c r="E886">
        <v>60</v>
      </c>
      <c r="F886">
        <v>54.575973511000001</v>
      </c>
      <c r="G886">
        <v>1392.4875488</v>
      </c>
      <c r="H886">
        <v>1376.635376</v>
      </c>
      <c r="I886">
        <v>1285.7767334</v>
      </c>
      <c r="J886">
        <v>1266.7421875</v>
      </c>
      <c r="K886">
        <v>2750</v>
      </c>
      <c r="L886">
        <v>0</v>
      </c>
      <c r="M886">
        <v>0</v>
      </c>
      <c r="N886">
        <v>2750</v>
      </c>
    </row>
    <row r="887" spans="1:14" x14ac:dyDescent="0.25">
      <c r="A887">
        <v>409.46284200000002</v>
      </c>
      <c r="B887" s="1">
        <f>DATE(2011,6,14) + TIME(11,6,29)</f>
        <v>40708.462835648148</v>
      </c>
      <c r="C887">
        <v>80</v>
      </c>
      <c r="D887">
        <v>79.943580627000003</v>
      </c>
      <c r="E887">
        <v>60</v>
      </c>
      <c r="F887">
        <v>54.499874114999997</v>
      </c>
      <c r="G887">
        <v>1392.4161377</v>
      </c>
      <c r="H887">
        <v>1376.5738524999999</v>
      </c>
      <c r="I887">
        <v>1285.7325439000001</v>
      </c>
      <c r="J887">
        <v>1266.6855469</v>
      </c>
      <c r="K887">
        <v>2750</v>
      </c>
      <c r="L887">
        <v>0</v>
      </c>
      <c r="M887">
        <v>0</v>
      </c>
      <c r="N887">
        <v>2750</v>
      </c>
    </row>
    <row r="888" spans="1:14" x14ac:dyDescent="0.25">
      <c r="A888">
        <v>410.28869099999997</v>
      </c>
      <c r="B888" s="1">
        <f>DATE(2011,6,15) + TIME(6,55,42)</f>
        <v>40709.288680555554</v>
      </c>
      <c r="C888">
        <v>80</v>
      </c>
      <c r="D888">
        <v>79.943595885999997</v>
      </c>
      <c r="E888">
        <v>60</v>
      </c>
      <c r="F888">
        <v>54.422439574999999</v>
      </c>
      <c r="G888">
        <v>1392.3441161999999</v>
      </c>
      <c r="H888">
        <v>1376.5119629000001</v>
      </c>
      <c r="I888">
        <v>1285.6867675999999</v>
      </c>
      <c r="J888">
        <v>1266.6268310999999</v>
      </c>
      <c r="K888">
        <v>2750</v>
      </c>
      <c r="L888">
        <v>0</v>
      </c>
      <c r="M888">
        <v>0</v>
      </c>
      <c r="N888">
        <v>2750</v>
      </c>
    </row>
    <row r="889" spans="1:14" x14ac:dyDescent="0.25">
      <c r="A889">
        <v>411.12382200000002</v>
      </c>
      <c r="B889" s="1">
        <f>DATE(2011,6,16) + TIME(2,58,18)</f>
        <v>40710.123819444445</v>
      </c>
      <c r="C889">
        <v>80</v>
      </c>
      <c r="D889">
        <v>79.943618774000001</v>
      </c>
      <c r="E889">
        <v>60</v>
      </c>
      <c r="F889">
        <v>54.344043732000003</v>
      </c>
      <c r="G889">
        <v>1392.2714844</v>
      </c>
      <c r="H889">
        <v>1376.4493408000001</v>
      </c>
      <c r="I889">
        <v>1285.6390381000001</v>
      </c>
      <c r="J889">
        <v>1266.5657959</v>
      </c>
      <c r="K889">
        <v>2750</v>
      </c>
      <c r="L889">
        <v>0</v>
      </c>
      <c r="M889">
        <v>0</v>
      </c>
      <c r="N889">
        <v>2750</v>
      </c>
    </row>
    <row r="890" spans="1:14" x14ac:dyDescent="0.25">
      <c r="A890">
        <v>411.959834</v>
      </c>
      <c r="B890" s="1">
        <f>DATE(2011,6,16) + TIME(23,2,9)</f>
        <v>40710.959826388891</v>
      </c>
      <c r="C890">
        <v>80</v>
      </c>
      <c r="D890">
        <v>79.943634032999995</v>
      </c>
      <c r="E890">
        <v>60</v>
      </c>
      <c r="F890">
        <v>54.265289307000003</v>
      </c>
      <c r="G890">
        <v>1392.1990966999999</v>
      </c>
      <c r="H890">
        <v>1376.3869629000001</v>
      </c>
      <c r="I890">
        <v>1285.5902100000001</v>
      </c>
      <c r="J890">
        <v>1266.5030518000001</v>
      </c>
      <c r="K890">
        <v>2750</v>
      </c>
      <c r="L890">
        <v>0</v>
      </c>
      <c r="M890">
        <v>0</v>
      </c>
      <c r="N890">
        <v>2750</v>
      </c>
    </row>
    <row r="891" spans="1:14" x14ac:dyDescent="0.25">
      <c r="A891">
        <v>412.79907700000001</v>
      </c>
      <c r="B891" s="1">
        <f>DATE(2011,6,17) + TIME(19,10,40)</f>
        <v>40711.799074074072</v>
      </c>
      <c r="C891">
        <v>80</v>
      </c>
      <c r="D891">
        <v>79.943656920999999</v>
      </c>
      <c r="E891">
        <v>60</v>
      </c>
      <c r="F891">
        <v>54.186374663999999</v>
      </c>
      <c r="G891">
        <v>1392.1276855000001</v>
      </c>
      <c r="H891">
        <v>1376.3253173999999</v>
      </c>
      <c r="I891">
        <v>1285.5406493999999</v>
      </c>
      <c r="J891">
        <v>1266.4390868999999</v>
      </c>
      <c r="K891">
        <v>2750</v>
      </c>
      <c r="L891">
        <v>0</v>
      </c>
      <c r="M891">
        <v>0</v>
      </c>
      <c r="N891">
        <v>2750</v>
      </c>
    </row>
    <row r="892" spans="1:14" x14ac:dyDescent="0.25">
      <c r="A892">
        <v>413.64331900000002</v>
      </c>
      <c r="B892" s="1">
        <f>DATE(2011,6,18) + TIME(15,26,22)</f>
        <v>40712.643310185187</v>
      </c>
      <c r="C892">
        <v>80</v>
      </c>
      <c r="D892">
        <v>79.943672179999993</v>
      </c>
      <c r="E892">
        <v>60</v>
      </c>
      <c r="F892">
        <v>54.107299804999997</v>
      </c>
      <c r="G892">
        <v>1392.0570068</v>
      </c>
      <c r="H892">
        <v>1376.2644043</v>
      </c>
      <c r="I892">
        <v>1285.4902344</v>
      </c>
      <c r="J892">
        <v>1266.3737793</v>
      </c>
      <c r="K892">
        <v>2750</v>
      </c>
      <c r="L892">
        <v>0</v>
      </c>
      <c r="M892">
        <v>0</v>
      </c>
      <c r="N892">
        <v>2750</v>
      </c>
    </row>
    <row r="893" spans="1:14" x14ac:dyDescent="0.25">
      <c r="A893">
        <v>414.49451099999999</v>
      </c>
      <c r="B893" s="1">
        <f>DATE(2011,6,19) + TIME(11,52,5)</f>
        <v>40713.494502314818</v>
      </c>
      <c r="C893">
        <v>80</v>
      </c>
      <c r="D893">
        <v>79.943695067999997</v>
      </c>
      <c r="E893">
        <v>60</v>
      </c>
      <c r="F893">
        <v>54.027965545999997</v>
      </c>
      <c r="G893">
        <v>1391.9869385</v>
      </c>
      <c r="H893">
        <v>1376.2038574000001</v>
      </c>
      <c r="I893">
        <v>1285.4387207</v>
      </c>
      <c r="J893">
        <v>1266.3068848</v>
      </c>
      <c r="K893">
        <v>2750</v>
      </c>
      <c r="L893">
        <v>0</v>
      </c>
      <c r="M893">
        <v>0</v>
      </c>
      <c r="N893">
        <v>2750</v>
      </c>
    </row>
    <row r="894" spans="1:14" x14ac:dyDescent="0.25">
      <c r="A894">
        <v>415.35469799999998</v>
      </c>
      <c r="B894" s="1">
        <f>DATE(2011,6,20) + TIME(8,30,45)</f>
        <v>40714.354687500003</v>
      </c>
      <c r="C894">
        <v>80</v>
      </c>
      <c r="D894">
        <v>79.943717957000004</v>
      </c>
      <c r="E894">
        <v>60</v>
      </c>
      <c r="F894">
        <v>53.948215484999999</v>
      </c>
      <c r="G894">
        <v>1391.9172363</v>
      </c>
      <c r="H894">
        <v>1376.1437988</v>
      </c>
      <c r="I894">
        <v>1285.3859863</v>
      </c>
      <c r="J894">
        <v>1266.2384033000001</v>
      </c>
      <c r="K894">
        <v>2750</v>
      </c>
      <c r="L894">
        <v>0</v>
      </c>
      <c r="M894">
        <v>0</v>
      </c>
      <c r="N894">
        <v>2750</v>
      </c>
    </row>
    <row r="895" spans="1:14" x14ac:dyDescent="0.25">
      <c r="A895">
        <v>416.22599600000001</v>
      </c>
      <c r="B895" s="1">
        <f>DATE(2011,6,21) + TIME(5,25,26)</f>
        <v>40715.225995370369</v>
      </c>
      <c r="C895">
        <v>80</v>
      </c>
      <c r="D895">
        <v>79.943740844999994</v>
      </c>
      <c r="E895">
        <v>60</v>
      </c>
      <c r="F895">
        <v>53.867870330999999</v>
      </c>
      <c r="G895">
        <v>1391.8479004000001</v>
      </c>
      <c r="H895">
        <v>1376.0837402</v>
      </c>
      <c r="I895">
        <v>1285.3320312000001</v>
      </c>
      <c r="J895">
        <v>1266.1678466999999</v>
      </c>
      <c r="K895">
        <v>2750</v>
      </c>
      <c r="L895">
        <v>0</v>
      </c>
      <c r="M895">
        <v>0</v>
      </c>
      <c r="N895">
        <v>2750</v>
      </c>
    </row>
    <row r="896" spans="1:14" x14ac:dyDescent="0.25">
      <c r="A896">
        <v>417.11061100000001</v>
      </c>
      <c r="B896" s="1">
        <f>DATE(2011,6,22) + TIME(2,39,16)</f>
        <v>40716.110601851855</v>
      </c>
      <c r="C896">
        <v>80</v>
      </c>
      <c r="D896">
        <v>79.943763732999997</v>
      </c>
      <c r="E896">
        <v>60</v>
      </c>
      <c r="F896">
        <v>53.786731719999999</v>
      </c>
      <c r="G896">
        <v>1391.7785644999999</v>
      </c>
      <c r="H896">
        <v>1376.0238036999999</v>
      </c>
      <c r="I896">
        <v>1285.2764893000001</v>
      </c>
      <c r="J896">
        <v>1266.0950928</v>
      </c>
      <c r="K896">
        <v>2750</v>
      </c>
      <c r="L896">
        <v>0</v>
      </c>
      <c r="M896">
        <v>0</v>
      </c>
      <c r="N896">
        <v>2750</v>
      </c>
    </row>
    <row r="897" spans="1:14" x14ac:dyDescent="0.25">
      <c r="A897">
        <v>418.01088099999998</v>
      </c>
      <c r="B897" s="1">
        <f>DATE(2011,6,23) + TIME(0,15,40)</f>
        <v>40717.010879629626</v>
      </c>
      <c r="C897">
        <v>80</v>
      </c>
      <c r="D897">
        <v>79.943794249999996</v>
      </c>
      <c r="E897">
        <v>60</v>
      </c>
      <c r="F897">
        <v>53.704578400000003</v>
      </c>
      <c r="G897">
        <v>1391.7091064000001</v>
      </c>
      <c r="H897">
        <v>1375.9637451000001</v>
      </c>
      <c r="I897">
        <v>1285.2193603999999</v>
      </c>
      <c r="J897">
        <v>1266.0200195</v>
      </c>
      <c r="K897">
        <v>2750</v>
      </c>
      <c r="L897">
        <v>0</v>
      </c>
      <c r="M897">
        <v>0</v>
      </c>
      <c r="N897">
        <v>2750</v>
      </c>
    </row>
    <row r="898" spans="1:14" x14ac:dyDescent="0.25">
      <c r="A898">
        <v>418.92448000000002</v>
      </c>
      <c r="B898" s="1">
        <f>DATE(2011,6,23) + TIME(22,11,15)</f>
        <v>40717.924479166664</v>
      </c>
      <c r="C898">
        <v>80</v>
      </c>
      <c r="D898">
        <v>79.943817139000004</v>
      </c>
      <c r="E898">
        <v>60</v>
      </c>
      <c r="F898">
        <v>53.621391295999999</v>
      </c>
      <c r="G898">
        <v>1391.6395264</v>
      </c>
      <c r="H898">
        <v>1375.9034423999999</v>
      </c>
      <c r="I898">
        <v>1285.1601562000001</v>
      </c>
      <c r="J898">
        <v>1265.9421387</v>
      </c>
      <c r="K898">
        <v>2750</v>
      </c>
      <c r="L898">
        <v>0</v>
      </c>
      <c r="M898">
        <v>0</v>
      </c>
      <c r="N898">
        <v>2750</v>
      </c>
    </row>
    <row r="899" spans="1:14" x14ac:dyDescent="0.25">
      <c r="A899">
        <v>419.853499</v>
      </c>
      <c r="B899" s="1">
        <f>DATE(2011,6,24) + TIME(20,29,2)</f>
        <v>40718.853495370371</v>
      </c>
      <c r="C899">
        <v>80</v>
      </c>
      <c r="D899">
        <v>79.943847656000003</v>
      </c>
      <c r="E899">
        <v>60</v>
      </c>
      <c r="F899">
        <v>53.537075043000002</v>
      </c>
      <c r="G899">
        <v>1391.5697021000001</v>
      </c>
      <c r="H899">
        <v>1375.8430175999999</v>
      </c>
      <c r="I899">
        <v>1285.0992432</v>
      </c>
      <c r="J899">
        <v>1265.8616943</v>
      </c>
      <c r="K899">
        <v>2750</v>
      </c>
      <c r="L899">
        <v>0</v>
      </c>
      <c r="M899">
        <v>0</v>
      </c>
      <c r="N899">
        <v>2750</v>
      </c>
    </row>
    <row r="900" spans="1:14" x14ac:dyDescent="0.25">
      <c r="A900">
        <v>420.80041199999999</v>
      </c>
      <c r="B900" s="1">
        <f>DATE(2011,6,25) + TIME(19,12,35)</f>
        <v>40719.800405092596</v>
      </c>
      <c r="C900">
        <v>80</v>
      </c>
      <c r="D900">
        <v>79.943870544000006</v>
      </c>
      <c r="E900">
        <v>60</v>
      </c>
      <c r="F900">
        <v>53.451454163000001</v>
      </c>
      <c r="G900">
        <v>1391.4997559000001</v>
      </c>
      <c r="H900">
        <v>1375.7823486</v>
      </c>
      <c r="I900">
        <v>1285.0363769999999</v>
      </c>
      <c r="J900">
        <v>1265.7783202999999</v>
      </c>
      <c r="K900">
        <v>2750</v>
      </c>
      <c r="L900">
        <v>0</v>
      </c>
      <c r="M900">
        <v>0</v>
      </c>
      <c r="N900">
        <v>2750</v>
      </c>
    </row>
    <row r="901" spans="1:14" x14ac:dyDescent="0.25">
      <c r="A901">
        <v>421.76521400000001</v>
      </c>
      <c r="B901" s="1">
        <f>DATE(2011,6,26) + TIME(18,21,54)</f>
        <v>40720.765208333331</v>
      </c>
      <c r="C901">
        <v>80</v>
      </c>
      <c r="D901">
        <v>79.943901061999995</v>
      </c>
      <c r="E901">
        <v>60</v>
      </c>
      <c r="F901">
        <v>53.364421843999999</v>
      </c>
      <c r="G901">
        <v>1391.4295654</v>
      </c>
      <c r="H901">
        <v>1375.7214355000001</v>
      </c>
      <c r="I901">
        <v>1284.9711914</v>
      </c>
      <c r="J901">
        <v>1265.6917725000001</v>
      </c>
      <c r="K901">
        <v>2750</v>
      </c>
      <c r="L901">
        <v>0</v>
      </c>
      <c r="M901">
        <v>0</v>
      </c>
      <c r="N901">
        <v>2750</v>
      </c>
    </row>
    <row r="902" spans="1:14" x14ac:dyDescent="0.25">
      <c r="A902">
        <v>422.73665</v>
      </c>
      <c r="B902" s="1">
        <f>DATE(2011,6,27) + TIME(17,40,46)</f>
        <v>40721.736643518518</v>
      </c>
      <c r="C902">
        <v>80</v>
      </c>
      <c r="D902">
        <v>79.943931579999997</v>
      </c>
      <c r="E902">
        <v>60</v>
      </c>
      <c r="F902">
        <v>53.276367188000002</v>
      </c>
      <c r="G902">
        <v>1391.3588867000001</v>
      </c>
      <c r="H902">
        <v>1375.6600341999999</v>
      </c>
      <c r="I902">
        <v>1284.9036865</v>
      </c>
      <c r="J902">
        <v>1265.6019286999999</v>
      </c>
      <c r="K902">
        <v>2750</v>
      </c>
      <c r="L902">
        <v>0</v>
      </c>
      <c r="M902">
        <v>0</v>
      </c>
      <c r="N902">
        <v>2750</v>
      </c>
    </row>
    <row r="903" spans="1:14" x14ac:dyDescent="0.25">
      <c r="A903">
        <v>423.712718</v>
      </c>
      <c r="B903" s="1">
        <f>DATE(2011,6,28) + TIME(17,6,18)</f>
        <v>40722.712708333333</v>
      </c>
      <c r="C903">
        <v>80</v>
      </c>
      <c r="D903">
        <v>79.943962096999996</v>
      </c>
      <c r="E903">
        <v>60</v>
      </c>
      <c r="F903">
        <v>53.187637328999998</v>
      </c>
      <c r="G903">
        <v>1391.2886963000001</v>
      </c>
      <c r="H903">
        <v>1375.5991211</v>
      </c>
      <c r="I903">
        <v>1284.8345947</v>
      </c>
      <c r="J903">
        <v>1265.5095214999999</v>
      </c>
      <c r="K903">
        <v>2750</v>
      </c>
      <c r="L903">
        <v>0</v>
      </c>
      <c r="M903">
        <v>0</v>
      </c>
      <c r="N903">
        <v>2750</v>
      </c>
    </row>
    <row r="904" spans="1:14" x14ac:dyDescent="0.25">
      <c r="A904">
        <v>424.69503500000002</v>
      </c>
      <c r="B904" s="1">
        <f>DATE(2011,6,29) + TIME(16,40,51)</f>
        <v>40723.695034722223</v>
      </c>
      <c r="C904">
        <v>80</v>
      </c>
      <c r="D904">
        <v>79.943992614999999</v>
      </c>
      <c r="E904">
        <v>60</v>
      </c>
      <c r="F904">
        <v>53.098327636999997</v>
      </c>
      <c r="G904">
        <v>1391.2191161999999</v>
      </c>
      <c r="H904">
        <v>1375.5385742000001</v>
      </c>
      <c r="I904">
        <v>1284.7640381000001</v>
      </c>
      <c r="J904">
        <v>1265.4149170000001</v>
      </c>
      <c r="K904">
        <v>2750</v>
      </c>
      <c r="L904">
        <v>0</v>
      </c>
      <c r="M904">
        <v>0</v>
      </c>
      <c r="N904">
        <v>2750</v>
      </c>
    </row>
    <row r="905" spans="1:14" x14ac:dyDescent="0.25">
      <c r="A905">
        <v>425.68587400000001</v>
      </c>
      <c r="B905" s="1">
        <f>DATE(2011,6,30) + TIME(16,27,39)</f>
        <v>40724.685868055552</v>
      </c>
      <c r="C905">
        <v>80</v>
      </c>
      <c r="D905">
        <v>79.944023131999998</v>
      </c>
      <c r="E905">
        <v>60</v>
      </c>
      <c r="F905">
        <v>53.008354187000002</v>
      </c>
      <c r="G905">
        <v>1391.1500243999999</v>
      </c>
      <c r="H905">
        <v>1375.4785156</v>
      </c>
      <c r="I905">
        <v>1284.6918945</v>
      </c>
      <c r="J905">
        <v>1265.3176269999999</v>
      </c>
      <c r="K905">
        <v>2750</v>
      </c>
      <c r="L905">
        <v>0</v>
      </c>
      <c r="M905">
        <v>0</v>
      </c>
      <c r="N905">
        <v>2750</v>
      </c>
    </row>
    <row r="906" spans="1:14" x14ac:dyDescent="0.25">
      <c r="A906">
        <v>426</v>
      </c>
      <c r="B906" s="1">
        <f>DATE(2011,7,1) + TIME(0,0,0)</f>
        <v>40725</v>
      </c>
      <c r="C906">
        <v>80</v>
      </c>
      <c r="D906">
        <v>79.944023131999998</v>
      </c>
      <c r="E906">
        <v>60</v>
      </c>
      <c r="F906">
        <v>52.962097168</v>
      </c>
      <c r="G906">
        <v>1391.0814209</v>
      </c>
      <c r="H906">
        <v>1375.4188231999999</v>
      </c>
      <c r="I906">
        <v>1284.6173096</v>
      </c>
      <c r="J906">
        <v>1265.2290039</v>
      </c>
      <c r="K906">
        <v>2750</v>
      </c>
      <c r="L906">
        <v>0</v>
      </c>
      <c r="M906">
        <v>0</v>
      </c>
      <c r="N906">
        <v>2750</v>
      </c>
    </row>
    <row r="907" spans="1:14" x14ac:dyDescent="0.25">
      <c r="A907">
        <v>427.001104</v>
      </c>
      <c r="B907" s="1">
        <f>DATE(2011,7,2) + TIME(0,1,35)</f>
        <v>40726.001099537039</v>
      </c>
      <c r="C907">
        <v>80</v>
      </c>
      <c r="D907">
        <v>79.944061278999996</v>
      </c>
      <c r="E907">
        <v>60</v>
      </c>
      <c r="F907">
        <v>52.881080627000003</v>
      </c>
      <c r="G907">
        <v>1391.0593262</v>
      </c>
      <c r="H907">
        <v>1375.3995361</v>
      </c>
      <c r="I907">
        <v>1284.5930175999999</v>
      </c>
      <c r="J907">
        <v>1265.1816406</v>
      </c>
      <c r="K907">
        <v>2750</v>
      </c>
      <c r="L907">
        <v>0</v>
      </c>
      <c r="M907">
        <v>0</v>
      </c>
      <c r="N907">
        <v>2750</v>
      </c>
    </row>
    <row r="908" spans="1:14" x14ac:dyDescent="0.25">
      <c r="A908">
        <v>428.01450899999998</v>
      </c>
      <c r="B908" s="1">
        <f>DATE(2011,7,3) + TIME(0,20,53)</f>
        <v>40727.014502314814</v>
      </c>
      <c r="C908">
        <v>80</v>
      </c>
      <c r="D908">
        <v>79.944099425999994</v>
      </c>
      <c r="E908">
        <v>60</v>
      </c>
      <c r="F908">
        <v>52.793590545999997</v>
      </c>
      <c r="G908">
        <v>1390.9914550999999</v>
      </c>
      <c r="H908">
        <v>1375.3404541</v>
      </c>
      <c r="I908">
        <v>1284.5173339999999</v>
      </c>
      <c r="J908">
        <v>1265.0800781</v>
      </c>
      <c r="K908">
        <v>2750</v>
      </c>
      <c r="L908">
        <v>0</v>
      </c>
      <c r="M908">
        <v>0</v>
      </c>
      <c r="N908">
        <v>2750</v>
      </c>
    </row>
    <row r="909" spans="1:14" x14ac:dyDescent="0.25">
      <c r="A909">
        <v>429.03983599999998</v>
      </c>
      <c r="B909" s="1">
        <f>DATE(2011,7,4) + TIME(0,57,21)</f>
        <v>40728.039826388886</v>
      </c>
      <c r="C909">
        <v>80</v>
      </c>
      <c r="D909">
        <v>79.944129943999997</v>
      </c>
      <c r="E909">
        <v>60</v>
      </c>
      <c r="F909">
        <v>52.702556610000002</v>
      </c>
      <c r="G909">
        <v>1390.9232178</v>
      </c>
      <c r="H909">
        <v>1375.2808838000001</v>
      </c>
      <c r="I909">
        <v>1284.4388428</v>
      </c>
      <c r="J909">
        <v>1264.9738769999999</v>
      </c>
      <c r="K909">
        <v>2750</v>
      </c>
      <c r="L909">
        <v>0</v>
      </c>
      <c r="M909">
        <v>0</v>
      </c>
      <c r="N909">
        <v>2750</v>
      </c>
    </row>
    <row r="910" spans="1:14" x14ac:dyDescent="0.25">
      <c r="A910">
        <v>430.07959199999999</v>
      </c>
      <c r="B910" s="1">
        <f>DATE(2011,7,5) + TIME(1,54,36)</f>
        <v>40729.079583333332</v>
      </c>
      <c r="C910">
        <v>80</v>
      </c>
      <c r="D910">
        <v>79.944168090999995</v>
      </c>
      <c r="E910">
        <v>60</v>
      </c>
      <c r="F910">
        <v>52.609172821000001</v>
      </c>
      <c r="G910">
        <v>1390.8551024999999</v>
      </c>
      <c r="H910">
        <v>1375.2214355000001</v>
      </c>
      <c r="I910">
        <v>1284.3580322</v>
      </c>
      <c r="J910">
        <v>1264.8637695</v>
      </c>
      <c r="K910">
        <v>2750</v>
      </c>
      <c r="L910">
        <v>0</v>
      </c>
      <c r="M910">
        <v>0</v>
      </c>
      <c r="N910">
        <v>2750</v>
      </c>
    </row>
    <row r="911" spans="1:14" x14ac:dyDescent="0.25">
      <c r="A911">
        <v>431.13639899999998</v>
      </c>
      <c r="B911" s="1">
        <f>DATE(2011,7,6) + TIME(3,16,24)</f>
        <v>40730.136388888888</v>
      </c>
      <c r="C911">
        <v>80</v>
      </c>
      <c r="D911">
        <v>79.944206238000007</v>
      </c>
      <c r="E911">
        <v>60</v>
      </c>
      <c r="F911">
        <v>52.513805388999998</v>
      </c>
      <c r="G911">
        <v>1390.7868652</v>
      </c>
      <c r="H911">
        <v>1375.1619873</v>
      </c>
      <c r="I911">
        <v>1284.2746582</v>
      </c>
      <c r="J911">
        <v>1264.7496338000001</v>
      </c>
      <c r="K911">
        <v>2750</v>
      </c>
      <c r="L911">
        <v>0</v>
      </c>
      <c r="M911">
        <v>0</v>
      </c>
      <c r="N911">
        <v>2750</v>
      </c>
    </row>
    <row r="912" spans="1:14" x14ac:dyDescent="0.25">
      <c r="A912">
        <v>432.21308099999999</v>
      </c>
      <c r="B912" s="1">
        <f>DATE(2011,7,7) + TIME(5,6,50)</f>
        <v>40731.213078703702</v>
      </c>
      <c r="C912">
        <v>80</v>
      </c>
      <c r="D912">
        <v>79.944236755000006</v>
      </c>
      <c r="E912">
        <v>60</v>
      </c>
      <c r="F912">
        <v>52.416446686</v>
      </c>
      <c r="G912">
        <v>1390.7185059000001</v>
      </c>
      <c r="H912">
        <v>1375.1021728999999</v>
      </c>
      <c r="I912">
        <v>1284.1884766000001</v>
      </c>
      <c r="J912">
        <v>1264.6311035000001</v>
      </c>
      <c r="K912">
        <v>2750</v>
      </c>
      <c r="L912">
        <v>0</v>
      </c>
      <c r="M912">
        <v>0</v>
      </c>
      <c r="N912">
        <v>2750</v>
      </c>
    </row>
    <row r="913" spans="1:14" x14ac:dyDescent="0.25">
      <c r="A913">
        <v>433.30111599999998</v>
      </c>
      <c r="B913" s="1">
        <f>DATE(2011,7,8) + TIME(7,13,36)</f>
        <v>40732.301111111112</v>
      </c>
      <c r="C913">
        <v>80</v>
      </c>
      <c r="D913">
        <v>79.944274902000004</v>
      </c>
      <c r="E913">
        <v>60</v>
      </c>
      <c r="F913">
        <v>52.31734848</v>
      </c>
      <c r="G913">
        <v>1390.6496582</v>
      </c>
      <c r="H913">
        <v>1375.0419922000001</v>
      </c>
      <c r="I913">
        <v>1284.0992432</v>
      </c>
      <c r="J913">
        <v>1264.5081786999999</v>
      </c>
      <c r="K913">
        <v>2750</v>
      </c>
      <c r="L913">
        <v>0</v>
      </c>
      <c r="M913">
        <v>0</v>
      </c>
      <c r="N913">
        <v>2750</v>
      </c>
    </row>
    <row r="914" spans="1:14" x14ac:dyDescent="0.25">
      <c r="A914">
        <v>434.39782300000002</v>
      </c>
      <c r="B914" s="1">
        <f>DATE(2011,7,9) + TIME(9,32,51)</f>
        <v>40733.397812499999</v>
      </c>
      <c r="C914">
        <v>80</v>
      </c>
      <c r="D914">
        <v>79.944313049000002</v>
      </c>
      <c r="E914">
        <v>60</v>
      </c>
      <c r="F914">
        <v>52.216819762999997</v>
      </c>
      <c r="G914">
        <v>1390.5810547000001</v>
      </c>
      <c r="H914">
        <v>1374.9819336</v>
      </c>
      <c r="I914">
        <v>1284.0075684000001</v>
      </c>
      <c r="J914">
        <v>1264.3812256000001</v>
      </c>
      <c r="K914">
        <v>2750</v>
      </c>
      <c r="L914">
        <v>0</v>
      </c>
      <c r="M914">
        <v>0</v>
      </c>
      <c r="N914">
        <v>2750</v>
      </c>
    </row>
    <row r="915" spans="1:14" x14ac:dyDescent="0.25">
      <c r="A915">
        <v>435.50588099999999</v>
      </c>
      <c r="B915" s="1">
        <f>DATE(2011,7,10) + TIME(12,8,28)</f>
        <v>40734.505879629629</v>
      </c>
      <c r="C915">
        <v>80</v>
      </c>
      <c r="D915">
        <v>79.944351196</v>
      </c>
      <c r="E915">
        <v>60</v>
      </c>
      <c r="F915">
        <v>52.114894866999997</v>
      </c>
      <c r="G915">
        <v>1390.5126952999999</v>
      </c>
      <c r="H915">
        <v>1374.9219971</v>
      </c>
      <c r="I915">
        <v>1283.9134521000001</v>
      </c>
      <c r="J915">
        <v>1264.2506103999999</v>
      </c>
      <c r="K915">
        <v>2750</v>
      </c>
      <c r="L915">
        <v>0</v>
      </c>
      <c r="M915">
        <v>0</v>
      </c>
      <c r="N915">
        <v>2750</v>
      </c>
    </row>
    <row r="916" spans="1:14" x14ac:dyDescent="0.25">
      <c r="A916">
        <v>436.62803100000002</v>
      </c>
      <c r="B916" s="1">
        <f>DATE(2011,7,11) + TIME(15,4,21)</f>
        <v>40735.628020833334</v>
      </c>
      <c r="C916">
        <v>80</v>
      </c>
      <c r="D916">
        <v>79.944396972999996</v>
      </c>
      <c r="E916">
        <v>60</v>
      </c>
      <c r="F916">
        <v>52.011413574000002</v>
      </c>
      <c r="G916">
        <v>1390.4444579999999</v>
      </c>
      <c r="H916">
        <v>1374.8623047000001</v>
      </c>
      <c r="I916">
        <v>1283.8168945</v>
      </c>
      <c r="J916">
        <v>1264.1158447</v>
      </c>
      <c r="K916">
        <v>2750</v>
      </c>
      <c r="L916">
        <v>0</v>
      </c>
      <c r="M916">
        <v>0</v>
      </c>
      <c r="N916">
        <v>2750</v>
      </c>
    </row>
    <row r="917" spans="1:14" x14ac:dyDescent="0.25">
      <c r="A917">
        <v>437.76019000000002</v>
      </c>
      <c r="B917" s="1">
        <f>DATE(2011,7,12) + TIME(18,14,40)</f>
        <v>40736.760185185187</v>
      </c>
      <c r="C917">
        <v>80</v>
      </c>
      <c r="D917">
        <v>79.944435119999994</v>
      </c>
      <c r="E917">
        <v>60</v>
      </c>
      <c r="F917">
        <v>51.906387328999998</v>
      </c>
      <c r="G917">
        <v>1390.3763428</v>
      </c>
      <c r="H917">
        <v>1374.8024902</v>
      </c>
      <c r="I917">
        <v>1283.7174072</v>
      </c>
      <c r="J917">
        <v>1263.9768065999999</v>
      </c>
      <c r="K917">
        <v>2750</v>
      </c>
      <c r="L917">
        <v>0</v>
      </c>
      <c r="M917">
        <v>0</v>
      </c>
      <c r="N917">
        <v>2750</v>
      </c>
    </row>
    <row r="918" spans="1:14" x14ac:dyDescent="0.25">
      <c r="A918">
        <v>438.90033299999999</v>
      </c>
      <c r="B918" s="1">
        <f>DATE(2011,7,13) + TIME(21,36,28)</f>
        <v>40737.900324074071</v>
      </c>
      <c r="C918">
        <v>80</v>
      </c>
      <c r="D918">
        <v>79.944473267000006</v>
      </c>
      <c r="E918">
        <v>60</v>
      </c>
      <c r="F918">
        <v>51.799922942999999</v>
      </c>
      <c r="G918">
        <v>1390.3083495999999</v>
      </c>
      <c r="H918">
        <v>1374.7427978999999</v>
      </c>
      <c r="I918">
        <v>1283.6153564000001</v>
      </c>
      <c r="J918">
        <v>1263.8336182</v>
      </c>
      <c r="K918">
        <v>2750</v>
      </c>
      <c r="L918">
        <v>0</v>
      </c>
      <c r="M918">
        <v>0</v>
      </c>
      <c r="N918">
        <v>2750</v>
      </c>
    </row>
    <row r="919" spans="1:14" x14ac:dyDescent="0.25">
      <c r="A919">
        <v>440.05072999999999</v>
      </c>
      <c r="B919" s="1">
        <f>DATE(2011,7,15) + TIME(1,13,3)</f>
        <v>40739.050729166665</v>
      </c>
      <c r="C919">
        <v>80</v>
      </c>
      <c r="D919">
        <v>79.944519043</v>
      </c>
      <c r="E919">
        <v>60</v>
      </c>
      <c r="F919">
        <v>51.691986084</v>
      </c>
      <c r="G919">
        <v>1390.2408447</v>
      </c>
      <c r="H919">
        <v>1374.6834716999999</v>
      </c>
      <c r="I919">
        <v>1283.5109863</v>
      </c>
      <c r="J919">
        <v>1263.6864014</v>
      </c>
      <c r="K919">
        <v>2750</v>
      </c>
      <c r="L919">
        <v>0</v>
      </c>
      <c r="M919">
        <v>0</v>
      </c>
      <c r="N919">
        <v>2750</v>
      </c>
    </row>
    <row r="920" spans="1:14" x14ac:dyDescent="0.25">
      <c r="A920">
        <v>441.21408400000001</v>
      </c>
      <c r="B920" s="1">
        <f>DATE(2011,7,16) + TIME(5,8,16)</f>
        <v>40740.214074074072</v>
      </c>
      <c r="C920">
        <v>80</v>
      </c>
      <c r="D920">
        <v>79.944564818999993</v>
      </c>
      <c r="E920">
        <v>60</v>
      </c>
      <c r="F920">
        <v>51.582382201999998</v>
      </c>
      <c r="G920">
        <v>1390.1734618999999</v>
      </c>
      <c r="H920">
        <v>1374.6242675999999</v>
      </c>
      <c r="I920">
        <v>1283.4038086</v>
      </c>
      <c r="J920">
        <v>1263.5350341999999</v>
      </c>
      <c r="K920">
        <v>2750</v>
      </c>
      <c r="L920">
        <v>0</v>
      </c>
      <c r="M920">
        <v>0</v>
      </c>
      <c r="N920">
        <v>2750</v>
      </c>
    </row>
    <row r="921" spans="1:14" x14ac:dyDescent="0.25">
      <c r="A921">
        <v>442.39322600000003</v>
      </c>
      <c r="B921" s="1">
        <f>DATE(2011,7,17) + TIME(9,26,14)</f>
        <v>40741.393217592595</v>
      </c>
      <c r="C921">
        <v>80</v>
      </c>
      <c r="D921">
        <v>79.944602966000005</v>
      </c>
      <c r="E921">
        <v>60</v>
      </c>
      <c r="F921">
        <v>51.470832825000002</v>
      </c>
      <c r="G921">
        <v>1390.1062012</v>
      </c>
      <c r="H921">
        <v>1374.5650635</v>
      </c>
      <c r="I921">
        <v>1283.2938231999999</v>
      </c>
      <c r="J921">
        <v>1263.3789062000001</v>
      </c>
      <c r="K921">
        <v>2750</v>
      </c>
      <c r="L921">
        <v>0</v>
      </c>
      <c r="M921">
        <v>0</v>
      </c>
      <c r="N921">
        <v>2750</v>
      </c>
    </row>
    <row r="922" spans="1:14" x14ac:dyDescent="0.25">
      <c r="A922">
        <v>443.59113500000001</v>
      </c>
      <c r="B922" s="1">
        <f>DATE(2011,7,18) + TIME(14,11,14)</f>
        <v>40742.591134259259</v>
      </c>
      <c r="C922">
        <v>80</v>
      </c>
      <c r="D922">
        <v>79.944648743000002</v>
      </c>
      <c r="E922">
        <v>60</v>
      </c>
      <c r="F922">
        <v>51.357017517000003</v>
      </c>
      <c r="G922">
        <v>1390.0388184000001</v>
      </c>
      <c r="H922">
        <v>1374.5057373</v>
      </c>
      <c r="I922">
        <v>1283.1804199000001</v>
      </c>
      <c r="J922">
        <v>1263.2175293</v>
      </c>
      <c r="K922">
        <v>2750</v>
      </c>
      <c r="L922">
        <v>0</v>
      </c>
      <c r="M922">
        <v>0</v>
      </c>
      <c r="N922">
        <v>2750</v>
      </c>
    </row>
    <row r="923" spans="1:14" x14ac:dyDescent="0.25">
      <c r="A923">
        <v>444.80365499999999</v>
      </c>
      <c r="B923" s="1">
        <f>DATE(2011,7,19) + TIME(19,17,15)</f>
        <v>40743.80364583333</v>
      </c>
      <c r="C923">
        <v>80</v>
      </c>
      <c r="D923">
        <v>79.944694518999995</v>
      </c>
      <c r="E923">
        <v>60</v>
      </c>
      <c r="F923">
        <v>51.240848540999998</v>
      </c>
      <c r="G923">
        <v>1389.9711914</v>
      </c>
      <c r="H923">
        <v>1374.4460449000001</v>
      </c>
      <c r="I923">
        <v>1283.0635986</v>
      </c>
      <c r="J923">
        <v>1263.0505370999999</v>
      </c>
      <c r="K923">
        <v>2750</v>
      </c>
      <c r="L923">
        <v>0</v>
      </c>
      <c r="M923">
        <v>0</v>
      </c>
      <c r="N923">
        <v>2750</v>
      </c>
    </row>
    <row r="924" spans="1:14" x14ac:dyDescent="0.25">
      <c r="A924">
        <v>446.024383</v>
      </c>
      <c r="B924" s="1">
        <f>DATE(2011,7,21) + TIME(0,35,6)</f>
        <v>40745.024375000001</v>
      </c>
      <c r="C924">
        <v>80</v>
      </c>
      <c r="D924">
        <v>79.944740295000003</v>
      </c>
      <c r="E924">
        <v>60</v>
      </c>
      <c r="F924">
        <v>51.122570037999999</v>
      </c>
      <c r="G924">
        <v>1389.9034423999999</v>
      </c>
      <c r="H924">
        <v>1374.3864745999999</v>
      </c>
      <c r="I924">
        <v>1282.9433594</v>
      </c>
      <c r="J924">
        <v>1262.878418</v>
      </c>
      <c r="K924">
        <v>2750</v>
      </c>
      <c r="L924">
        <v>0</v>
      </c>
      <c r="M924">
        <v>0</v>
      </c>
      <c r="N924">
        <v>2750</v>
      </c>
    </row>
    <row r="925" spans="1:14" x14ac:dyDescent="0.25">
      <c r="A925">
        <v>447.25627800000001</v>
      </c>
      <c r="B925" s="1">
        <f>DATE(2011,7,22) + TIME(6,9,2)</f>
        <v>40746.256273148145</v>
      </c>
      <c r="C925">
        <v>80</v>
      </c>
      <c r="D925">
        <v>79.944786071999999</v>
      </c>
      <c r="E925">
        <v>60</v>
      </c>
      <c r="F925">
        <v>51.00226593</v>
      </c>
      <c r="G925">
        <v>1389.8361815999999</v>
      </c>
      <c r="H925">
        <v>1374.3270264</v>
      </c>
      <c r="I925">
        <v>1282.8204346</v>
      </c>
      <c r="J925">
        <v>1262.7015381000001</v>
      </c>
      <c r="K925">
        <v>2750</v>
      </c>
      <c r="L925">
        <v>0</v>
      </c>
      <c r="M925">
        <v>0</v>
      </c>
      <c r="N925">
        <v>2750</v>
      </c>
    </row>
    <row r="926" spans="1:14" x14ac:dyDescent="0.25">
      <c r="A926">
        <v>448.50234799999998</v>
      </c>
      <c r="B926" s="1">
        <f>DATE(2011,7,23) + TIME(12,3,22)</f>
        <v>40747.502337962964</v>
      </c>
      <c r="C926">
        <v>80</v>
      </c>
      <c r="D926">
        <v>79.944839478000006</v>
      </c>
      <c r="E926">
        <v>60</v>
      </c>
      <c r="F926">
        <v>50.879741668999998</v>
      </c>
      <c r="G926">
        <v>1389.769043</v>
      </c>
      <c r="H926">
        <v>1374.2677002</v>
      </c>
      <c r="I926">
        <v>1282.6944579999999</v>
      </c>
      <c r="J926">
        <v>1262.5196533000001</v>
      </c>
      <c r="K926">
        <v>2750</v>
      </c>
      <c r="L926">
        <v>0</v>
      </c>
      <c r="M926">
        <v>0</v>
      </c>
      <c r="N926">
        <v>2750</v>
      </c>
    </row>
    <row r="927" spans="1:14" x14ac:dyDescent="0.25">
      <c r="A927">
        <v>449.765714</v>
      </c>
      <c r="B927" s="1">
        <f>DATE(2011,7,24) + TIME(18,22,37)</f>
        <v>40748.765706018516</v>
      </c>
      <c r="C927">
        <v>80</v>
      </c>
      <c r="D927">
        <v>79.944885253999999</v>
      </c>
      <c r="E927">
        <v>60</v>
      </c>
      <c r="F927">
        <v>50.754684447999999</v>
      </c>
      <c r="G927">
        <v>1389.7019043</v>
      </c>
      <c r="H927">
        <v>1374.208374</v>
      </c>
      <c r="I927">
        <v>1282.5650635</v>
      </c>
      <c r="J927">
        <v>1262.3322754000001</v>
      </c>
      <c r="K927">
        <v>2750</v>
      </c>
      <c r="L927">
        <v>0</v>
      </c>
      <c r="M927">
        <v>0</v>
      </c>
      <c r="N927">
        <v>2750</v>
      </c>
    </row>
    <row r="928" spans="1:14" x14ac:dyDescent="0.25">
      <c r="A928">
        <v>451.04577499999999</v>
      </c>
      <c r="B928" s="1">
        <f>DATE(2011,7,26) + TIME(1,5,54)</f>
        <v>40750.045763888891</v>
      </c>
      <c r="C928">
        <v>80</v>
      </c>
      <c r="D928">
        <v>79.944938660000005</v>
      </c>
      <c r="E928">
        <v>60</v>
      </c>
      <c r="F928">
        <v>50.626873015999998</v>
      </c>
      <c r="G928">
        <v>1389.6346435999999</v>
      </c>
      <c r="H928">
        <v>1374.1488036999999</v>
      </c>
      <c r="I928">
        <v>1282.4320068</v>
      </c>
      <c r="J928">
        <v>1262.1389160000001</v>
      </c>
      <c r="K928">
        <v>2750</v>
      </c>
      <c r="L928">
        <v>0</v>
      </c>
      <c r="M928">
        <v>0</v>
      </c>
      <c r="N928">
        <v>2750</v>
      </c>
    </row>
    <row r="929" spans="1:14" x14ac:dyDescent="0.25">
      <c r="A929">
        <v>452.33898900000003</v>
      </c>
      <c r="B929" s="1">
        <f>DATE(2011,7,27) + TIME(8,8,8)</f>
        <v>40751.33898148148</v>
      </c>
      <c r="C929">
        <v>80</v>
      </c>
      <c r="D929">
        <v>79.944984435999999</v>
      </c>
      <c r="E929">
        <v>60</v>
      </c>
      <c r="F929">
        <v>50.496311188</v>
      </c>
      <c r="G929">
        <v>1389.5671387</v>
      </c>
      <c r="H929">
        <v>1374.0891113</v>
      </c>
      <c r="I929">
        <v>1282.2952881000001</v>
      </c>
      <c r="J929">
        <v>1261.9394531</v>
      </c>
      <c r="K929">
        <v>2750</v>
      </c>
      <c r="L929">
        <v>0</v>
      </c>
      <c r="M929">
        <v>0</v>
      </c>
      <c r="N929">
        <v>2750</v>
      </c>
    </row>
    <row r="930" spans="1:14" x14ac:dyDescent="0.25">
      <c r="A930">
        <v>453.64411799999999</v>
      </c>
      <c r="B930" s="1">
        <f>DATE(2011,7,28) + TIME(15,27,31)</f>
        <v>40752.644108796296</v>
      </c>
      <c r="C930">
        <v>80</v>
      </c>
      <c r="D930">
        <v>79.945037842000005</v>
      </c>
      <c r="E930">
        <v>60</v>
      </c>
      <c r="F930">
        <v>50.363094330000003</v>
      </c>
      <c r="G930">
        <v>1389.4998779</v>
      </c>
      <c r="H930">
        <v>1374.0294189000001</v>
      </c>
      <c r="I930">
        <v>1282.1552733999999</v>
      </c>
      <c r="J930">
        <v>1261.734375</v>
      </c>
      <c r="K930">
        <v>2750</v>
      </c>
      <c r="L930">
        <v>0</v>
      </c>
      <c r="M930">
        <v>0</v>
      </c>
      <c r="N930">
        <v>2750</v>
      </c>
    </row>
    <row r="931" spans="1:14" x14ac:dyDescent="0.25">
      <c r="A931">
        <v>454.964202</v>
      </c>
      <c r="B931" s="1">
        <f>DATE(2011,7,29) + TIME(23,8,27)</f>
        <v>40753.964201388888</v>
      </c>
      <c r="C931">
        <v>80</v>
      </c>
      <c r="D931">
        <v>79.945091247999997</v>
      </c>
      <c r="E931">
        <v>60</v>
      </c>
      <c r="F931">
        <v>50.227138519</v>
      </c>
      <c r="G931">
        <v>1389.4326172000001</v>
      </c>
      <c r="H931">
        <v>1373.9698486</v>
      </c>
      <c r="I931">
        <v>1282.0118408000001</v>
      </c>
      <c r="J931">
        <v>1261.5236815999999</v>
      </c>
      <c r="K931">
        <v>2750</v>
      </c>
      <c r="L931">
        <v>0</v>
      </c>
      <c r="M931">
        <v>0</v>
      </c>
      <c r="N931">
        <v>2750</v>
      </c>
    </row>
    <row r="932" spans="1:14" x14ac:dyDescent="0.25">
      <c r="A932">
        <v>456.30251299999998</v>
      </c>
      <c r="B932" s="1">
        <f>DATE(2011,7,31) + TIME(7,15,37)</f>
        <v>40755.302511574075</v>
      </c>
      <c r="C932">
        <v>80</v>
      </c>
      <c r="D932">
        <v>79.945144653</v>
      </c>
      <c r="E932">
        <v>60</v>
      </c>
      <c r="F932">
        <v>50.088127135999997</v>
      </c>
      <c r="G932">
        <v>1389.3654785000001</v>
      </c>
      <c r="H932">
        <v>1373.9101562000001</v>
      </c>
      <c r="I932">
        <v>1281.8647461</v>
      </c>
      <c r="J932">
        <v>1261.3067627</v>
      </c>
      <c r="K932">
        <v>2750</v>
      </c>
      <c r="L932">
        <v>0</v>
      </c>
      <c r="M932">
        <v>0</v>
      </c>
      <c r="N932">
        <v>2750</v>
      </c>
    </row>
    <row r="933" spans="1:14" x14ac:dyDescent="0.25">
      <c r="A933">
        <v>457</v>
      </c>
      <c r="B933" s="1">
        <f>DATE(2011,8,1) + TIME(0,0,0)</f>
        <v>40756</v>
      </c>
      <c r="C933">
        <v>80</v>
      </c>
      <c r="D933">
        <v>79.945159911999994</v>
      </c>
      <c r="E933">
        <v>60</v>
      </c>
      <c r="F933">
        <v>49.982234955000003</v>
      </c>
      <c r="G933">
        <v>1389.2978516000001</v>
      </c>
      <c r="H933">
        <v>1373.8499756000001</v>
      </c>
      <c r="I933">
        <v>1281.7164307</v>
      </c>
      <c r="J933">
        <v>1261.0998535000001</v>
      </c>
      <c r="K933">
        <v>2750</v>
      </c>
      <c r="L933">
        <v>0</v>
      </c>
      <c r="M933">
        <v>0</v>
      </c>
      <c r="N933">
        <v>2750</v>
      </c>
    </row>
    <row r="934" spans="1:14" x14ac:dyDescent="0.25">
      <c r="A934">
        <v>458.346791</v>
      </c>
      <c r="B934" s="1">
        <f>DATE(2011,8,2) + TIME(8,19,22)</f>
        <v>40757.346782407411</v>
      </c>
      <c r="C934">
        <v>80</v>
      </c>
      <c r="D934">
        <v>79.945220946999996</v>
      </c>
      <c r="E934">
        <v>60</v>
      </c>
      <c r="F934">
        <v>49.859390259000001</v>
      </c>
      <c r="G934">
        <v>1389.2630615</v>
      </c>
      <c r="H934">
        <v>1373.8189697</v>
      </c>
      <c r="I934">
        <v>1281.6303711</v>
      </c>
      <c r="J934">
        <v>1260.9548339999999</v>
      </c>
      <c r="K934">
        <v>2750</v>
      </c>
      <c r="L934">
        <v>0</v>
      </c>
      <c r="M934">
        <v>0</v>
      </c>
      <c r="N934">
        <v>2750</v>
      </c>
    </row>
    <row r="935" spans="1:14" x14ac:dyDescent="0.25">
      <c r="A935">
        <v>459.70840199999998</v>
      </c>
      <c r="B935" s="1">
        <f>DATE(2011,8,3) + TIME(17,0,5)</f>
        <v>40758.708391203705</v>
      </c>
      <c r="C935">
        <v>80</v>
      </c>
      <c r="D935">
        <v>79.945274353000002</v>
      </c>
      <c r="E935">
        <v>60</v>
      </c>
      <c r="F935">
        <v>49.720851897999999</v>
      </c>
      <c r="G935">
        <v>1389.1965332</v>
      </c>
      <c r="H935">
        <v>1373.7598877</v>
      </c>
      <c r="I935">
        <v>1281.4780272999999</v>
      </c>
      <c r="J935">
        <v>1260.7308350000001</v>
      </c>
      <c r="K935">
        <v>2750</v>
      </c>
      <c r="L935">
        <v>0</v>
      </c>
      <c r="M935">
        <v>0</v>
      </c>
      <c r="N935">
        <v>2750</v>
      </c>
    </row>
    <row r="936" spans="1:14" x14ac:dyDescent="0.25">
      <c r="A936">
        <v>461.08357599999999</v>
      </c>
      <c r="B936" s="1">
        <f>DATE(2011,8,5) + TIME(2,0,20)</f>
        <v>40760.083564814813</v>
      </c>
      <c r="C936">
        <v>80</v>
      </c>
      <c r="D936">
        <v>79.945335388000004</v>
      </c>
      <c r="E936">
        <v>60</v>
      </c>
      <c r="F936">
        <v>49.574478149000001</v>
      </c>
      <c r="G936">
        <v>1389.1297606999999</v>
      </c>
      <c r="H936">
        <v>1373.7004394999999</v>
      </c>
      <c r="I936">
        <v>1281.3203125</v>
      </c>
      <c r="J936">
        <v>1260.4963379000001</v>
      </c>
      <c r="K936">
        <v>2750</v>
      </c>
      <c r="L936">
        <v>0</v>
      </c>
      <c r="M936">
        <v>0</v>
      </c>
      <c r="N936">
        <v>2750</v>
      </c>
    </row>
    <row r="937" spans="1:14" x14ac:dyDescent="0.25">
      <c r="A937">
        <v>462.47314399999999</v>
      </c>
      <c r="B937" s="1">
        <f>DATE(2011,8,6) + TIME(11,21,19)</f>
        <v>40761.473136574074</v>
      </c>
      <c r="C937">
        <v>80</v>
      </c>
      <c r="D937">
        <v>79.945388793999996</v>
      </c>
      <c r="E937">
        <v>60</v>
      </c>
      <c r="F937">
        <v>49.423137664999999</v>
      </c>
      <c r="G937">
        <v>1389.0631103999999</v>
      </c>
      <c r="H937">
        <v>1373.6408690999999</v>
      </c>
      <c r="I937">
        <v>1281.1586914</v>
      </c>
      <c r="J937">
        <v>1260.2542725000001</v>
      </c>
      <c r="K937">
        <v>2750</v>
      </c>
      <c r="L937">
        <v>0</v>
      </c>
      <c r="M937">
        <v>0</v>
      </c>
      <c r="N937">
        <v>2750</v>
      </c>
    </row>
    <row r="938" spans="1:14" x14ac:dyDescent="0.25">
      <c r="A938">
        <v>463.87494700000002</v>
      </c>
      <c r="B938" s="1">
        <f>DATE(2011,8,7) + TIME(20,59,55)</f>
        <v>40762.874942129631</v>
      </c>
      <c r="C938">
        <v>80</v>
      </c>
      <c r="D938">
        <v>79.945442200000002</v>
      </c>
      <c r="E938">
        <v>60</v>
      </c>
      <c r="F938">
        <v>49.267902374000002</v>
      </c>
      <c r="G938">
        <v>1388.9963379000001</v>
      </c>
      <c r="H938">
        <v>1373.5814209</v>
      </c>
      <c r="I938">
        <v>1280.9934082</v>
      </c>
      <c r="J938">
        <v>1260.0054932</v>
      </c>
      <c r="K938">
        <v>2750</v>
      </c>
      <c r="L938">
        <v>0</v>
      </c>
      <c r="M938">
        <v>0</v>
      </c>
      <c r="N938">
        <v>2750</v>
      </c>
    </row>
    <row r="939" spans="1:14" x14ac:dyDescent="0.25">
      <c r="A939">
        <v>465.292281</v>
      </c>
      <c r="B939" s="1">
        <f>DATE(2011,8,9) + TIME(7,0,53)</f>
        <v>40764.292280092595</v>
      </c>
      <c r="C939">
        <v>80</v>
      </c>
      <c r="D939">
        <v>79.945503235000004</v>
      </c>
      <c r="E939">
        <v>60</v>
      </c>
      <c r="F939">
        <v>49.109054565000001</v>
      </c>
      <c r="G939">
        <v>1388.9296875</v>
      </c>
      <c r="H939">
        <v>1373.5218506000001</v>
      </c>
      <c r="I939">
        <v>1280.824707</v>
      </c>
      <c r="J939">
        <v>1259.7506103999999</v>
      </c>
      <c r="K939">
        <v>2750</v>
      </c>
      <c r="L939">
        <v>0</v>
      </c>
      <c r="M939">
        <v>0</v>
      </c>
      <c r="N939">
        <v>2750</v>
      </c>
    </row>
    <row r="940" spans="1:14" x14ac:dyDescent="0.25">
      <c r="A940">
        <v>466.72855299999998</v>
      </c>
      <c r="B940" s="1">
        <f>DATE(2011,8,10) + TIME(17,29,6)</f>
        <v>40765.728541666664</v>
      </c>
      <c r="C940">
        <v>80</v>
      </c>
      <c r="D940">
        <v>79.945564270000006</v>
      </c>
      <c r="E940">
        <v>60</v>
      </c>
      <c r="F940">
        <v>48.946411132999998</v>
      </c>
      <c r="G940">
        <v>1388.8630370999999</v>
      </c>
      <c r="H940">
        <v>1373.4622803</v>
      </c>
      <c r="I940">
        <v>1280.6523437999999</v>
      </c>
      <c r="J940">
        <v>1259.4891356999999</v>
      </c>
      <c r="K940">
        <v>2750</v>
      </c>
      <c r="L940">
        <v>0</v>
      </c>
      <c r="M940">
        <v>0</v>
      </c>
      <c r="N940">
        <v>2750</v>
      </c>
    </row>
    <row r="941" spans="1:14" x14ac:dyDescent="0.25">
      <c r="A941">
        <v>468.18739299999999</v>
      </c>
      <c r="B941" s="1">
        <f>DATE(2011,8,12) + TIME(4,29,50)</f>
        <v>40767.187384259261</v>
      </c>
      <c r="C941">
        <v>80</v>
      </c>
      <c r="D941">
        <v>79.945617675999998</v>
      </c>
      <c r="E941">
        <v>60</v>
      </c>
      <c r="F941">
        <v>48.779613495</v>
      </c>
      <c r="G941">
        <v>1388.7961425999999</v>
      </c>
      <c r="H941">
        <v>1373.4023437999999</v>
      </c>
      <c r="I941">
        <v>1280.4760742000001</v>
      </c>
      <c r="J941">
        <v>1259.2205810999999</v>
      </c>
      <c r="K941">
        <v>2750</v>
      </c>
      <c r="L941">
        <v>0</v>
      </c>
      <c r="M941">
        <v>0</v>
      </c>
      <c r="N941">
        <v>2750</v>
      </c>
    </row>
    <row r="942" spans="1:14" x14ac:dyDescent="0.25">
      <c r="A942">
        <v>469.65551499999998</v>
      </c>
      <c r="B942" s="1">
        <f>DATE(2011,8,13) + TIME(15,43,56)</f>
        <v>40768.655509259261</v>
      </c>
      <c r="C942">
        <v>80</v>
      </c>
      <c r="D942">
        <v>79.945678710999999</v>
      </c>
      <c r="E942">
        <v>60</v>
      </c>
      <c r="F942">
        <v>48.608886718999997</v>
      </c>
      <c r="G942">
        <v>1388.7287598</v>
      </c>
      <c r="H942">
        <v>1373.3420410000001</v>
      </c>
      <c r="I942">
        <v>1280.2955322</v>
      </c>
      <c r="J942">
        <v>1258.9445800999999</v>
      </c>
      <c r="K942">
        <v>2750</v>
      </c>
      <c r="L942">
        <v>0</v>
      </c>
      <c r="M942">
        <v>0</v>
      </c>
      <c r="N942">
        <v>2750</v>
      </c>
    </row>
    <row r="943" spans="1:14" x14ac:dyDescent="0.25">
      <c r="A943">
        <v>471.13456500000001</v>
      </c>
      <c r="B943" s="1">
        <f>DATE(2011,8,15) + TIME(3,13,46)</f>
        <v>40770.134560185186</v>
      </c>
      <c r="C943">
        <v>80</v>
      </c>
      <c r="D943">
        <v>79.945739746000001</v>
      </c>
      <c r="E943">
        <v>60</v>
      </c>
      <c r="F943">
        <v>48.434726714999996</v>
      </c>
      <c r="G943">
        <v>1388.6616211</v>
      </c>
      <c r="H943">
        <v>1373.2818603999999</v>
      </c>
      <c r="I943">
        <v>1280.1121826000001</v>
      </c>
      <c r="J943">
        <v>1258.6630858999999</v>
      </c>
      <c r="K943">
        <v>2750</v>
      </c>
      <c r="L943">
        <v>0</v>
      </c>
      <c r="M943">
        <v>0</v>
      </c>
      <c r="N943">
        <v>2750</v>
      </c>
    </row>
    <row r="944" spans="1:14" x14ac:dyDescent="0.25">
      <c r="A944">
        <v>472.62804</v>
      </c>
      <c r="B944" s="1">
        <f>DATE(2011,8,16) + TIME(15,4,22)</f>
        <v>40771.628032407411</v>
      </c>
      <c r="C944">
        <v>80</v>
      </c>
      <c r="D944">
        <v>79.945800781000003</v>
      </c>
      <c r="E944">
        <v>60</v>
      </c>
      <c r="F944">
        <v>48.257099152000002</v>
      </c>
      <c r="G944">
        <v>1388.5947266000001</v>
      </c>
      <c r="H944">
        <v>1373.2218018000001</v>
      </c>
      <c r="I944">
        <v>1279.9260254000001</v>
      </c>
      <c r="J944">
        <v>1258.3760986</v>
      </c>
      <c r="K944">
        <v>2750</v>
      </c>
      <c r="L944">
        <v>0</v>
      </c>
      <c r="M944">
        <v>0</v>
      </c>
      <c r="N944">
        <v>2750</v>
      </c>
    </row>
    <row r="945" spans="1:14" x14ac:dyDescent="0.25">
      <c r="A945">
        <v>474.13628699999998</v>
      </c>
      <c r="B945" s="1">
        <f>DATE(2011,8,18) + TIME(3,16,15)</f>
        <v>40773.136284722219</v>
      </c>
      <c r="C945">
        <v>80</v>
      </c>
      <c r="D945">
        <v>79.945861816000004</v>
      </c>
      <c r="E945">
        <v>60</v>
      </c>
      <c r="F945">
        <v>48.07585907</v>
      </c>
      <c r="G945">
        <v>1388.5277100000001</v>
      </c>
      <c r="H945">
        <v>1373.1616211</v>
      </c>
      <c r="I945">
        <v>1279.7368164</v>
      </c>
      <c r="J945">
        <v>1258.0830077999999</v>
      </c>
      <c r="K945">
        <v>2750</v>
      </c>
      <c r="L945">
        <v>0</v>
      </c>
      <c r="M945">
        <v>0</v>
      </c>
      <c r="N945">
        <v>2750</v>
      </c>
    </row>
    <row r="946" spans="1:14" x14ac:dyDescent="0.25">
      <c r="A946">
        <v>475.65740899999997</v>
      </c>
      <c r="B946" s="1">
        <f>DATE(2011,8,19) + TIME(15,46,40)</f>
        <v>40774.657407407409</v>
      </c>
      <c r="C946">
        <v>80</v>
      </c>
      <c r="D946">
        <v>79.945922851999995</v>
      </c>
      <c r="E946">
        <v>60</v>
      </c>
      <c r="F946">
        <v>47.891036987</v>
      </c>
      <c r="G946">
        <v>1388.4605713000001</v>
      </c>
      <c r="H946">
        <v>1373.1013184000001</v>
      </c>
      <c r="I946">
        <v>1279.5444336</v>
      </c>
      <c r="J946">
        <v>1257.7839355000001</v>
      </c>
      <c r="K946">
        <v>2750</v>
      </c>
      <c r="L946">
        <v>0</v>
      </c>
      <c r="M946">
        <v>0</v>
      </c>
      <c r="N946">
        <v>2750</v>
      </c>
    </row>
    <row r="947" spans="1:14" x14ac:dyDescent="0.25">
      <c r="A947">
        <v>477.18623000000002</v>
      </c>
      <c r="B947" s="1">
        <f>DATE(2011,8,21) + TIME(4,28,10)</f>
        <v>40776.186226851853</v>
      </c>
      <c r="C947">
        <v>80</v>
      </c>
      <c r="D947">
        <v>79.945991516000007</v>
      </c>
      <c r="E947">
        <v>60</v>
      </c>
      <c r="F947">
        <v>47.702968597000002</v>
      </c>
      <c r="G947">
        <v>1388.3935547000001</v>
      </c>
      <c r="H947">
        <v>1373.0408935999999</v>
      </c>
      <c r="I947">
        <v>1279.3493652</v>
      </c>
      <c r="J947">
        <v>1257.4794922000001</v>
      </c>
      <c r="K947">
        <v>2750</v>
      </c>
      <c r="L947">
        <v>0</v>
      </c>
      <c r="M947">
        <v>0</v>
      </c>
      <c r="N947">
        <v>2750</v>
      </c>
    </row>
    <row r="948" spans="1:14" x14ac:dyDescent="0.25">
      <c r="A948">
        <v>478.72890899999999</v>
      </c>
      <c r="B948" s="1">
        <f>DATE(2011,8,22) + TIME(17,29,37)</f>
        <v>40777.728900462964</v>
      </c>
      <c r="C948">
        <v>80</v>
      </c>
      <c r="D948">
        <v>79.946052550999994</v>
      </c>
      <c r="E948">
        <v>60</v>
      </c>
      <c r="F948">
        <v>47.511791229000004</v>
      </c>
      <c r="G948">
        <v>1388.3267822</v>
      </c>
      <c r="H948">
        <v>1372.9807129000001</v>
      </c>
      <c r="I948">
        <v>1279.1523437999999</v>
      </c>
      <c r="J948">
        <v>1257.1705322</v>
      </c>
      <c r="K948">
        <v>2750</v>
      </c>
      <c r="L948">
        <v>0</v>
      </c>
      <c r="M948">
        <v>0</v>
      </c>
      <c r="N948">
        <v>2750</v>
      </c>
    </row>
    <row r="949" spans="1:14" x14ac:dyDescent="0.25">
      <c r="A949">
        <v>480.28901100000002</v>
      </c>
      <c r="B949" s="1">
        <f>DATE(2011,8,24) + TIME(6,56,10)</f>
        <v>40779.289004629631</v>
      </c>
      <c r="C949">
        <v>80</v>
      </c>
      <c r="D949">
        <v>79.946113585999996</v>
      </c>
      <c r="E949">
        <v>60</v>
      </c>
      <c r="F949">
        <v>47.317230225000003</v>
      </c>
      <c r="G949">
        <v>1388.2598877</v>
      </c>
      <c r="H949">
        <v>1372.9204102000001</v>
      </c>
      <c r="I949">
        <v>1278.9528809000001</v>
      </c>
      <c r="J949">
        <v>1256.8562012</v>
      </c>
      <c r="K949">
        <v>2750</v>
      </c>
      <c r="L949">
        <v>0</v>
      </c>
      <c r="M949">
        <v>0</v>
      </c>
      <c r="N949">
        <v>2750</v>
      </c>
    </row>
    <row r="950" spans="1:14" x14ac:dyDescent="0.25">
      <c r="A950">
        <v>481.86910799999998</v>
      </c>
      <c r="B950" s="1">
        <f>DATE(2011,8,25) + TIME(20,51,30)</f>
        <v>40780.869097222225</v>
      </c>
      <c r="C950">
        <v>80</v>
      </c>
      <c r="D950">
        <v>79.946182250999996</v>
      </c>
      <c r="E950">
        <v>60</v>
      </c>
      <c r="F950">
        <v>47.119010924999998</v>
      </c>
      <c r="G950">
        <v>1388.192749</v>
      </c>
      <c r="H950">
        <v>1372.8598632999999</v>
      </c>
      <c r="I950">
        <v>1278.7506103999999</v>
      </c>
      <c r="J950">
        <v>1256.5361327999999</v>
      </c>
      <c r="K950">
        <v>2750</v>
      </c>
      <c r="L950">
        <v>0</v>
      </c>
      <c r="M950">
        <v>0</v>
      </c>
      <c r="N950">
        <v>2750</v>
      </c>
    </row>
    <row r="951" spans="1:14" x14ac:dyDescent="0.25">
      <c r="A951">
        <v>483.46096999999997</v>
      </c>
      <c r="B951" s="1">
        <f>DATE(2011,8,27) + TIME(11,3,47)</f>
        <v>40782.460960648146</v>
      </c>
      <c r="C951">
        <v>80</v>
      </c>
      <c r="D951">
        <v>79.946250915999997</v>
      </c>
      <c r="E951">
        <v>60</v>
      </c>
      <c r="F951">
        <v>46.917381286999998</v>
      </c>
      <c r="G951">
        <v>1388.1253661999999</v>
      </c>
      <c r="H951">
        <v>1372.7989502</v>
      </c>
      <c r="I951">
        <v>1278.5454102000001</v>
      </c>
      <c r="J951">
        <v>1256.2102050999999</v>
      </c>
      <c r="K951">
        <v>2750</v>
      </c>
      <c r="L951">
        <v>0</v>
      </c>
      <c r="M951">
        <v>0</v>
      </c>
      <c r="N951">
        <v>2750</v>
      </c>
    </row>
    <row r="952" spans="1:14" x14ac:dyDescent="0.25">
      <c r="A952">
        <v>485.06330400000002</v>
      </c>
      <c r="B952" s="1">
        <f>DATE(2011,8,29) + TIME(1,31,9)</f>
        <v>40784.063298611109</v>
      </c>
      <c r="C952">
        <v>80</v>
      </c>
      <c r="D952">
        <v>79.946311950999998</v>
      </c>
      <c r="E952">
        <v>60</v>
      </c>
      <c r="F952">
        <v>46.712959290000001</v>
      </c>
      <c r="G952">
        <v>1388.0579834</v>
      </c>
      <c r="H952">
        <v>1372.7379149999999</v>
      </c>
      <c r="I952">
        <v>1278.338501</v>
      </c>
      <c r="J952">
        <v>1255.8800048999999</v>
      </c>
      <c r="K952">
        <v>2750</v>
      </c>
      <c r="L952">
        <v>0</v>
      </c>
      <c r="M952">
        <v>0</v>
      </c>
      <c r="N952">
        <v>2750</v>
      </c>
    </row>
    <row r="953" spans="1:14" x14ac:dyDescent="0.25">
      <c r="A953">
        <v>486.66582299999999</v>
      </c>
      <c r="B953" s="1">
        <f>DATE(2011,8,30) + TIME(15,58,47)</f>
        <v>40785.665821759256</v>
      </c>
      <c r="C953">
        <v>80</v>
      </c>
      <c r="D953">
        <v>79.946380614999995</v>
      </c>
      <c r="E953">
        <v>60</v>
      </c>
      <c r="F953">
        <v>46.506610870000003</v>
      </c>
      <c r="G953">
        <v>1387.9907227000001</v>
      </c>
      <c r="H953">
        <v>1372.6770019999999</v>
      </c>
      <c r="I953">
        <v>1278.130249</v>
      </c>
      <c r="J953">
        <v>1255.5462646000001</v>
      </c>
      <c r="K953">
        <v>2750</v>
      </c>
      <c r="L953">
        <v>0</v>
      </c>
      <c r="M953">
        <v>0</v>
      </c>
      <c r="N953">
        <v>2750</v>
      </c>
    </row>
    <row r="954" spans="1:14" x14ac:dyDescent="0.25">
      <c r="A954">
        <v>488</v>
      </c>
      <c r="B954" s="1">
        <f>DATE(2011,9,1) + TIME(0,0,0)</f>
        <v>40787</v>
      </c>
      <c r="C954">
        <v>80</v>
      </c>
      <c r="D954">
        <v>79.946434021000002</v>
      </c>
      <c r="E954">
        <v>60</v>
      </c>
      <c r="F954">
        <v>46.311851501</v>
      </c>
      <c r="G954">
        <v>1387.9237060999999</v>
      </c>
      <c r="H954">
        <v>1372.6162108999999</v>
      </c>
      <c r="I954">
        <v>1277.9233397999999</v>
      </c>
      <c r="J954">
        <v>1255.2181396000001</v>
      </c>
      <c r="K954">
        <v>2750</v>
      </c>
      <c r="L954">
        <v>0</v>
      </c>
      <c r="M954">
        <v>0</v>
      </c>
      <c r="N954">
        <v>2750</v>
      </c>
    </row>
    <row r="955" spans="1:14" x14ac:dyDescent="0.25">
      <c r="A955">
        <v>489.60789199999999</v>
      </c>
      <c r="B955" s="1">
        <f>DATE(2011,9,2) + TIME(14,35,21)</f>
        <v>40788.607881944445</v>
      </c>
      <c r="C955">
        <v>80</v>
      </c>
      <c r="D955">
        <v>79.946502686000002</v>
      </c>
      <c r="E955">
        <v>60</v>
      </c>
      <c r="F955">
        <v>46.118976592999999</v>
      </c>
      <c r="G955">
        <v>1387.8684082</v>
      </c>
      <c r="H955">
        <v>1372.5660399999999</v>
      </c>
      <c r="I955">
        <v>1277.7469481999999</v>
      </c>
      <c r="J955">
        <v>1254.9244385</v>
      </c>
      <c r="K955">
        <v>2750</v>
      </c>
      <c r="L955">
        <v>0</v>
      </c>
      <c r="M955">
        <v>0</v>
      </c>
      <c r="N955">
        <v>2750</v>
      </c>
    </row>
    <row r="956" spans="1:14" x14ac:dyDescent="0.25">
      <c r="A956">
        <v>491.24001500000003</v>
      </c>
      <c r="B956" s="1">
        <f>DATE(2011,9,4) + TIME(5,45,37)</f>
        <v>40790.240011574075</v>
      </c>
      <c r="C956">
        <v>80</v>
      </c>
      <c r="D956">
        <v>79.946571349999999</v>
      </c>
      <c r="E956">
        <v>60</v>
      </c>
      <c r="F956">
        <v>45.914424896</v>
      </c>
      <c r="G956">
        <v>1387.8022461</v>
      </c>
      <c r="H956">
        <v>1372.5059814000001</v>
      </c>
      <c r="I956">
        <v>1277.5412598</v>
      </c>
      <c r="J956">
        <v>1254.5919189000001</v>
      </c>
      <c r="K956">
        <v>2750</v>
      </c>
      <c r="L956">
        <v>0</v>
      </c>
      <c r="M956">
        <v>0</v>
      </c>
      <c r="N956">
        <v>2750</v>
      </c>
    </row>
    <row r="957" spans="1:14" x14ac:dyDescent="0.25">
      <c r="A957">
        <v>492.88469900000001</v>
      </c>
      <c r="B957" s="1">
        <f>DATE(2011,9,5) + TIME(21,13,58)</f>
        <v>40791.884699074071</v>
      </c>
      <c r="C957">
        <v>80</v>
      </c>
      <c r="D957">
        <v>79.946640015</v>
      </c>
      <c r="E957">
        <v>60</v>
      </c>
      <c r="F957">
        <v>45.704727173000002</v>
      </c>
      <c r="G957">
        <v>1387.7354736</v>
      </c>
      <c r="H957">
        <v>1372.4451904</v>
      </c>
      <c r="I957">
        <v>1277.3323975000001</v>
      </c>
      <c r="J957">
        <v>1254.2519531</v>
      </c>
      <c r="K957">
        <v>2750</v>
      </c>
      <c r="L957">
        <v>0</v>
      </c>
      <c r="M957">
        <v>0</v>
      </c>
      <c r="N957">
        <v>2750</v>
      </c>
    </row>
    <row r="958" spans="1:14" x14ac:dyDescent="0.25">
      <c r="A958">
        <v>494.54321499999998</v>
      </c>
      <c r="B958" s="1">
        <f>DATE(2011,9,7) + TIME(13,2,13)</f>
        <v>40793.543206018519</v>
      </c>
      <c r="C958">
        <v>80</v>
      </c>
      <c r="D958">
        <v>79.946708678999997</v>
      </c>
      <c r="E958">
        <v>60</v>
      </c>
      <c r="F958">
        <v>45.492797852000002</v>
      </c>
      <c r="G958">
        <v>1387.6685791</v>
      </c>
      <c r="H958">
        <v>1372.3842772999999</v>
      </c>
      <c r="I958">
        <v>1277.1229248</v>
      </c>
      <c r="J958">
        <v>1253.9088135</v>
      </c>
      <c r="K958">
        <v>2750</v>
      </c>
      <c r="L958">
        <v>0</v>
      </c>
      <c r="M958">
        <v>0</v>
      </c>
      <c r="N958">
        <v>2750</v>
      </c>
    </row>
    <row r="959" spans="1:14" x14ac:dyDescent="0.25">
      <c r="A959">
        <v>496.21998000000002</v>
      </c>
      <c r="B959" s="1">
        <f>DATE(2011,9,9) + TIME(5,16,46)</f>
        <v>40795.219976851855</v>
      </c>
      <c r="C959">
        <v>80</v>
      </c>
      <c r="D959">
        <v>79.946777343999997</v>
      </c>
      <c r="E959">
        <v>60</v>
      </c>
      <c r="F959">
        <v>45.279640198000003</v>
      </c>
      <c r="G959">
        <v>1387.6014404</v>
      </c>
      <c r="H959">
        <v>1372.3231201000001</v>
      </c>
      <c r="I959">
        <v>1276.9132079999999</v>
      </c>
      <c r="J959">
        <v>1253.5634766000001</v>
      </c>
      <c r="K959">
        <v>2750</v>
      </c>
      <c r="L959">
        <v>0</v>
      </c>
      <c r="M959">
        <v>0</v>
      </c>
      <c r="N959">
        <v>2750</v>
      </c>
    </row>
    <row r="960" spans="1:14" x14ac:dyDescent="0.25">
      <c r="A960">
        <v>497.92020000000002</v>
      </c>
      <c r="B960" s="1">
        <f>DATE(2011,9,10) + TIME(22,5,5)</f>
        <v>40796.92019675926</v>
      </c>
      <c r="C960">
        <v>80</v>
      </c>
      <c r="D960">
        <v>79.946846007999994</v>
      </c>
      <c r="E960">
        <v>60</v>
      </c>
      <c r="F960">
        <v>45.065525055000002</v>
      </c>
      <c r="G960">
        <v>1387.5340576000001</v>
      </c>
      <c r="H960">
        <v>1372.2615966999999</v>
      </c>
      <c r="I960">
        <v>1276.7032471</v>
      </c>
      <c r="J960">
        <v>1253.2160644999999</v>
      </c>
      <c r="K960">
        <v>2750</v>
      </c>
      <c r="L960">
        <v>0</v>
      </c>
      <c r="M960">
        <v>0</v>
      </c>
      <c r="N960">
        <v>2750</v>
      </c>
    </row>
    <row r="961" spans="1:14" x14ac:dyDescent="0.25">
      <c r="A961">
        <v>499.63404300000002</v>
      </c>
      <c r="B961" s="1">
        <f>DATE(2011,9,12) + TIME(15,13,1)</f>
        <v>40798.634039351855</v>
      </c>
      <c r="C961">
        <v>80</v>
      </c>
      <c r="D961">
        <v>79.946922302000004</v>
      </c>
      <c r="E961">
        <v>60</v>
      </c>
      <c r="F961">
        <v>44.851093292000002</v>
      </c>
      <c r="G961">
        <v>1387.4660644999999</v>
      </c>
      <c r="H961">
        <v>1372.1994629000001</v>
      </c>
      <c r="I961">
        <v>1276.4927978999999</v>
      </c>
      <c r="J961">
        <v>1252.8665771000001</v>
      </c>
      <c r="K961">
        <v>2750</v>
      </c>
      <c r="L961">
        <v>0</v>
      </c>
      <c r="M961">
        <v>0</v>
      </c>
      <c r="N961">
        <v>2750</v>
      </c>
    </row>
    <row r="962" spans="1:14" x14ac:dyDescent="0.25">
      <c r="A962">
        <v>501.35352599999999</v>
      </c>
      <c r="B962" s="1">
        <f>DATE(2011,9,14) + TIME(8,29,4)</f>
        <v>40800.353518518517</v>
      </c>
      <c r="C962">
        <v>80</v>
      </c>
      <c r="D962">
        <v>79.946990967000005</v>
      </c>
      <c r="E962">
        <v>60</v>
      </c>
      <c r="F962">
        <v>44.637786865000002</v>
      </c>
      <c r="G962">
        <v>1387.3979492000001</v>
      </c>
      <c r="H962">
        <v>1372.1370850000001</v>
      </c>
      <c r="I962">
        <v>1276.2833252</v>
      </c>
      <c r="J962">
        <v>1252.5173339999999</v>
      </c>
      <c r="K962">
        <v>2750</v>
      </c>
      <c r="L962">
        <v>0</v>
      </c>
      <c r="M962">
        <v>0</v>
      </c>
      <c r="N962">
        <v>2750</v>
      </c>
    </row>
    <row r="963" spans="1:14" x14ac:dyDescent="0.25">
      <c r="A963">
        <v>503.08457399999998</v>
      </c>
      <c r="B963" s="1">
        <f>DATE(2011,9,16) + TIME(2,1,47)</f>
        <v>40802.08457175926</v>
      </c>
      <c r="C963">
        <v>80</v>
      </c>
      <c r="D963">
        <v>79.947059631000002</v>
      </c>
      <c r="E963">
        <v>60</v>
      </c>
      <c r="F963">
        <v>44.426685333000002</v>
      </c>
      <c r="G963">
        <v>1387.3298339999999</v>
      </c>
      <c r="H963">
        <v>1372.0748291</v>
      </c>
      <c r="I963">
        <v>1276.0762939000001</v>
      </c>
      <c r="J963">
        <v>1252.1701660000001</v>
      </c>
      <c r="K963">
        <v>2750</v>
      </c>
      <c r="L963">
        <v>0</v>
      </c>
      <c r="M963">
        <v>0</v>
      </c>
      <c r="N963">
        <v>2750</v>
      </c>
    </row>
    <row r="964" spans="1:14" x14ac:dyDescent="0.25">
      <c r="A964">
        <v>504.83207700000003</v>
      </c>
      <c r="B964" s="1">
        <f>DATE(2011,9,17) + TIME(19,58,11)</f>
        <v>40803.832071759258</v>
      </c>
      <c r="C964">
        <v>80</v>
      </c>
      <c r="D964">
        <v>79.947135924999998</v>
      </c>
      <c r="E964">
        <v>60</v>
      </c>
      <c r="F964">
        <v>44.218177795000003</v>
      </c>
      <c r="G964">
        <v>1387.2617187999999</v>
      </c>
      <c r="H964">
        <v>1372.0123291</v>
      </c>
      <c r="I964">
        <v>1275.8712158000001</v>
      </c>
      <c r="J964">
        <v>1251.8251952999999</v>
      </c>
      <c r="K964">
        <v>2750</v>
      </c>
      <c r="L964">
        <v>0</v>
      </c>
      <c r="M964">
        <v>0</v>
      </c>
      <c r="N964">
        <v>2750</v>
      </c>
    </row>
    <row r="965" spans="1:14" x14ac:dyDescent="0.25">
      <c r="A965">
        <v>506.58080100000001</v>
      </c>
      <c r="B965" s="1">
        <f>DATE(2011,9,19) + TIME(13,56,21)</f>
        <v>40805.58079861111</v>
      </c>
      <c r="C965">
        <v>80</v>
      </c>
      <c r="D965">
        <v>79.947204589999998</v>
      </c>
      <c r="E965">
        <v>60</v>
      </c>
      <c r="F965">
        <v>44.013252258000001</v>
      </c>
      <c r="G965">
        <v>1387.1932373</v>
      </c>
      <c r="H965">
        <v>1371.9494629000001</v>
      </c>
      <c r="I965">
        <v>1275.6683350000001</v>
      </c>
      <c r="J965">
        <v>1251.4825439000001</v>
      </c>
      <c r="K965">
        <v>2750</v>
      </c>
      <c r="L965">
        <v>0</v>
      </c>
      <c r="M965">
        <v>0</v>
      </c>
      <c r="N965">
        <v>2750</v>
      </c>
    </row>
    <row r="966" spans="1:14" x14ac:dyDescent="0.25">
      <c r="A966">
        <v>508.33570200000003</v>
      </c>
      <c r="B966" s="1">
        <f>DATE(2011,9,21) + TIME(8,3,24)</f>
        <v>40807.335694444446</v>
      </c>
      <c r="C966">
        <v>80</v>
      </c>
      <c r="D966">
        <v>79.947280883999994</v>
      </c>
      <c r="E966">
        <v>60</v>
      </c>
      <c r="F966">
        <v>43.813316344999997</v>
      </c>
      <c r="G966">
        <v>1387.1251221</v>
      </c>
      <c r="H966">
        <v>1371.8868408000001</v>
      </c>
      <c r="I966">
        <v>1275.4692382999999</v>
      </c>
      <c r="J966">
        <v>1251.1451416</v>
      </c>
      <c r="K966">
        <v>2750</v>
      </c>
      <c r="L966">
        <v>0</v>
      </c>
      <c r="M966">
        <v>0</v>
      </c>
      <c r="N966">
        <v>2750</v>
      </c>
    </row>
    <row r="967" spans="1:14" x14ac:dyDescent="0.25">
      <c r="A967">
        <v>510.106202</v>
      </c>
      <c r="B967" s="1">
        <f>DATE(2011,9,23) + TIME(2,32,55)</f>
        <v>40809.106192129628</v>
      </c>
      <c r="C967">
        <v>80</v>
      </c>
      <c r="D967">
        <v>79.947357178000004</v>
      </c>
      <c r="E967">
        <v>60</v>
      </c>
      <c r="F967">
        <v>43.618816375999998</v>
      </c>
      <c r="G967">
        <v>1387.0570068</v>
      </c>
      <c r="H967">
        <v>1371.8240966999999</v>
      </c>
      <c r="I967">
        <v>1275.2740478999999</v>
      </c>
      <c r="J967">
        <v>1250.8129882999999</v>
      </c>
      <c r="K967">
        <v>2750</v>
      </c>
      <c r="L967">
        <v>0</v>
      </c>
      <c r="M967">
        <v>0</v>
      </c>
      <c r="N967">
        <v>2750</v>
      </c>
    </row>
    <row r="968" spans="1:14" x14ac:dyDescent="0.25">
      <c r="A968">
        <v>511.885693</v>
      </c>
      <c r="B968" s="1">
        <f>DATE(2011,9,24) + TIME(21,15,23)</f>
        <v>40810.885682870372</v>
      </c>
      <c r="C968">
        <v>80</v>
      </c>
      <c r="D968">
        <v>79.947425842000001</v>
      </c>
      <c r="E968">
        <v>60</v>
      </c>
      <c r="F968">
        <v>43.430320739999999</v>
      </c>
      <c r="G968">
        <v>1386.9886475000001</v>
      </c>
      <c r="H968">
        <v>1371.7611084</v>
      </c>
      <c r="I968">
        <v>1275.0820312000001</v>
      </c>
      <c r="J968">
        <v>1250.4855957</v>
      </c>
      <c r="K968">
        <v>2750</v>
      </c>
      <c r="L968">
        <v>0</v>
      </c>
      <c r="M968">
        <v>0</v>
      </c>
      <c r="N968">
        <v>2750</v>
      </c>
    </row>
    <row r="969" spans="1:14" x14ac:dyDescent="0.25">
      <c r="A969">
        <v>513.67142999999999</v>
      </c>
      <c r="B969" s="1">
        <f>DATE(2011,9,26) + TIME(16,6,51)</f>
        <v>40812.671423611115</v>
      </c>
      <c r="C969">
        <v>80</v>
      </c>
      <c r="D969">
        <v>79.947502135999997</v>
      </c>
      <c r="E969">
        <v>60</v>
      </c>
      <c r="F969">
        <v>43.249015808000003</v>
      </c>
      <c r="G969">
        <v>1386.9201660000001</v>
      </c>
      <c r="H969">
        <v>1371.6979980000001</v>
      </c>
      <c r="I969">
        <v>1274.8941649999999</v>
      </c>
      <c r="J969">
        <v>1250.1646728999999</v>
      </c>
      <c r="K969">
        <v>2750</v>
      </c>
      <c r="L969">
        <v>0</v>
      </c>
      <c r="M969">
        <v>0</v>
      </c>
      <c r="N969">
        <v>2750</v>
      </c>
    </row>
    <row r="970" spans="1:14" x14ac:dyDescent="0.25">
      <c r="A970">
        <v>515.467761</v>
      </c>
      <c r="B970" s="1">
        <f>DATE(2011,9,28) + TIME(11,13,34)</f>
        <v>40814.46775462963</v>
      </c>
      <c r="C970">
        <v>80</v>
      </c>
      <c r="D970">
        <v>79.947578429999993</v>
      </c>
      <c r="E970">
        <v>60</v>
      </c>
      <c r="F970">
        <v>43.075855255</v>
      </c>
      <c r="G970">
        <v>1386.8518065999999</v>
      </c>
      <c r="H970">
        <v>1371.6350098</v>
      </c>
      <c r="I970">
        <v>1274.7111815999999</v>
      </c>
      <c r="J970">
        <v>1249.8510742000001</v>
      </c>
      <c r="K970">
        <v>2750</v>
      </c>
      <c r="L970">
        <v>0</v>
      </c>
      <c r="M970">
        <v>0</v>
      </c>
      <c r="N970">
        <v>2750</v>
      </c>
    </row>
    <row r="971" spans="1:14" x14ac:dyDescent="0.25">
      <c r="A971">
        <v>517.27943700000003</v>
      </c>
      <c r="B971" s="1">
        <f>DATE(2011,9,30) + TIME(6,42,23)</f>
        <v>40816.279432870368</v>
      </c>
      <c r="C971">
        <v>80</v>
      </c>
      <c r="D971">
        <v>79.947647094999994</v>
      </c>
      <c r="E971">
        <v>60</v>
      </c>
      <c r="F971">
        <v>42.911441803000002</v>
      </c>
      <c r="G971">
        <v>1386.7834473</v>
      </c>
      <c r="H971">
        <v>1371.5716553</v>
      </c>
      <c r="I971">
        <v>1274.5327147999999</v>
      </c>
      <c r="J971">
        <v>1249.5451660000001</v>
      </c>
      <c r="K971">
        <v>2750</v>
      </c>
      <c r="L971">
        <v>0</v>
      </c>
      <c r="M971">
        <v>0</v>
      </c>
      <c r="N971">
        <v>2750</v>
      </c>
    </row>
    <row r="972" spans="1:14" x14ac:dyDescent="0.25">
      <c r="A972">
        <v>518</v>
      </c>
      <c r="B972" s="1">
        <f>DATE(2011,10,1) + TIME(0,0,0)</f>
        <v>40817</v>
      </c>
      <c r="C972">
        <v>80</v>
      </c>
      <c r="D972">
        <v>79.947669982999997</v>
      </c>
      <c r="E972">
        <v>60</v>
      </c>
      <c r="F972">
        <v>42.803638458000002</v>
      </c>
      <c r="G972">
        <v>1386.7148437999999</v>
      </c>
      <c r="H972">
        <v>1371.5083007999999</v>
      </c>
      <c r="I972">
        <v>1274.3675536999999</v>
      </c>
      <c r="J972">
        <v>1249.2828368999999</v>
      </c>
      <c r="K972">
        <v>2750</v>
      </c>
      <c r="L972">
        <v>0</v>
      </c>
      <c r="M972">
        <v>0</v>
      </c>
      <c r="N972">
        <v>2750</v>
      </c>
    </row>
    <row r="973" spans="1:14" x14ac:dyDescent="0.25">
      <c r="A973">
        <v>519.83670400000005</v>
      </c>
      <c r="B973" s="1">
        <f>DATE(2011,10,2) + TIME(20,4,51)</f>
        <v>40818.836701388886</v>
      </c>
      <c r="C973">
        <v>80</v>
      </c>
      <c r="D973">
        <v>79.947753906000003</v>
      </c>
      <c r="E973">
        <v>60</v>
      </c>
      <c r="F973">
        <v>42.685855865000001</v>
      </c>
      <c r="G973">
        <v>1386.6871338000001</v>
      </c>
      <c r="H973">
        <v>1371.4826660000001</v>
      </c>
      <c r="I973">
        <v>1274.2857666</v>
      </c>
      <c r="J973">
        <v>1249.1157227000001</v>
      </c>
      <c r="K973">
        <v>2750</v>
      </c>
      <c r="L973">
        <v>0</v>
      </c>
      <c r="M973">
        <v>0</v>
      </c>
      <c r="N973">
        <v>2750</v>
      </c>
    </row>
    <row r="974" spans="1:14" x14ac:dyDescent="0.25">
      <c r="A974">
        <v>521.71515999999997</v>
      </c>
      <c r="B974" s="1">
        <f>DATE(2011,10,4) + TIME(17,9,49)</f>
        <v>40820.715150462966</v>
      </c>
      <c r="C974">
        <v>80</v>
      </c>
      <c r="D974">
        <v>79.947830199999999</v>
      </c>
      <c r="E974">
        <v>60</v>
      </c>
      <c r="F974">
        <v>42.554145812999998</v>
      </c>
      <c r="G974">
        <v>1386.6182861</v>
      </c>
      <c r="H974">
        <v>1371.4188231999999</v>
      </c>
      <c r="I974">
        <v>1274.1225586</v>
      </c>
      <c r="J974">
        <v>1248.8399658000001</v>
      </c>
      <c r="K974">
        <v>2750</v>
      </c>
      <c r="L974">
        <v>0</v>
      </c>
      <c r="M974">
        <v>0</v>
      </c>
      <c r="N974">
        <v>2750</v>
      </c>
    </row>
    <row r="975" spans="1:14" x14ac:dyDescent="0.25">
      <c r="A975">
        <v>523.60992399999998</v>
      </c>
      <c r="B975" s="1">
        <f>DATE(2011,10,6) + TIME(14,38,17)</f>
        <v>40822.609918981485</v>
      </c>
      <c r="C975">
        <v>80</v>
      </c>
      <c r="D975">
        <v>79.947906493999994</v>
      </c>
      <c r="E975">
        <v>60</v>
      </c>
      <c r="F975">
        <v>42.426219940000003</v>
      </c>
      <c r="G975">
        <v>1386.5479736</v>
      </c>
      <c r="H975">
        <v>1371.3536377</v>
      </c>
      <c r="I975">
        <v>1273.9591064000001</v>
      </c>
      <c r="J975">
        <v>1248.5617675999999</v>
      </c>
      <c r="K975">
        <v>2750</v>
      </c>
      <c r="L975">
        <v>0</v>
      </c>
      <c r="M975">
        <v>0</v>
      </c>
      <c r="N975">
        <v>2750</v>
      </c>
    </row>
    <row r="976" spans="1:14" x14ac:dyDescent="0.25">
      <c r="A976">
        <v>524.56900599999994</v>
      </c>
      <c r="B976" s="1">
        <f>DATE(2011,10,7) + TIME(13,39,22)</f>
        <v>40823.569004629629</v>
      </c>
      <c r="C976">
        <v>80</v>
      </c>
      <c r="D976">
        <v>79.947944641000007</v>
      </c>
      <c r="E976">
        <v>60</v>
      </c>
      <c r="F976">
        <v>42.333885193</v>
      </c>
      <c r="G976">
        <v>1386.4774170000001</v>
      </c>
      <c r="H976">
        <v>1371.2882079999999</v>
      </c>
      <c r="I976">
        <v>1273.8070068</v>
      </c>
      <c r="J976">
        <v>1248.3140868999999</v>
      </c>
      <c r="K976">
        <v>2750</v>
      </c>
      <c r="L976">
        <v>0</v>
      </c>
      <c r="M976">
        <v>0</v>
      </c>
      <c r="N976">
        <v>2750</v>
      </c>
    </row>
    <row r="977" spans="1:14" x14ac:dyDescent="0.25">
      <c r="A977">
        <v>525.52808800000003</v>
      </c>
      <c r="B977" s="1">
        <f>DATE(2011,10,8) + TIME(12,40,26)</f>
        <v>40824.528078703705</v>
      </c>
      <c r="C977">
        <v>80</v>
      </c>
      <c r="D977">
        <v>79.947982788000004</v>
      </c>
      <c r="E977">
        <v>60</v>
      </c>
      <c r="F977">
        <v>42.265533447000003</v>
      </c>
      <c r="G977">
        <v>1386.4412841999999</v>
      </c>
      <c r="H977">
        <v>1371.2546387</v>
      </c>
      <c r="I977">
        <v>1273.7229004000001</v>
      </c>
      <c r="J977">
        <v>1248.1643065999999</v>
      </c>
      <c r="K977">
        <v>2750</v>
      </c>
      <c r="L977">
        <v>0</v>
      </c>
      <c r="M977">
        <v>0</v>
      </c>
      <c r="N977">
        <v>2750</v>
      </c>
    </row>
    <row r="978" spans="1:14" x14ac:dyDescent="0.25">
      <c r="A978">
        <v>526.48716999999999</v>
      </c>
      <c r="B978" s="1">
        <f>DATE(2011,10,9) + TIME(11,41,31)</f>
        <v>40825.487164351849</v>
      </c>
      <c r="C978">
        <v>80</v>
      </c>
      <c r="D978">
        <v>79.948020935000002</v>
      </c>
      <c r="E978">
        <v>60</v>
      </c>
      <c r="F978">
        <v>42.209590912000003</v>
      </c>
      <c r="G978">
        <v>1386.4058838000001</v>
      </c>
      <c r="H978">
        <v>1371.2216797000001</v>
      </c>
      <c r="I978">
        <v>1273.6444091999999</v>
      </c>
      <c r="J978">
        <v>1248.0283202999999</v>
      </c>
      <c r="K978">
        <v>2750</v>
      </c>
      <c r="L978">
        <v>0</v>
      </c>
      <c r="M978">
        <v>0</v>
      </c>
      <c r="N978">
        <v>2750</v>
      </c>
    </row>
    <row r="979" spans="1:14" x14ac:dyDescent="0.25">
      <c r="A979">
        <v>527.44625199999996</v>
      </c>
      <c r="B979" s="1">
        <f>DATE(2011,10,10) + TIME(10,42,36)</f>
        <v>40826.446250000001</v>
      </c>
      <c r="C979">
        <v>80</v>
      </c>
      <c r="D979">
        <v>79.948059082</v>
      </c>
      <c r="E979">
        <v>60</v>
      </c>
      <c r="F979">
        <v>42.161094665999997</v>
      </c>
      <c r="G979">
        <v>1386.3704834</v>
      </c>
      <c r="H979">
        <v>1371.1887207</v>
      </c>
      <c r="I979">
        <v>1273.5693358999999</v>
      </c>
      <c r="J979">
        <v>1247.9001464999999</v>
      </c>
      <c r="K979">
        <v>2750</v>
      </c>
      <c r="L979">
        <v>0</v>
      </c>
      <c r="M979">
        <v>0</v>
      </c>
      <c r="N979">
        <v>2750</v>
      </c>
    </row>
    <row r="980" spans="1:14" x14ac:dyDescent="0.25">
      <c r="A980">
        <v>528.40533400000004</v>
      </c>
      <c r="B980" s="1">
        <f>DATE(2011,10,11) + TIME(9,43,40)</f>
        <v>40827.405324074076</v>
      </c>
      <c r="C980">
        <v>80</v>
      </c>
      <c r="D980">
        <v>79.948097228999998</v>
      </c>
      <c r="E980">
        <v>60</v>
      </c>
      <c r="F980">
        <v>42.117912292</v>
      </c>
      <c r="G980">
        <v>1386.3353271000001</v>
      </c>
      <c r="H980">
        <v>1371.1560059000001</v>
      </c>
      <c r="I980">
        <v>1273.4967041</v>
      </c>
      <c r="J980">
        <v>1247.7772216999999</v>
      </c>
      <c r="K980">
        <v>2750</v>
      </c>
      <c r="L980">
        <v>0</v>
      </c>
      <c r="M980">
        <v>0</v>
      </c>
      <c r="N980">
        <v>2750</v>
      </c>
    </row>
    <row r="981" spans="1:14" x14ac:dyDescent="0.25">
      <c r="A981">
        <v>529.36441600000001</v>
      </c>
      <c r="B981" s="1">
        <f>DATE(2011,10,12) + TIME(8,44,45)</f>
        <v>40828.36440972222</v>
      </c>
      <c r="C981">
        <v>80</v>
      </c>
      <c r="D981">
        <v>79.948135375999996</v>
      </c>
      <c r="E981">
        <v>60</v>
      </c>
      <c r="F981">
        <v>42.079116821</v>
      </c>
      <c r="G981">
        <v>1386.3001709</v>
      </c>
      <c r="H981">
        <v>1371.1232910000001</v>
      </c>
      <c r="I981">
        <v>1273.4261475000001</v>
      </c>
      <c r="J981">
        <v>1247.6584473</v>
      </c>
      <c r="K981">
        <v>2750</v>
      </c>
      <c r="L981">
        <v>0</v>
      </c>
      <c r="M981">
        <v>0</v>
      </c>
      <c r="N981">
        <v>2750</v>
      </c>
    </row>
    <row r="982" spans="1:14" x14ac:dyDescent="0.25">
      <c r="A982">
        <v>530.32349799999997</v>
      </c>
      <c r="B982" s="1">
        <f>DATE(2011,10,13) + TIME(7,45,50)</f>
        <v>40829.323495370372</v>
      </c>
      <c r="C982">
        <v>80</v>
      </c>
      <c r="D982">
        <v>79.948173522999994</v>
      </c>
      <c r="E982">
        <v>60</v>
      </c>
      <c r="F982">
        <v>42.044303894000002</v>
      </c>
      <c r="G982">
        <v>1386.2652588000001</v>
      </c>
      <c r="H982">
        <v>1371.0908202999999</v>
      </c>
      <c r="I982">
        <v>1273.3572998</v>
      </c>
      <c r="J982">
        <v>1247.5432129000001</v>
      </c>
      <c r="K982">
        <v>2750</v>
      </c>
      <c r="L982">
        <v>0</v>
      </c>
      <c r="M982">
        <v>0</v>
      </c>
      <c r="N982">
        <v>2750</v>
      </c>
    </row>
    <row r="983" spans="1:14" x14ac:dyDescent="0.25">
      <c r="A983">
        <v>532.24166200000002</v>
      </c>
      <c r="B983" s="1">
        <f>DATE(2011,10,15) + TIME(5,47,59)</f>
        <v>40831.241655092592</v>
      </c>
      <c r="C983">
        <v>80</v>
      </c>
      <c r="D983">
        <v>79.948265075999998</v>
      </c>
      <c r="E983">
        <v>60</v>
      </c>
      <c r="F983">
        <v>42.004787444999998</v>
      </c>
      <c r="G983">
        <v>1386.2305908000001</v>
      </c>
      <c r="H983">
        <v>1371.0584716999999</v>
      </c>
      <c r="I983">
        <v>1273.2852783000001</v>
      </c>
      <c r="J983">
        <v>1247.4189452999999</v>
      </c>
      <c r="K983">
        <v>2750</v>
      </c>
      <c r="L983">
        <v>0</v>
      </c>
      <c r="M983">
        <v>0</v>
      </c>
      <c r="N983">
        <v>2750</v>
      </c>
    </row>
    <row r="984" spans="1:14" x14ac:dyDescent="0.25">
      <c r="A984">
        <v>534.16294600000003</v>
      </c>
      <c r="B984" s="1">
        <f>DATE(2011,10,17) + TIME(3,54,38)</f>
        <v>40833.162939814814</v>
      </c>
      <c r="C984">
        <v>80</v>
      </c>
      <c r="D984">
        <v>79.948341369999994</v>
      </c>
      <c r="E984">
        <v>60</v>
      </c>
      <c r="F984">
        <v>41.958686829000001</v>
      </c>
      <c r="G984">
        <v>1386.1616211</v>
      </c>
      <c r="H984">
        <v>1370.9942627</v>
      </c>
      <c r="I984">
        <v>1273.1607666</v>
      </c>
      <c r="J984">
        <v>1247.2163086</v>
      </c>
      <c r="K984">
        <v>2750</v>
      </c>
      <c r="L984">
        <v>0</v>
      </c>
      <c r="M984">
        <v>0</v>
      </c>
      <c r="N984">
        <v>2750</v>
      </c>
    </row>
    <row r="985" spans="1:14" x14ac:dyDescent="0.25">
      <c r="A985">
        <v>536.11799799999994</v>
      </c>
      <c r="B985" s="1">
        <f>DATE(2011,10,19) + TIME(2,49,54)</f>
        <v>40835.117986111109</v>
      </c>
      <c r="C985">
        <v>80</v>
      </c>
      <c r="D985">
        <v>79.948417664000004</v>
      </c>
      <c r="E985">
        <v>60</v>
      </c>
      <c r="F985">
        <v>41.921077728</v>
      </c>
      <c r="G985">
        <v>1386.0926514</v>
      </c>
      <c r="H985">
        <v>1370.9300536999999</v>
      </c>
      <c r="I985">
        <v>1273.0374756000001</v>
      </c>
      <c r="J985">
        <v>1247.0150146000001</v>
      </c>
      <c r="K985">
        <v>2750</v>
      </c>
      <c r="L985">
        <v>0</v>
      </c>
      <c r="M985">
        <v>0</v>
      </c>
      <c r="N985">
        <v>2750</v>
      </c>
    </row>
    <row r="986" spans="1:14" x14ac:dyDescent="0.25">
      <c r="A986">
        <v>538.11109199999999</v>
      </c>
      <c r="B986" s="1">
        <f>DATE(2011,10,21) + TIME(2,39,58)</f>
        <v>40837.111087962963</v>
      </c>
      <c r="C986">
        <v>80</v>
      </c>
      <c r="D986">
        <v>79.948501586999996</v>
      </c>
      <c r="E986">
        <v>60</v>
      </c>
      <c r="F986">
        <v>41.895694732999999</v>
      </c>
      <c r="G986">
        <v>1386.0231934000001</v>
      </c>
      <c r="H986">
        <v>1370.8652344</v>
      </c>
      <c r="I986">
        <v>1272.9171143000001</v>
      </c>
      <c r="J986">
        <v>1246.8203125</v>
      </c>
      <c r="K986">
        <v>2750</v>
      </c>
      <c r="L986">
        <v>0</v>
      </c>
      <c r="M986">
        <v>0</v>
      </c>
      <c r="N986">
        <v>2750</v>
      </c>
    </row>
    <row r="987" spans="1:14" x14ac:dyDescent="0.25">
      <c r="A987">
        <v>540.12412400000005</v>
      </c>
      <c r="B987" s="1">
        <f>DATE(2011,10,23) + TIME(2,58,44)</f>
        <v>40839.124120370368</v>
      </c>
      <c r="C987">
        <v>80</v>
      </c>
      <c r="D987">
        <v>79.948585510000001</v>
      </c>
      <c r="E987">
        <v>60</v>
      </c>
      <c r="F987">
        <v>41.883647918999998</v>
      </c>
      <c r="G987">
        <v>1385.9528809000001</v>
      </c>
      <c r="H987">
        <v>1370.7996826000001</v>
      </c>
      <c r="I987">
        <v>1272.8005370999999</v>
      </c>
      <c r="J987">
        <v>1246.6339111</v>
      </c>
      <c r="K987">
        <v>2750</v>
      </c>
      <c r="L987">
        <v>0</v>
      </c>
      <c r="M987">
        <v>0</v>
      </c>
      <c r="N987">
        <v>2750</v>
      </c>
    </row>
    <row r="988" spans="1:14" x14ac:dyDescent="0.25">
      <c r="A988">
        <v>542.15465300000005</v>
      </c>
      <c r="B988" s="1">
        <f>DATE(2011,10,25) + TIME(3,42,42)</f>
        <v>40841.154652777775</v>
      </c>
      <c r="C988">
        <v>80</v>
      </c>
      <c r="D988">
        <v>79.948661803999997</v>
      </c>
      <c r="E988">
        <v>60</v>
      </c>
      <c r="F988">
        <v>41.885040283000002</v>
      </c>
      <c r="G988">
        <v>1385.8825684000001</v>
      </c>
      <c r="H988">
        <v>1370.7340088000001</v>
      </c>
      <c r="I988">
        <v>1272.6888428</v>
      </c>
      <c r="J988">
        <v>1246.4580077999999</v>
      </c>
      <c r="K988">
        <v>2750</v>
      </c>
      <c r="L988">
        <v>0</v>
      </c>
      <c r="M988">
        <v>0</v>
      </c>
      <c r="N988">
        <v>2750</v>
      </c>
    </row>
    <row r="989" spans="1:14" x14ac:dyDescent="0.25">
      <c r="A989">
        <v>544.20876699999997</v>
      </c>
      <c r="B989" s="1">
        <f>DATE(2011,10,27) + TIME(5,0,37)</f>
        <v>40843.208761574075</v>
      </c>
      <c r="C989">
        <v>80</v>
      </c>
      <c r="D989">
        <v>79.948745728000006</v>
      </c>
      <c r="E989">
        <v>60</v>
      </c>
      <c r="F989">
        <v>41.899421691999997</v>
      </c>
      <c r="G989">
        <v>1385.8123779</v>
      </c>
      <c r="H989">
        <v>1370.668457</v>
      </c>
      <c r="I989">
        <v>1272.5821533000001</v>
      </c>
      <c r="J989">
        <v>1246.2928466999999</v>
      </c>
      <c r="K989">
        <v>2750</v>
      </c>
      <c r="L989">
        <v>0</v>
      </c>
      <c r="M989">
        <v>0</v>
      </c>
      <c r="N989">
        <v>2750</v>
      </c>
    </row>
    <row r="990" spans="1:14" x14ac:dyDescent="0.25">
      <c r="A990">
        <v>546.292867</v>
      </c>
      <c r="B990" s="1">
        <f>DATE(2011,10,29) + TIME(7,1,43)</f>
        <v>40845.292858796296</v>
      </c>
      <c r="C990">
        <v>80</v>
      </c>
      <c r="D990">
        <v>79.948829650999997</v>
      </c>
      <c r="E990">
        <v>60</v>
      </c>
      <c r="F990">
        <v>41.926151275999999</v>
      </c>
      <c r="G990">
        <v>1385.7421875</v>
      </c>
      <c r="H990">
        <v>1370.6027832</v>
      </c>
      <c r="I990">
        <v>1272.4801024999999</v>
      </c>
      <c r="J990">
        <v>1246.1376952999999</v>
      </c>
      <c r="K990">
        <v>2750</v>
      </c>
      <c r="L990">
        <v>0</v>
      </c>
      <c r="M990">
        <v>0</v>
      </c>
      <c r="N990">
        <v>2750</v>
      </c>
    </row>
    <row r="991" spans="1:14" x14ac:dyDescent="0.25">
      <c r="A991">
        <v>548.389543</v>
      </c>
      <c r="B991" s="1">
        <f>DATE(2011,10,31) + TIME(9,20,56)</f>
        <v>40847.389537037037</v>
      </c>
      <c r="C991">
        <v>80</v>
      </c>
      <c r="D991">
        <v>79.948913574000002</v>
      </c>
      <c r="E991">
        <v>60</v>
      </c>
      <c r="F991">
        <v>41.964466094999999</v>
      </c>
      <c r="G991">
        <v>1385.6716309000001</v>
      </c>
      <c r="H991">
        <v>1370.5368652</v>
      </c>
      <c r="I991">
        <v>1272.3825684000001</v>
      </c>
      <c r="J991">
        <v>1245.9923096</v>
      </c>
      <c r="K991">
        <v>2750</v>
      </c>
      <c r="L991">
        <v>0</v>
      </c>
      <c r="M991">
        <v>0</v>
      </c>
      <c r="N991">
        <v>2750</v>
      </c>
    </row>
    <row r="992" spans="1:14" x14ac:dyDescent="0.25">
      <c r="A992">
        <v>549</v>
      </c>
      <c r="B992" s="1">
        <f>DATE(2011,11,1) + TIME(0,0,0)</f>
        <v>40848</v>
      </c>
      <c r="C992">
        <v>80</v>
      </c>
      <c r="D992">
        <v>79.948928832999997</v>
      </c>
      <c r="E992">
        <v>60</v>
      </c>
      <c r="F992">
        <v>41.994789124</v>
      </c>
      <c r="G992">
        <v>1385.6022949000001</v>
      </c>
      <c r="H992">
        <v>1370.4720459</v>
      </c>
      <c r="I992">
        <v>1272.3067627</v>
      </c>
      <c r="J992">
        <v>1245.8769531</v>
      </c>
      <c r="K992">
        <v>2750</v>
      </c>
      <c r="L992">
        <v>0</v>
      </c>
      <c r="M992">
        <v>0</v>
      </c>
      <c r="N992">
        <v>2750</v>
      </c>
    </row>
    <row r="993" spans="1:14" x14ac:dyDescent="0.25">
      <c r="A993">
        <v>549.000001</v>
      </c>
      <c r="B993" s="1">
        <f>DATE(2011,11,1) + TIME(0,0,0)</f>
        <v>40848</v>
      </c>
      <c r="C993">
        <v>80</v>
      </c>
      <c r="D993">
        <v>79.948791503999999</v>
      </c>
      <c r="E993">
        <v>60</v>
      </c>
      <c r="F993">
        <v>41.994941711000003</v>
      </c>
      <c r="G993">
        <v>1369.4731445</v>
      </c>
      <c r="H993">
        <v>1355.597168</v>
      </c>
      <c r="I993">
        <v>1299.8591309000001</v>
      </c>
      <c r="J993">
        <v>1273.3635254000001</v>
      </c>
      <c r="K993">
        <v>0</v>
      </c>
      <c r="L993">
        <v>2750</v>
      </c>
      <c r="M993">
        <v>2750</v>
      </c>
      <c r="N993">
        <v>0</v>
      </c>
    </row>
    <row r="994" spans="1:14" x14ac:dyDescent="0.25">
      <c r="A994">
        <v>549.00000399999999</v>
      </c>
      <c r="B994" s="1">
        <f>DATE(2011,11,1) + TIME(0,0,0)</f>
        <v>40848</v>
      </c>
      <c r="C994">
        <v>80</v>
      </c>
      <c r="D994">
        <v>79.948425293</v>
      </c>
      <c r="E994">
        <v>60</v>
      </c>
      <c r="F994">
        <v>41.995365143000001</v>
      </c>
      <c r="G994">
        <v>1366.9494629000001</v>
      </c>
      <c r="H994">
        <v>1353.0727539</v>
      </c>
      <c r="I994">
        <v>1302.6173096</v>
      </c>
      <c r="J994">
        <v>1276.222168</v>
      </c>
      <c r="K994">
        <v>0</v>
      </c>
      <c r="L994">
        <v>2750</v>
      </c>
      <c r="M994">
        <v>2750</v>
      </c>
      <c r="N994">
        <v>0</v>
      </c>
    </row>
    <row r="995" spans="1:14" x14ac:dyDescent="0.25">
      <c r="A995">
        <v>549.00001299999997</v>
      </c>
      <c r="B995" s="1">
        <f>DATE(2011,11,1) + TIME(0,0,1)</f>
        <v>40848.000011574077</v>
      </c>
      <c r="C995">
        <v>80</v>
      </c>
      <c r="D995">
        <v>79.947700499999996</v>
      </c>
      <c r="E995">
        <v>60</v>
      </c>
      <c r="F995">
        <v>41.996398925999998</v>
      </c>
      <c r="G995">
        <v>1361.8549805</v>
      </c>
      <c r="H995">
        <v>1347.9775391000001</v>
      </c>
      <c r="I995">
        <v>1309.0546875</v>
      </c>
      <c r="J995">
        <v>1282.8314209</v>
      </c>
      <c r="K995">
        <v>0</v>
      </c>
      <c r="L995">
        <v>2750</v>
      </c>
      <c r="M995">
        <v>2750</v>
      </c>
      <c r="N995">
        <v>0</v>
      </c>
    </row>
    <row r="996" spans="1:14" x14ac:dyDescent="0.25">
      <c r="A996">
        <v>549.00004000000001</v>
      </c>
      <c r="B996" s="1">
        <f>DATE(2011,11,1) + TIME(0,0,3)</f>
        <v>40848.000034722223</v>
      </c>
      <c r="C996">
        <v>80</v>
      </c>
      <c r="D996">
        <v>79.946640015</v>
      </c>
      <c r="E996">
        <v>60</v>
      </c>
      <c r="F996">
        <v>41.998477936</v>
      </c>
      <c r="G996">
        <v>1354.4112548999999</v>
      </c>
      <c r="H996">
        <v>1340.5366211</v>
      </c>
      <c r="I996">
        <v>1320.4389647999999</v>
      </c>
      <c r="J996">
        <v>1294.3433838000001</v>
      </c>
      <c r="K996">
        <v>0</v>
      </c>
      <c r="L996">
        <v>2750</v>
      </c>
      <c r="M996">
        <v>2750</v>
      </c>
      <c r="N996">
        <v>0</v>
      </c>
    </row>
    <row r="997" spans="1:14" x14ac:dyDescent="0.25">
      <c r="A997">
        <v>549.00012100000004</v>
      </c>
      <c r="B997" s="1">
        <f>DATE(2011,11,1) + TIME(0,0,10)</f>
        <v>40848.000115740739</v>
      </c>
      <c r="C997">
        <v>80</v>
      </c>
      <c r="D997">
        <v>79.945442200000002</v>
      </c>
      <c r="E997">
        <v>60</v>
      </c>
      <c r="F997">
        <v>42.002300261999999</v>
      </c>
      <c r="G997">
        <v>1346.1265868999999</v>
      </c>
      <c r="H997">
        <v>1332.2592772999999</v>
      </c>
      <c r="I997">
        <v>1335.0688477000001</v>
      </c>
      <c r="J997">
        <v>1308.9821777</v>
      </c>
      <c r="K997">
        <v>0</v>
      </c>
      <c r="L997">
        <v>2750</v>
      </c>
      <c r="M997">
        <v>2750</v>
      </c>
      <c r="N997">
        <v>0</v>
      </c>
    </row>
    <row r="998" spans="1:14" x14ac:dyDescent="0.25">
      <c r="A998">
        <v>549.00036399999999</v>
      </c>
      <c r="B998" s="1">
        <f>DATE(2011,11,1) + TIME(0,0,31)</f>
        <v>40848.000358796293</v>
      </c>
      <c r="C998">
        <v>80</v>
      </c>
      <c r="D998">
        <v>79.944198607999994</v>
      </c>
      <c r="E998">
        <v>60</v>
      </c>
      <c r="F998">
        <v>42.010334014999998</v>
      </c>
      <c r="G998">
        <v>1337.7974853999999</v>
      </c>
      <c r="H998">
        <v>1323.9406738</v>
      </c>
      <c r="I998">
        <v>1350.5798339999999</v>
      </c>
      <c r="J998">
        <v>1324.4781493999999</v>
      </c>
      <c r="K998">
        <v>0</v>
      </c>
      <c r="L998">
        <v>2750</v>
      </c>
      <c r="M998">
        <v>2750</v>
      </c>
      <c r="N998">
        <v>0</v>
      </c>
    </row>
    <row r="999" spans="1:14" x14ac:dyDescent="0.25">
      <c r="A999">
        <v>549.00109299999997</v>
      </c>
      <c r="B999" s="1">
        <f>DATE(2011,11,1) + TIME(0,1,34)</f>
        <v>40848.001087962963</v>
      </c>
      <c r="C999">
        <v>80</v>
      </c>
      <c r="D999">
        <v>79.942810058999996</v>
      </c>
      <c r="E999">
        <v>60</v>
      </c>
      <c r="F999">
        <v>42.030712127999998</v>
      </c>
      <c r="G999">
        <v>1329.4215088000001</v>
      </c>
      <c r="H999">
        <v>1315.5557861</v>
      </c>
      <c r="I999">
        <v>1366.4667969</v>
      </c>
      <c r="J999">
        <v>1340.3520507999999</v>
      </c>
      <c r="K999">
        <v>0</v>
      </c>
      <c r="L999">
        <v>2750</v>
      </c>
      <c r="M999">
        <v>2750</v>
      </c>
      <c r="N999">
        <v>0</v>
      </c>
    </row>
    <row r="1000" spans="1:14" x14ac:dyDescent="0.25">
      <c r="A1000">
        <v>549.00328000000002</v>
      </c>
      <c r="B1000" s="1">
        <f>DATE(2011,11,1) + TIME(0,4,43)</f>
        <v>40848.003275462965</v>
      </c>
      <c r="C1000">
        <v>80</v>
      </c>
      <c r="D1000">
        <v>79.940963745000005</v>
      </c>
      <c r="E1000">
        <v>60</v>
      </c>
      <c r="F1000">
        <v>42.088031768999997</v>
      </c>
      <c r="G1000">
        <v>1320.6586914</v>
      </c>
      <c r="H1000">
        <v>1306.7017822</v>
      </c>
      <c r="I1000">
        <v>1382.8356934000001</v>
      </c>
      <c r="J1000">
        <v>1356.6713867000001</v>
      </c>
      <c r="K1000">
        <v>0</v>
      </c>
      <c r="L1000">
        <v>2750</v>
      </c>
      <c r="M1000">
        <v>2750</v>
      </c>
      <c r="N1000">
        <v>0</v>
      </c>
    </row>
    <row r="1001" spans="1:14" x14ac:dyDescent="0.25">
      <c r="A1001">
        <v>549.00984100000005</v>
      </c>
      <c r="B1001" s="1">
        <f>DATE(2011,11,1) + TIME(0,14,10)</f>
        <v>40848.009837962964</v>
      </c>
      <c r="C1001">
        <v>80</v>
      </c>
      <c r="D1001">
        <v>79.937850952000005</v>
      </c>
      <c r="E1001">
        <v>60</v>
      </c>
      <c r="F1001">
        <v>42.255321502999998</v>
      </c>
      <c r="G1001">
        <v>1311.4411620999999</v>
      </c>
      <c r="H1001">
        <v>1297.354126</v>
      </c>
      <c r="I1001">
        <v>1398.4505615</v>
      </c>
      <c r="J1001">
        <v>1372.2174072</v>
      </c>
      <c r="K1001">
        <v>0</v>
      </c>
      <c r="L1001">
        <v>2750</v>
      </c>
      <c r="M1001">
        <v>2750</v>
      </c>
      <c r="N1001">
        <v>0</v>
      </c>
    </row>
    <row r="1002" spans="1:14" x14ac:dyDescent="0.25">
      <c r="A1002">
        <v>549.02952400000004</v>
      </c>
      <c r="B1002" s="1">
        <f>DATE(2011,11,1) + TIME(0,42,30)</f>
        <v>40848.029513888891</v>
      </c>
      <c r="C1002">
        <v>80</v>
      </c>
      <c r="D1002">
        <v>79.931381225999999</v>
      </c>
      <c r="E1002">
        <v>60</v>
      </c>
      <c r="F1002">
        <v>42.742084503000001</v>
      </c>
      <c r="G1002">
        <v>1303.4360352000001</v>
      </c>
      <c r="H1002">
        <v>1289.2774658000001</v>
      </c>
      <c r="I1002">
        <v>1409.7409668</v>
      </c>
      <c r="J1002">
        <v>1383.5904541</v>
      </c>
      <c r="K1002">
        <v>0</v>
      </c>
      <c r="L1002">
        <v>2750</v>
      </c>
      <c r="M1002">
        <v>2750</v>
      </c>
      <c r="N1002">
        <v>0</v>
      </c>
    </row>
    <row r="1003" spans="1:14" x14ac:dyDescent="0.25">
      <c r="A1003">
        <v>549.05950299999995</v>
      </c>
      <c r="B1003" s="1">
        <f>DATE(2011,11,1) + TIME(1,25,41)</f>
        <v>40848.059502314813</v>
      </c>
      <c r="C1003">
        <v>80</v>
      </c>
      <c r="D1003">
        <v>79.922897339000002</v>
      </c>
      <c r="E1003">
        <v>60</v>
      </c>
      <c r="F1003">
        <v>43.453624724999997</v>
      </c>
      <c r="G1003">
        <v>1299.8343506000001</v>
      </c>
      <c r="H1003">
        <v>1285.6561279</v>
      </c>
      <c r="I1003">
        <v>1413.5511475000001</v>
      </c>
      <c r="J1003">
        <v>1387.6595459</v>
      </c>
      <c r="K1003">
        <v>0</v>
      </c>
      <c r="L1003">
        <v>2750</v>
      </c>
      <c r="M1003">
        <v>2750</v>
      </c>
      <c r="N1003">
        <v>0</v>
      </c>
    </row>
    <row r="1004" spans="1:14" x14ac:dyDescent="0.25">
      <c r="A1004">
        <v>549.09047299999997</v>
      </c>
      <c r="B1004" s="1">
        <f>DATE(2011,11,1) + TIME(2,10,16)</f>
        <v>40848.090462962966</v>
      </c>
      <c r="C1004">
        <v>80</v>
      </c>
      <c r="D1004">
        <v>79.914573669000006</v>
      </c>
      <c r="E1004">
        <v>60</v>
      </c>
      <c r="F1004">
        <v>44.158454894999998</v>
      </c>
      <c r="G1004">
        <v>1298.5675048999999</v>
      </c>
      <c r="H1004">
        <v>1284.3839111</v>
      </c>
      <c r="I1004">
        <v>1414.2470702999999</v>
      </c>
      <c r="J1004">
        <v>1388.6376952999999</v>
      </c>
      <c r="K1004">
        <v>0</v>
      </c>
      <c r="L1004">
        <v>2750</v>
      </c>
      <c r="M1004">
        <v>2750</v>
      </c>
      <c r="N1004">
        <v>0</v>
      </c>
    </row>
    <row r="1005" spans="1:14" x14ac:dyDescent="0.25">
      <c r="A1005">
        <v>549.12237600000003</v>
      </c>
      <c r="B1005" s="1">
        <f>DATE(2011,11,1) + TIME(2,56,13)</f>
        <v>40848.122372685182</v>
      </c>
      <c r="C1005">
        <v>80</v>
      </c>
      <c r="D1005">
        <v>79.906219481999997</v>
      </c>
      <c r="E1005">
        <v>60</v>
      </c>
      <c r="F1005">
        <v>44.853660583</v>
      </c>
      <c r="G1005">
        <v>1298.0845947</v>
      </c>
      <c r="H1005">
        <v>1283.8989257999999</v>
      </c>
      <c r="I1005">
        <v>1414.0821533000001</v>
      </c>
      <c r="J1005">
        <v>1388.7561035000001</v>
      </c>
      <c r="K1005">
        <v>0</v>
      </c>
      <c r="L1005">
        <v>2750</v>
      </c>
      <c r="M1005">
        <v>2750</v>
      </c>
      <c r="N1005">
        <v>0</v>
      </c>
    </row>
    <row r="1006" spans="1:14" x14ac:dyDescent="0.25">
      <c r="A1006">
        <v>549.15525100000002</v>
      </c>
      <c r="B1006" s="1">
        <f>DATE(2011,11,1) + TIME(3,43,33)</f>
        <v>40848.155243055553</v>
      </c>
      <c r="C1006">
        <v>80</v>
      </c>
      <c r="D1006">
        <v>79.897766113000003</v>
      </c>
      <c r="E1006">
        <v>60</v>
      </c>
      <c r="F1006">
        <v>45.538616179999998</v>
      </c>
      <c r="G1006">
        <v>1297.8876952999999</v>
      </c>
      <c r="H1006">
        <v>1283.7009277</v>
      </c>
      <c r="I1006">
        <v>1413.6893310999999</v>
      </c>
      <c r="J1006">
        <v>1388.6396483999999</v>
      </c>
      <c r="K1006">
        <v>0</v>
      </c>
      <c r="L1006">
        <v>2750</v>
      </c>
      <c r="M1006">
        <v>2750</v>
      </c>
      <c r="N1006">
        <v>0</v>
      </c>
    </row>
    <row r="1007" spans="1:14" x14ac:dyDescent="0.25">
      <c r="A1007">
        <v>549.18916000000002</v>
      </c>
      <c r="B1007" s="1">
        <f>DATE(2011,11,1) + TIME(4,32,23)</f>
        <v>40848.189155092594</v>
      </c>
      <c r="C1007">
        <v>80</v>
      </c>
      <c r="D1007">
        <v>79.889175414999997</v>
      </c>
      <c r="E1007">
        <v>60</v>
      </c>
      <c r="F1007">
        <v>46.213085175000003</v>
      </c>
      <c r="G1007">
        <v>1297.8020019999999</v>
      </c>
      <c r="H1007">
        <v>1283.6145019999999</v>
      </c>
      <c r="I1007">
        <v>1413.2519531</v>
      </c>
      <c r="J1007">
        <v>1388.4696045000001</v>
      </c>
      <c r="K1007">
        <v>0</v>
      </c>
      <c r="L1007">
        <v>2750</v>
      </c>
      <c r="M1007">
        <v>2750</v>
      </c>
      <c r="N1007">
        <v>0</v>
      </c>
    </row>
    <row r="1008" spans="1:14" x14ac:dyDescent="0.25">
      <c r="A1008">
        <v>549.22418000000005</v>
      </c>
      <c r="B1008" s="1">
        <f>DATE(2011,11,1) + TIME(5,22,49)</f>
        <v>40848.224178240744</v>
      </c>
      <c r="C1008">
        <v>80</v>
      </c>
      <c r="D1008">
        <v>79.880424500000004</v>
      </c>
      <c r="E1008">
        <v>60</v>
      </c>
      <c r="F1008">
        <v>46.876979828000003</v>
      </c>
      <c r="G1008">
        <v>1297.7623291</v>
      </c>
      <c r="H1008">
        <v>1283.5743408000001</v>
      </c>
      <c r="I1008">
        <v>1412.8200684000001</v>
      </c>
      <c r="J1008">
        <v>1388.2955322</v>
      </c>
      <c r="K1008">
        <v>0</v>
      </c>
      <c r="L1008">
        <v>2750</v>
      </c>
      <c r="M1008">
        <v>2750</v>
      </c>
      <c r="N1008">
        <v>0</v>
      </c>
    </row>
    <row r="1009" spans="1:14" x14ac:dyDescent="0.25">
      <c r="A1009">
        <v>549.26039600000001</v>
      </c>
      <c r="B1009" s="1">
        <f>DATE(2011,11,1) + TIME(6,14,58)</f>
        <v>40848.260393518518</v>
      </c>
      <c r="C1009">
        <v>80</v>
      </c>
      <c r="D1009">
        <v>79.871498107999997</v>
      </c>
      <c r="E1009">
        <v>60</v>
      </c>
      <c r="F1009">
        <v>47.530235290999997</v>
      </c>
      <c r="G1009">
        <v>1297.7427978999999</v>
      </c>
      <c r="H1009">
        <v>1283.5543213000001</v>
      </c>
      <c r="I1009">
        <v>1412.4044189000001</v>
      </c>
      <c r="J1009">
        <v>1388.1285399999999</v>
      </c>
      <c r="K1009">
        <v>0</v>
      </c>
      <c r="L1009">
        <v>2750</v>
      </c>
      <c r="M1009">
        <v>2750</v>
      </c>
      <c r="N1009">
        <v>0</v>
      </c>
    </row>
    <row r="1010" spans="1:14" x14ac:dyDescent="0.25">
      <c r="A1010">
        <v>549.29790700000001</v>
      </c>
      <c r="B1010" s="1">
        <f>DATE(2011,11,1) + TIME(7,8,59)</f>
        <v>40848.297905092593</v>
      </c>
      <c r="C1010">
        <v>80</v>
      </c>
      <c r="D1010">
        <v>79.862380981000001</v>
      </c>
      <c r="E1010">
        <v>60</v>
      </c>
      <c r="F1010">
        <v>48.172782898000001</v>
      </c>
      <c r="G1010">
        <v>1297.7325439000001</v>
      </c>
      <c r="H1010">
        <v>1283.5435791</v>
      </c>
      <c r="I1010">
        <v>1412.0054932</v>
      </c>
      <c r="J1010">
        <v>1387.9692382999999</v>
      </c>
      <c r="K1010">
        <v>0</v>
      </c>
      <c r="L1010">
        <v>2750</v>
      </c>
      <c r="M1010">
        <v>2750</v>
      </c>
      <c r="N1010">
        <v>0</v>
      </c>
    </row>
    <row r="1011" spans="1:14" x14ac:dyDescent="0.25">
      <c r="A1011">
        <v>549.33682199999998</v>
      </c>
      <c r="B1011" s="1">
        <f>DATE(2011,11,1) + TIME(8,5,1)</f>
        <v>40848.336817129632</v>
      </c>
      <c r="C1011">
        <v>80</v>
      </c>
      <c r="D1011">
        <v>79.853050232000001</v>
      </c>
      <c r="E1011">
        <v>60</v>
      </c>
      <c r="F1011">
        <v>48.804553986000002</v>
      </c>
      <c r="G1011">
        <v>1297.7268065999999</v>
      </c>
      <c r="H1011">
        <v>1283.5372314000001</v>
      </c>
      <c r="I1011">
        <v>1411.621582</v>
      </c>
      <c r="J1011">
        <v>1387.8162841999999</v>
      </c>
      <c r="K1011">
        <v>0</v>
      </c>
      <c r="L1011">
        <v>2750</v>
      </c>
      <c r="M1011">
        <v>2750</v>
      </c>
      <c r="N1011">
        <v>0</v>
      </c>
    </row>
    <row r="1012" spans="1:14" x14ac:dyDescent="0.25">
      <c r="A1012">
        <v>549.37726399999997</v>
      </c>
      <c r="B1012" s="1">
        <f>DATE(2011,11,1) + TIME(9,3,15)</f>
        <v>40848.377256944441</v>
      </c>
      <c r="C1012">
        <v>80</v>
      </c>
      <c r="D1012">
        <v>79.843482971</v>
      </c>
      <c r="E1012">
        <v>60</v>
      </c>
      <c r="F1012">
        <v>49.425437926999997</v>
      </c>
      <c r="G1012">
        <v>1297.7230225000001</v>
      </c>
      <c r="H1012">
        <v>1283.5329589999999</v>
      </c>
      <c r="I1012">
        <v>1411.2509766000001</v>
      </c>
      <c r="J1012">
        <v>1387.6683350000001</v>
      </c>
      <c r="K1012">
        <v>0</v>
      </c>
      <c r="L1012">
        <v>2750</v>
      </c>
      <c r="M1012">
        <v>2750</v>
      </c>
      <c r="N1012">
        <v>0</v>
      </c>
    </row>
    <row r="1013" spans="1:14" x14ac:dyDescent="0.25">
      <c r="A1013">
        <v>549.41937399999995</v>
      </c>
      <c r="B1013" s="1">
        <f>DATE(2011,11,1) + TIME(10,3,53)</f>
        <v>40848.419363425928</v>
      </c>
      <c r="C1013">
        <v>80</v>
      </c>
      <c r="D1013">
        <v>79.833663939999994</v>
      </c>
      <c r="E1013">
        <v>60</v>
      </c>
      <c r="F1013">
        <v>50.035297393999997</v>
      </c>
      <c r="G1013">
        <v>1297.7202147999999</v>
      </c>
      <c r="H1013">
        <v>1283.5296631000001</v>
      </c>
      <c r="I1013">
        <v>1410.8920897999999</v>
      </c>
      <c r="J1013">
        <v>1387.5241699000001</v>
      </c>
      <c r="K1013">
        <v>0</v>
      </c>
      <c r="L1013">
        <v>2750</v>
      </c>
      <c r="M1013">
        <v>2750</v>
      </c>
      <c r="N1013">
        <v>0</v>
      </c>
    </row>
    <row r="1014" spans="1:14" x14ac:dyDescent="0.25">
      <c r="A1014">
        <v>549.46330899999998</v>
      </c>
      <c r="B1014" s="1">
        <f>DATE(2011,11,1) + TIME(11,7,9)</f>
        <v>40848.46329861111</v>
      </c>
      <c r="C1014">
        <v>80</v>
      </c>
      <c r="D1014">
        <v>79.823562621999997</v>
      </c>
      <c r="E1014">
        <v>60</v>
      </c>
      <c r="F1014">
        <v>50.633716583000002</v>
      </c>
      <c r="G1014">
        <v>1297.7178954999999</v>
      </c>
      <c r="H1014">
        <v>1283.5268555</v>
      </c>
      <c r="I1014">
        <v>1410.5441894999999</v>
      </c>
      <c r="J1014">
        <v>1387.3833007999999</v>
      </c>
      <c r="K1014">
        <v>0</v>
      </c>
      <c r="L1014">
        <v>2750</v>
      </c>
      <c r="M1014">
        <v>2750</v>
      </c>
      <c r="N1014">
        <v>0</v>
      </c>
    </row>
    <row r="1015" spans="1:14" x14ac:dyDescent="0.25">
      <c r="A1015">
        <v>549.50924099999997</v>
      </c>
      <c r="B1015" s="1">
        <f>DATE(2011,11,1) + TIME(12,13,18)</f>
        <v>40848.509236111109</v>
      </c>
      <c r="C1015">
        <v>80</v>
      </c>
      <c r="D1015">
        <v>79.813148498999993</v>
      </c>
      <c r="E1015">
        <v>60</v>
      </c>
      <c r="F1015">
        <v>51.220691680999998</v>
      </c>
      <c r="G1015">
        <v>1297.7156981999999</v>
      </c>
      <c r="H1015">
        <v>1283.5240478999999</v>
      </c>
      <c r="I1015">
        <v>1410.2064209</v>
      </c>
      <c r="J1015">
        <v>1387.2449951000001</v>
      </c>
      <c r="K1015">
        <v>0</v>
      </c>
      <c r="L1015">
        <v>2750</v>
      </c>
      <c r="M1015">
        <v>2750</v>
      </c>
      <c r="N1015">
        <v>0</v>
      </c>
    </row>
    <row r="1016" spans="1:14" x14ac:dyDescent="0.25">
      <c r="A1016">
        <v>549.55738199999996</v>
      </c>
      <c r="B1016" s="1">
        <f>DATE(2011,11,1) + TIME(13,22,37)</f>
        <v>40848.557372685187</v>
      </c>
      <c r="C1016">
        <v>80</v>
      </c>
      <c r="D1016">
        <v>79.802383422999995</v>
      </c>
      <c r="E1016">
        <v>60</v>
      </c>
      <c r="F1016">
        <v>51.796062468999999</v>
      </c>
      <c r="G1016">
        <v>1297.7133789</v>
      </c>
      <c r="H1016">
        <v>1283.5212402</v>
      </c>
      <c r="I1016">
        <v>1409.8779297000001</v>
      </c>
      <c r="J1016">
        <v>1387.1088867000001</v>
      </c>
      <c r="K1016">
        <v>0</v>
      </c>
      <c r="L1016">
        <v>2750</v>
      </c>
      <c r="M1016">
        <v>2750</v>
      </c>
      <c r="N1016">
        <v>0</v>
      </c>
    </row>
    <row r="1017" spans="1:14" x14ac:dyDescent="0.25">
      <c r="A1017">
        <v>549.60797400000001</v>
      </c>
      <c r="B1017" s="1">
        <f>DATE(2011,11,1) + TIME(14,35,28)</f>
        <v>40848.60796296296</v>
      </c>
      <c r="C1017">
        <v>80</v>
      </c>
      <c r="D1017">
        <v>79.791244507000002</v>
      </c>
      <c r="E1017">
        <v>60</v>
      </c>
      <c r="F1017">
        <v>52.359622954999999</v>
      </c>
      <c r="G1017">
        <v>1297.7110596</v>
      </c>
      <c r="H1017">
        <v>1283.5184326000001</v>
      </c>
      <c r="I1017">
        <v>1409.5583495999999</v>
      </c>
      <c r="J1017">
        <v>1386.9746094</v>
      </c>
      <c r="K1017">
        <v>0</v>
      </c>
      <c r="L1017">
        <v>2750</v>
      </c>
      <c r="M1017">
        <v>2750</v>
      </c>
      <c r="N1017">
        <v>0</v>
      </c>
    </row>
    <row r="1018" spans="1:14" x14ac:dyDescent="0.25">
      <c r="A1018">
        <v>549.66129699999999</v>
      </c>
      <c r="B1018" s="1">
        <f>DATE(2011,11,1) + TIME(15,52,16)</f>
        <v>40848.661296296297</v>
      </c>
      <c r="C1018">
        <v>80</v>
      </c>
      <c r="D1018">
        <v>79.779670714999995</v>
      </c>
      <c r="E1018">
        <v>60</v>
      </c>
      <c r="F1018">
        <v>52.911087035999998</v>
      </c>
      <c r="G1018">
        <v>1297.7086182</v>
      </c>
      <c r="H1018">
        <v>1283.5152588000001</v>
      </c>
      <c r="I1018">
        <v>1409.2470702999999</v>
      </c>
      <c r="J1018">
        <v>1386.8419189000001</v>
      </c>
      <c r="K1018">
        <v>0</v>
      </c>
      <c r="L1018">
        <v>2750</v>
      </c>
      <c r="M1018">
        <v>2750</v>
      </c>
      <c r="N1018">
        <v>0</v>
      </c>
    </row>
    <row r="1019" spans="1:14" x14ac:dyDescent="0.25">
      <c r="A1019">
        <v>549.71767799999998</v>
      </c>
      <c r="B1019" s="1">
        <f>DATE(2011,11,1) + TIME(17,13,27)</f>
        <v>40848.717673611114</v>
      </c>
      <c r="C1019">
        <v>80</v>
      </c>
      <c r="D1019">
        <v>79.767616271999998</v>
      </c>
      <c r="E1019">
        <v>60</v>
      </c>
      <c r="F1019">
        <v>53.450130463000001</v>
      </c>
      <c r="G1019">
        <v>1297.7059326000001</v>
      </c>
      <c r="H1019">
        <v>1283.5120850000001</v>
      </c>
      <c r="I1019">
        <v>1408.9433594</v>
      </c>
      <c r="J1019">
        <v>1386.7103271000001</v>
      </c>
      <c r="K1019">
        <v>0</v>
      </c>
      <c r="L1019">
        <v>2750</v>
      </c>
      <c r="M1019">
        <v>2750</v>
      </c>
      <c r="N1019">
        <v>0</v>
      </c>
    </row>
    <row r="1020" spans="1:14" x14ac:dyDescent="0.25">
      <c r="A1020">
        <v>549.77750500000002</v>
      </c>
      <c r="B1020" s="1">
        <f>DATE(2011,11,1) + TIME(18,39,36)</f>
        <v>40848.777499999997</v>
      </c>
      <c r="C1020">
        <v>80</v>
      </c>
      <c r="D1020">
        <v>79.755020142000006</v>
      </c>
      <c r="E1020">
        <v>60</v>
      </c>
      <c r="F1020">
        <v>53.976379395000002</v>
      </c>
      <c r="G1020">
        <v>1297.703125</v>
      </c>
      <c r="H1020">
        <v>1283.5086670000001</v>
      </c>
      <c r="I1020">
        <v>1408.6469727000001</v>
      </c>
      <c r="J1020">
        <v>1386.5795897999999</v>
      </c>
      <c r="K1020">
        <v>0</v>
      </c>
      <c r="L1020">
        <v>2750</v>
      </c>
      <c r="M1020">
        <v>2750</v>
      </c>
      <c r="N1020">
        <v>0</v>
      </c>
    </row>
    <row r="1021" spans="1:14" x14ac:dyDescent="0.25">
      <c r="A1021">
        <v>549.84124199999997</v>
      </c>
      <c r="B1021" s="1">
        <f>DATE(2011,11,1) + TIME(20,11,23)</f>
        <v>40848.841238425928</v>
      </c>
      <c r="C1021">
        <v>80</v>
      </c>
      <c r="D1021">
        <v>79.741813660000005</v>
      </c>
      <c r="E1021">
        <v>60</v>
      </c>
      <c r="F1021">
        <v>54.489391327</v>
      </c>
      <c r="G1021">
        <v>1297.7001952999999</v>
      </c>
      <c r="H1021">
        <v>1283.5050048999999</v>
      </c>
      <c r="I1021">
        <v>1408.3571777</v>
      </c>
      <c r="J1021">
        <v>1386.4493408000001</v>
      </c>
      <c r="K1021">
        <v>0</v>
      </c>
      <c r="L1021">
        <v>2750</v>
      </c>
      <c r="M1021">
        <v>2750</v>
      </c>
      <c r="N1021">
        <v>0</v>
      </c>
    </row>
    <row r="1022" spans="1:14" x14ac:dyDescent="0.25">
      <c r="A1022">
        <v>549.90945199999999</v>
      </c>
      <c r="B1022" s="1">
        <f>DATE(2011,11,1) + TIME(21,49,36)</f>
        <v>40848.909444444442</v>
      </c>
      <c r="C1022">
        <v>80</v>
      </c>
      <c r="D1022">
        <v>79.727912903000004</v>
      </c>
      <c r="E1022">
        <v>60</v>
      </c>
      <c r="F1022">
        <v>54.988674164000003</v>
      </c>
      <c r="G1022">
        <v>1297.6970214999999</v>
      </c>
      <c r="H1022">
        <v>1283.5010986</v>
      </c>
      <c r="I1022">
        <v>1408.0736084</v>
      </c>
      <c r="J1022">
        <v>1386.3189697</v>
      </c>
      <c r="K1022">
        <v>0</v>
      </c>
      <c r="L1022">
        <v>2750</v>
      </c>
      <c r="M1022">
        <v>2750</v>
      </c>
      <c r="N1022">
        <v>0</v>
      </c>
    </row>
    <row r="1023" spans="1:14" x14ac:dyDescent="0.25">
      <c r="A1023">
        <v>549.98282099999994</v>
      </c>
      <c r="B1023" s="1">
        <f>DATE(2011,11,1) + TIME(23,35,15)</f>
        <v>40848.982812499999</v>
      </c>
      <c r="C1023">
        <v>80</v>
      </c>
      <c r="D1023">
        <v>79.713195800999998</v>
      </c>
      <c r="E1023">
        <v>60</v>
      </c>
      <c r="F1023">
        <v>55.473636626999998</v>
      </c>
      <c r="G1023">
        <v>1297.6934814000001</v>
      </c>
      <c r="H1023">
        <v>1283.4969481999999</v>
      </c>
      <c r="I1023">
        <v>1407.7956543</v>
      </c>
      <c r="J1023">
        <v>1386.1883545000001</v>
      </c>
      <c r="K1023">
        <v>0</v>
      </c>
      <c r="L1023">
        <v>2750</v>
      </c>
      <c r="M1023">
        <v>2750</v>
      </c>
      <c r="N1023">
        <v>0</v>
      </c>
    </row>
    <row r="1024" spans="1:14" x14ac:dyDescent="0.25">
      <c r="A1024">
        <v>550.06219999999996</v>
      </c>
      <c r="B1024" s="1">
        <f>DATE(2011,11,2) + TIME(1,29,34)</f>
        <v>40849.062199074076</v>
      </c>
      <c r="C1024">
        <v>80</v>
      </c>
      <c r="D1024">
        <v>79.697555542000003</v>
      </c>
      <c r="E1024">
        <v>60</v>
      </c>
      <c r="F1024">
        <v>55.943611144999998</v>
      </c>
      <c r="G1024">
        <v>1297.6898193</v>
      </c>
      <c r="H1024">
        <v>1283.4924315999999</v>
      </c>
      <c r="I1024">
        <v>1407.5228271000001</v>
      </c>
      <c r="J1024">
        <v>1386.0566406</v>
      </c>
      <c r="K1024">
        <v>0</v>
      </c>
      <c r="L1024">
        <v>2750</v>
      </c>
      <c r="M1024">
        <v>2750</v>
      </c>
      <c r="N1024">
        <v>0</v>
      </c>
    </row>
    <row r="1025" spans="1:14" x14ac:dyDescent="0.25">
      <c r="A1025">
        <v>550.14866700000005</v>
      </c>
      <c r="B1025" s="1">
        <f>DATE(2011,11,2) + TIME(3,34,4)</f>
        <v>40849.148657407408</v>
      </c>
      <c r="C1025">
        <v>80</v>
      </c>
      <c r="D1025">
        <v>79.680824279999996</v>
      </c>
      <c r="E1025">
        <v>60</v>
      </c>
      <c r="F1025">
        <v>56.397815704000003</v>
      </c>
      <c r="G1025">
        <v>1297.6857910000001</v>
      </c>
      <c r="H1025">
        <v>1283.4876709</v>
      </c>
      <c r="I1025">
        <v>1407.2543945</v>
      </c>
      <c r="J1025">
        <v>1385.9235839999999</v>
      </c>
      <c r="K1025">
        <v>0</v>
      </c>
      <c r="L1025">
        <v>2750</v>
      </c>
      <c r="M1025">
        <v>2750</v>
      </c>
      <c r="N1025">
        <v>0</v>
      </c>
    </row>
    <row r="1026" spans="1:14" x14ac:dyDescent="0.25">
      <c r="A1026">
        <v>550.24364300000002</v>
      </c>
      <c r="B1026" s="1">
        <f>DATE(2011,11,2) + TIME(5,50,50)</f>
        <v>40849.243634259263</v>
      </c>
      <c r="C1026">
        <v>80</v>
      </c>
      <c r="D1026">
        <v>79.662788391000007</v>
      </c>
      <c r="E1026">
        <v>60</v>
      </c>
      <c r="F1026">
        <v>56.835491179999998</v>
      </c>
      <c r="G1026">
        <v>1297.6813964999999</v>
      </c>
      <c r="H1026">
        <v>1283.4822998</v>
      </c>
      <c r="I1026">
        <v>1406.9895019999999</v>
      </c>
      <c r="J1026">
        <v>1385.7883300999999</v>
      </c>
      <c r="K1026">
        <v>0</v>
      </c>
      <c r="L1026">
        <v>2750</v>
      </c>
      <c r="M1026">
        <v>2750</v>
      </c>
      <c r="N1026">
        <v>0</v>
      </c>
    </row>
    <row r="1027" spans="1:14" x14ac:dyDescent="0.25">
      <c r="A1027">
        <v>550.34890199999995</v>
      </c>
      <c r="B1027" s="1">
        <f>DATE(2011,11,2) + TIME(8,22,25)</f>
        <v>40849.348900462966</v>
      </c>
      <c r="C1027">
        <v>80</v>
      </c>
      <c r="D1027">
        <v>79.643203735</v>
      </c>
      <c r="E1027">
        <v>60</v>
      </c>
      <c r="F1027">
        <v>57.255352019999997</v>
      </c>
      <c r="G1027">
        <v>1297.6766356999999</v>
      </c>
      <c r="H1027">
        <v>1283.4765625</v>
      </c>
      <c r="I1027">
        <v>1406.7276611</v>
      </c>
      <c r="J1027">
        <v>1385.6501464999999</v>
      </c>
      <c r="K1027">
        <v>0</v>
      </c>
      <c r="L1027">
        <v>2750</v>
      </c>
      <c r="M1027">
        <v>2750</v>
      </c>
      <c r="N1027">
        <v>0</v>
      </c>
    </row>
    <row r="1028" spans="1:14" x14ac:dyDescent="0.25">
      <c r="A1028">
        <v>550.46687499999996</v>
      </c>
      <c r="B1028" s="1">
        <f>DATE(2011,11,2) + TIME(11,12,18)</f>
        <v>40849.466874999998</v>
      </c>
      <c r="C1028">
        <v>80</v>
      </c>
      <c r="D1028">
        <v>79.621726989999999</v>
      </c>
      <c r="E1028">
        <v>60</v>
      </c>
      <c r="F1028">
        <v>57.656063080000003</v>
      </c>
      <c r="G1028">
        <v>1297.6712646000001</v>
      </c>
      <c r="H1028">
        <v>1283.4702147999999</v>
      </c>
      <c r="I1028">
        <v>1406.4678954999999</v>
      </c>
      <c r="J1028">
        <v>1385.5081786999999</v>
      </c>
      <c r="K1028">
        <v>0</v>
      </c>
      <c r="L1028">
        <v>2750</v>
      </c>
      <c r="M1028">
        <v>2750</v>
      </c>
      <c r="N1028">
        <v>0</v>
      </c>
    </row>
    <row r="1029" spans="1:14" x14ac:dyDescent="0.25">
      <c r="A1029">
        <v>550.59049100000004</v>
      </c>
      <c r="B1029" s="1">
        <f>DATE(2011,11,2) + TIME(14,10,18)</f>
        <v>40849.590486111112</v>
      </c>
      <c r="C1029">
        <v>80</v>
      </c>
      <c r="D1029">
        <v>79.599479674999998</v>
      </c>
      <c r="E1029">
        <v>60</v>
      </c>
      <c r="F1029">
        <v>58.011024474999999</v>
      </c>
      <c r="G1029">
        <v>1297.6652832</v>
      </c>
      <c r="H1029">
        <v>1283.4632568</v>
      </c>
      <c r="I1029">
        <v>1406.2235106999999</v>
      </c>
      <c r="J1029">
        <v>1385.3671875</v>
      </c>
      <c r="K1029">
        <v>0</v>
      </c>
      <c r="L1029">
        <v>2750</v>
      </c>
      <c r="M1029">
        <v>2750</v>
      </c>
      <c r="N1029">
        <v>0</v>
      </c>
    </row>
    <row r="1030" spans="1:14" x14ac:dyDescent="0.25">
      <c r="A1030">
        <v>550.71461099999999</v>
      </c>
      <c r="B1030" s="1">
        <f>DATE(2011,11,2) + TIME(17,9,2)</f>
        <v>40849.714606481481</v>
      </c>
      <c r="C1030">
        <v>80</v>
      </c>
      <c r="D1030">
        <v>79.577247619999994</v>
      </c>
      <c r="E1030">
        <v>60</v>
      </c>
      <c r="F1030">
        <v>58.312103270999998</v>
      </c>
      <c r="G1030">
        <v>1297.6589355000001</v>
      </c>
      <c r="H1030">
        <v>1283.4559326000001</v>
      </c>
      <c r="I1030">
        <v>1406.0017089999999</v>
      </c>
      <c r="J1030">
        <v>1385.2329102000001</v>
      </c>
      <c r="K1030">
        <v>0</v>
      </c>
      <c r="L1030">
        <v>2750</v>
      </c>
      <c r="M1030">
        <v>2750</v>
      </c>
      <c r="N1030">
        <v>0</v>
      </c>
    </row>
    <row r="1031" spans="1:14" x14ac:dyDescent="0.25">
      <c r="A1031">
        <v>550.84022800000002</v>
      </c>
      <c r="B1031" s="1">
        <f>DATE(2011,11,2) + TIME(20,9,55)</f>
        <v>40849.840219907404</v>
      </c>
      <c r="C1031">
        <v>80</v>
      </c>
      <c r="D1031">
        <v>79.554885863999999</v>
      </c>
      <c r="E1031">
        <v>60</v>
      </c>
      <c r="F1031">
        <v>58.568984985</v>
      </c>
      <c r="G1031">
        <v>1297.6525879000001</v>
      </c>
      <c r="H1031">
        <v>1283.4486084</v>
      </c>
      <c r="I1031">
        <v>1405.7998047000001</v>
      </c>
      <c r="J1031">
        <v>1385.1065673999999</v>
      </c>
      <c r="K1031">
        <v>0</v>
      </c>
      <c r="L1031">
        <v>2750</v>
      </c>
      <c r="M1031">
        <v>2750</v>
      </c>
      <c r="N1031">
        <v>0</v>
      </c>
    </row>
    <row r="1032" spans="1:14" x14ac:dyDescent="0.25">
      <c r="A1032">
        <v>550.96794999999997</v>
      </c>
      <c r="B1032" s="1">
        <f>DATE(2011,11,2) + TIME(23,13,50)</f>
        <v>40849.967939814815</v>
      </c>
      <c r="C1032">
        <v>80</v>
      </c>
      <c r="D1032">
        <v>79.532302856000001</v>
      </c>
      <c r="E1032">
        <v>60</v>
      </c>
      <c r="F1032">
        <v>58.788585662999999</v>
      </c>
      <c r="G1032">
        <v>1297.6461182</v>
      </c>
      <c r="H1032">
        <v>1283.4411620999999</v>
      </c>
      <c r="I1032">
        <v>1405.6143798999999</v>
      </c>
      <c r="J1032">
        <v>1384.9864502</v>
      </c>
      <c r="K1032">
        <v>0</v>
      </c>
      <c r="L1032">
        <v>2750</v>
      </c>
      <c r="M1032">
        <v>2750</v>
      </c>
      <c r="N1032">
        <v>0</v>
      </c>
    </row>
    <row r="1033" spans="1:14" x14ac:dyDescent="0.25">
      <c r="A1033">
        <v>551.09839099999999</v>
      </c>
      <c r="B1033" s="1">
        <f>DATE(2011,11,3) + TIME(2,21,40)</f>
        <v>40850.098379629628</v>
      </c>
      <c r="C1033">
        <v>80</v>
      </c>
      <c r="D1033">
        <v>79.509399414000001</v>
      </c>
      <c r="E1033">
        <v>60</v>
      </c>
      <c r="F1033">
        <v>58.976505279999998</v>
      </c>
      <c r="G1033">
        <v>1297.6396483999999</v>
      </c>
      <c r="H1033">
        <v>1283.4337158000001</v>
      </c>
      <c r="I1033">
        <v>1405.4428711</v>
      </c>
      <c r="J1033">
        <v>1384.871582</v>
      </c>
      <c r="K1033">
        <v>0</v>
      </c>
      <c r="L1033">
        <v>2750</v>
      </c>
      <c r="M1033">
        <v>2750</v>
      </c>
      <c r="N1033">
        <v>0</v>
      </c>
    </row>
    <row r="1034" spans="1:14" x14ac:dyDescent="0.25">
      <c r="A1034">
        <v>551.23215900000002</v>
      </c>
      <c r="B1034" s="1">
        <f>DATE(2011,11,3) + TIME(5,34,18)</f>
        <v>40850.232152777775</v>
      </c>
      <c r="C1034">
        <v>80</v>
      </c>
      <c r="D1034">
        <v>79.486099242999998</v>
      </c>
      <c r="E1034">
        <v>60</v>
      </c>
      <c r="F1034">
        <v>59.137313843000001</v>
      </c>
      <c r="G1034">
        <v>1297.6330565999999</v>
      </c>
      <c r="H1034">
        <v>1283.4260254000001</v>
      </c>
      <c r="I1034">
        <v>1405.2829589999999</v>
      </c>
      <c r="J1034">
        <v>1384.7611084</v>
      </c>
      <c r="K1034">
        <v>0</v>
      </c>
      <c r="L1034">
        <v>2750</v>
      </c>
      <c r="M1034">
        <v>2750</v>
      </c>
      <c r="N1034">
        <v>0</v>
      </c>
    </row>
    <row r="1035" spans="1:14" x14ac:dyDescent="0.25">
      <c r="A1035">
        <v>551.36989900000003</v>
      </c>
      <c r="B1035" s="1">
        <f>DATE(2011,11,3) + TIME(8,52,39)</f>
        <v>40850.369895833333</v>
      </c>
      <c r="C1035">
        <v>80</v>
      </c>
      <c r="D1035">
        <v>79.462295531999999</v>
      </c>
      <c r="E1035">
        <v>60</v>
      </c>
      <c r="F1035">
        <v>59.274818420000003</v>
      </c>
      <c r="G1035">
        <v>1297.6262207</v>
      </c>
      <c r="H1035">
        <v>1283.4182129000001</v>
      </c>
      <c r="I1035">
        <v>1405.1328125</v>
      </c>
      <c r="J1035">
        <v>1384.6541748</v>
      </c>
      <c r="K1035">
        <v>0</v>
      </c>
      <c r="L1035">
        <v>2750</v>
      </c>
      <c r="M1035">
        <v>2750</v>
      </c>
      <c r="N1035">
        <v>0</v>
      </c>
    </row>
    <row r="1036" spans="1:14" x14ac:dyDescent="0.25">
      <c r="A1036">
        <v>551.51232400000004</v>
      </c>
      <c r="B1036" s="1">
        <f>DATE(2011,11,3) + TIME(12,17,44)</f>
        <v>40850.512314814812</v>
      </c>
      <c r="C1036">
        <v>80</v>
      </c>
      <c r="D1036">
        <v>79.437881469999994</v>
      </c>
      <c r="E1036">
        <v>60</v>
      </c>
      <c r="F1036">
        <v>59.392227173000002</v>
      </c>
      <c r="G1036">
        <v>1297.6192627</v>
      </c>
      <c r="H1036">
        <v>1283.4101562000001</v>
      </c>
      <c r="I1036">
        <v>1404.9908447</v>
      </c>
      <c r="J1036">
        <v>1384.5501709</v>
      </c>
      <c r="K1036">
        <v>0</v>
      </c>
      <c r="L1036">
        <v>2750</v>
      </c>
      <c r="M1036">
        <v>2750</v>
      </c>
      <c r="N1036">
        <v>0</v>
      </c>
    </row>
    <row r="1037" spans="1:14" x14ac:dyDescent="0.25">
      <c r="A1037">
        <v>551.66019900000003</v>
      </c>
      <c r="B1037" s="1">
        <f>DATE(2011,11,3) + TIME(15,50,41)</f>
        <v>40850.660196759258</v>
      </c>
      <c r="C1037">
        <v>80</v>
      </c>
      <c r="D1037">
        <v>79.412765503000003</v>
      </c>
      <c r="E1037">
        <v>60</v>
      </c>
      <c r="F1037">
        <v>59.492233276</v>
      </c>
      <c r="G1037">
        <v>1297.6121826000001</v>
      </c>
      <c r="H1037">
        <v>1283.4018555</v>
      </c>
      <c r="I1037">
        <v>1404.8557129000001</v>
      </c>
      <c r="J1037">
        <v>1384.4486084</v>
      </c>
      <c r="K1037">
        <v>0</v>
      </c>
      <c r="L1037">
        <v>2750</v>
      </c>
      <c r="M1037">
        <v>2750</v>
      </c>
      <c r="N1037">
        <v>0</v>
      </c>
    </row>
    <row r="1038" spans="1:14" x14ac:dyDescent="0.25">
      <c r="A1038">
        <v>551.81438300000002</v>
      </c>
      <c r="B1038" s="1">
        <f>DATE(2011,11,3) + TIME(19,32,42)</f>
        <v>40850.814375000002</v>
      </c>
      <c r="C1038">
        <v>80</v>
      </c>
      <c r="D1038">
        <v>79.386817932</v>
      </c>
      <c r="E1038">
        <v>60</v>
      </c>
      <c r="F1038">
        <v>59.577152251999998</v>
      </c>
      <c r="G1038">
        <v>1297.6047363</v>
      </c>
      <c r="H1038">
        <v>1283.3933105000001</v>
      </c>
      <c r="I1038">
        <v>1404.7263184000001</v>
      </c>
      <c r="J1038">
        <v>1384.3487548999999</v>
      </c>
      <c r="K1038">
        <v>0</v>
      </c>
      <c r="L1038">
        <v>2750</v>
      </c>
      <c r="M1038">
        <v>2750</v>
      </c>
      <c r="N1038">
        <v>0</v>
      </c>
    </row>
    <row r="1039" spans="1:14" x14ac:dyDescent="0.25">
      <c r="A1039">
        <v>551.97585700000002</v>
      </c>
      <c r="B1039" s="1">
        <f>DATE(2011,11,3) + TIME(23,25,14)</f>
        <v>40850.975856481484</v>
      </c>
      <c r="C1039">
        <v>80</v>
      </c>
      <c r="D1039">
        <v>79.359901428000001</v>
      </c>
      <c r="E1039">
        <v>60</v>
      </c>
      <c r="F1039">
        <v>59.648967743</v>
      </c>
      <c r="G1039">
        <v>1297.5969238</v>
      </c>
      <c r="H1039">
        <v>1283.3842772999999</v>
      </c>
      <c r="I1039">
        <v>1404.6014404</v>
      </c>
      <c r="J1039">
        <v>1384.2502440999999</v>
      </c>
      <c r="K1039">
        <v>0</v>
      </c>
      <c r="L1039">
        <v>2750</v>
      </c>
      <c r="M1039">
        <v>2750</v>
      </c>
      <c r="N1039">
        <v>0</v>
      </c>
    </row>
    <row r="1040" spans="1:14" x14ac:dyDescent="0.25">
      <c r="A1040">
        <v>552.145757</v>
      </c>
      <c r="B1040" s="1">
        <f>DATE(2011,11,4) + TIME(3,29,53)</f>
        <v>40851.145752314813</v>
      </c>
      <c r="C1040">
        <v>80</v>
      </c>
      <c r="D1040">
        <v>79.331855774000005</v>
      </c>
      <c r="E1040">
        <v>60</v>
      </c>
      <c r="F1040">
        <v>59.709403991999999</v>
      </c>
      <c r="G1040">
        <v>1297.5888672000001</v>
      </c>
      <c r="H1040">
        <v>1283.375</v>
      </c>
      <c r="I1040">
        <v>1404.4802245999999</v>
      </c>
      <c r="J1040">
        <v>1384.1523437999999</v>
      </c>
      <c r="K1040">
        <v>0</v>
      </c>
      <c r="L1040">
        <v>2750</v>
      </c>
      <c r="M1040">
        <v>2750</v>
      </c>
      <c r="N1040">
        <v>0</v>
      </c>
    </row>
    <row r="1041" spans="1:14" x14ac:dyDescent="0.25">
      <c r="A1041">
        <v>552.325425</v>
      </c>
      <c r="B1041" s="1">
        <f>DATE(2011,11,4) + TIME(7,48,36)</f>
        <v>40851.325416666667</v>
      </c>
      <c r="C1041">
        <v>80</v>
      </c>
      <c r="D1041">
        <v>79.302520752000007</v>
      </c>
      <c r="E1041">
        <v>60</v>
      </c>
      <c r="F1041">
        <v>59.759967803999999</v>
      </c>
      <c r="G1041">
        <v>1297.5803223</v>
      </c>
      <c r="H1041">
        <v>1283.3651123</v>
      </c>
      <c r="I1041">
        <v>1404.3616943</v>
      </c>
      <c r="J1041">
        <v>1384.0549315999999</v>
      </c>
      <c r="K1041">
        <v>0</v>
      </c>
      <c r="L1041">
        <v>2750</v>
      </c>
      <c r="M1041">
        <v>2750</v>
      </c>
      <c r="N1041">
        <v>0</v>
      </c>
    </row>
    <row r="1042" spans="1:14" x14ac:dyDescent="0.25">
      <c r="A1042">
        <v>552.51646600000004</v>
      </c>
      <c r="B1042" s="1">
        <f>DATE(2011,11,4) + TIME(12,23,42)</f>
        <v>40851.516458333332</v>
      </c>
      <c r="C1042">
        <v>80</v>
      </c>
      <c r="D1042">
        <v>79.271667480000005</v>
      </c>
      <c r="E1042">
        <v>60</v>
      </c>
      <c r="F1042">
        <v>59.801971436000002</v>
      </c>
      <c r="G1042">
        <v>1297.5714111</v>
      </c>
      <c r="H1042">
        <v>1283.3547363</v>
      </c>
      <c r="I1042">
        <v>1404.2449951000001</v>
      </c>
      <c r="J1042">
        <v>1383.9571533000001</v>
      </c>
      <c r="K1042">
        <v>0</v>
      </c>
      <c r="L1042">
        <v>2750</v>
      </c>
      <c r="M1042">
        <v>2750</v>
      </c>
      <c r="N1042">
        <v>0</v>
      </c>
    </row>
    <row r="1043" spans="1:14" x14ac:dyDescent="0.25">
      <c r="A1043">
        <v>552.71892000000003</v>
      </c>
      <c r="B1043" s="1">
        <f>DATE(2011,11,4) + TIME(17,15,14)</f>
        <v>40851.718912037039</v>
      </c>
      <c r="C1043">
        <v>80</v>
      </c>
      <c r="D1043">
        <v>79.239288329999994</v>
      </c>
      <c r="E1043">
        <v>60</v>
      </c>
      <c r="F1043">
        <v>59.836330414000003</v>
      </c>
      <c r="G1043">
        <v>1297.5618896000001</v>
      </c>
      <c r="H1043">
        <v>1283.34375</v>
      </c>
      <c r="I1043">
        <v>1404.1292725000001</v>
      </c>
      <c r="J1043">
        <v>1383.8586425999999</v>
      </c>
      <c r="K1043">
        <v>0</v>
      </c>
      <c r="L1043">
        <v>2750</v>
      </c>
      <c r="M1043">
        <v>2750</v>
      </c>
      <c r="N1043">
        <v>0</v>
      </c>
    </row>
    <row r="1044" spans="1:14" x14ac:dyDescent="0.25">
      <c r="A1044">
        <v>552.93298100000004</v>
      </c>
      <c r="B1044" s="1">
        <f>DATE(2011,11,4) + TIME(22,23,29)</f>
        <v>40851.932974537034</v>
      </c>
      <c r="C1044">
        <v>80</v>
      </c>
      <c r="D1044">
        <v>79.205360412999994</v>
      </c>
      <c r="E1044">
        <v>60</v>
      </c>
      <c r="F1044">
        <v>59.864044188999998</v>
      </c>
      <c r="G1044">
        <v>1297.5517577999999</v>
      </c>
      <c r="H1044">
        <v>1283.3321533000001</v>
      </c>
      <c r="I1044">
        <v>1404.0147704999999</v>
      </c>
      <c r="J1044">
        <v>1383.7597656</v>
      </c>
      <c r="K1044">
        <v>0</v>
      </c>
      <c r="L1044">
        <v>2750</v>
      </c>
      <c r="M1044">
        <v>2750</v>
      </c>
      <c r="N1044">
        <v>0</v>
      </c>
    </row>
    <row r="1045" spans="1:14" x14ac:dyDescent="0.25">
      <c r="A1045">
        <v>553.16055700000004</v>
      </c>
      <c r="B1045" s="1">
        <f>DATE(2011,11,5) + TIME(3,51,12)</f>
        <v>40852.160555555558</v>
      </c>
      <c r="C1045">
        <v>80</v>
      </c>
      <c r="D1045">
        <v>79.169639587000006</v>
      </c>
      <c r="E1045">
        <v>60</v>
      </c>
      <c r="F1045">
        <v>59.886219025000003</v>
      </c>
      <c r="G1045">
        <v>1297.5411377</v>
      </c>
      <c r="H1045">
        <v>1283.3199463000001</v>
      </c>
      <c r="I1045">
        <v>1403.9011230000001</v>
      </c>
      <c r="J1045">
        <v>1383.6605225000001</v>
      </c>
      <c r="K1045">
        <v>0</v>
      </c>
      <c r="L1045">
        <v>2750</v>
      </c>
      <c r="M1045">
        <v>2750</v>
      </c>
      <c r="N1045">
        <v>0</v>
      </c>
    </row>
    <row r="1046" spans="1:14" x14ac:dyDescent="0.25">
      <c r="A1046">
        <v>553.40384400000005</v>
      </c>
      <c r="B1046" s="1">
        <f>DATE(2011,11,5) + TIME(9,41,32)</f>
        <v>40852.40384259259</v>
      </c>
      <c r="C1046">
        <v>80</v>
      </c>
      <c r="D1046">
        <v>79.131866454999994</v>
      </c>
      <c r="E1046">
        <v>60</v>
      </c>
      <c r="F1046">
        <v>59.903789519999997</v>
      </c>
      <c r="G1046">
        <v>1297.5299072</v>
      </c>
      <c r="H1046">
        <v>1283.3070068</v>
      </c>
      <c r="I1046">
        <v>1403.7877197</v>
      </c>
      <c r="J1046">
        <v>1383.5605469</v>
      </c>
      <c r="K1046">
        <v>0</v>
      </c>
      <c r="L1046">
        <v>2750</v>
      </c>
      <c r="M1046">
        <v>2750</v>
      </c>
      <c r="N1046">
        <v>0</v>
      </c>
    </row>
    <row r="1047" spans="1:14" x14ac:dyDescent="0.25">
      <c r="A1047">
        <v>553.65711099999999</v>
      </c>
      <c r="B1047" s="1">
        <f>DATE(2011,11,5) + TIME(15,46,14)</f>
        <v>40852.657106481478</v>
      </c>
      <c r="C1047">
        <v>80</v>
      </c>
      <c r="D1047">
        <v>79.092666625999996</v>
      </c>
      <c r="E1047">
        <v>60</v>
      </c>
      <c r="F1047">
        <v>59.917240143000001</v>
      </c>
      <c r="G1047">
        <v>1297.5178223</v>
      </c>
      <c r="H1047">
        <v>1283.2930908000001</v>
      </c>
      <c r="I1047">
        <v>1403.6737060999999</v>
      </c>
      <c r="J1047">
        <v>1383.4592285000001</v>
      </c>
      <c r="K1047">
        <v>0</v>
      </c>
      <c r="L1047">
        <v>2750</v>
      </c>
      <c r="M1047">
        <v>2750</v>
      </c>
      <c r="N1047">
        <v>0</v>
      </c>
    </row>
    <row r="1048" spans="1:14" x14ac:dyDescent="0.25">
      <c r="A1048">
        <v>553.91231800000003</v>
      </c>
      <c r="B1048" s="1">
        <f>DATE(2011,11,5) + TIME(21,53,44)</f>
        <v>40852.912314814814</v>
      </c>
      <c r="C1048">
        <v>80</v>
      </c>
      <c r="D1048">
        <v>79.053001404</v>
      </c>
      <c r="E1048">
        <v>60</v>
      </c>
      <c r="F1048">
        <v>59.927207946999999</v>
      </c>
      <c r="G1048">
        <v>1297.5051269999999</v>
      </c>
      <c r="H1048">
        <v>1283.2788086</v>
      </c>
      <c r="I1048">
        <v>1403.5618896000001</v>
      </c>
      <c r="J1048">
        <v>1383.3592529</v>
      </c>
      <c r="K1048">
        <v>0</v>
      </c>
      <c r="L1048">
        <v>2750</v>
      </c>
      <c r="M1048">
        <v>2750</v>
      </c>
      <c r="N1048">
        <v>0</v>
      </c>
    </row>
    <row r="1049" spans="1:14" x14ac:dyDescent="0.25">
      <c r="A1049">
        <v>554.17097200000001</v>
      </c>
      <c r="B1049" s="1">
        <f>DATE(2011,11,6) + TIME(4,6,12)</f>
        <v>40853.170972222222</v>
      </c>
      <c r="C1049">
        <v>80</v>
      </c>
      <c r="D1049">
        <v>79.012794494999994</v>
      </c>
      <c r="E1049">
        <v>60</v>
      </c>
      <c r="F1049">
        <v>59.934638976999999</v>
      </c>
      <c r="G1049">
        <v>1297.4924315999999</v>
      </c>
      <c r="H1049">
        <v>1283.2642822</v>
      </c>
      <c r="I1049">
        <v>1403.4552002</v>
      </c>
      <c r="J1049">
        <v>1383.2634277</v>
      </c>
      <c r="K1049">
        <v>0</v>
      </c>
      <c r="L1049">
        <v>2750</v>
      </c>
      <c r="M1049">
        <v>2750</v>
      </c>
      <c r="N1049">
        <v>0</v>
      </c>
    </row>
    <row r="1050" spans="1:14" x14ac:dyDescent="0.25">
      <c r="A1050">
        <v>554.43459499999994</v>
      </c>
      <c r="B1050" s="1">
        <f>DATE(2011,11,6) + TIME(10,25,49)</f>
        <v>40853.434594907405</v>
      </c>
      <c r="C1050">
        <v>80</v>
      </c>
      <c r="D1050">
        <v>78.971946716000005</v>
      </c>
      <c r="E1050">
        <v>60</v>
      </c>
      <c r="F1050">
        <v>59.940200806</v>
      </c>
      <c r="G1050">
        <v>1297.4796143000001</v>
      </c>
      <c r="H1050">
        <v>1283.2496338000001</v>
      </c>
      <c r="I1050">
        <v>1403.3522949000001</v>
      </c>
      <c r="J1050">
        <v>1383.1708983999999</v>
      </c>
      <c r="K1050">
        <v>0</v>
      </c>
      <c r="L1050">
        <v>2750</v>
      </c>
      <c r="M1050">
        <v>2750</v>
      </c>
      <c r="N1050">
        <v>0</v>
      </c>
    </row>
    <row r="1051" spans="1:14" x14ac:dyDescent="0.25">
      <c r="A1051">
        <v>554.70466099999999</v>
      </c>
      <c r="B1051" s="1">
        <f>DATE(2011,11,6) + TIME(16,54,42)</f>
        <v>40853.704652777778</v>
      </c>
      <c r="C1051">
        <v>80</v>
      </c>
      <c r="D1051">
        <v>78.930328368999994</v>
      </c>
      <c r="E1051">
        <v>60</v>
      </c>
      <c r="F1051">
        <v>59.944381714000002</v>
      </c>
      <c r="G1051">
        <v>1297.4665527</v>
      </c>
      <c r="H1051">
        <v>1283.2347411999999</v>
      </c>
      <c r="I1051">
        <v>1403.2525635</v>
      </c>
      <c r="J1051">
        <v>1383.0809326000001</v>
      </c>
      <c r="K1051">
        <v>0</v>
      </c>
      <c r="L1051">
        <v>2750</v>
      </c>
      <c r="M1051">
        <v>2750</v>
      </c>
      <c r="N1051">
        <v>0</v>
      </c>
    </row>
    <row r="1052" spans="1:14" x14ac:dyDescent="0.25">
      <c r="A1052">
        <v>554.982707</v>
      </c>
      <c r="B1052" s="1">
        <f>DATE(2011,11,6) + TIME(23,35,5)</f>
        <v>40853.98269675926</v>
      </c>
      <c r="C1052">
        <v>80</v>
      </c>
      <c r="D1052">
        <v>78.887779236</v>
      </c>
      <c r="E1052">
        <v>60</v>
      </c>
      <c r="F1052">
        <v>59.947528839</v>
      </c>
      <c r="G1052">
        <v>1297.4532471</v>
      </c>
      <c r="H1052">
        <v>1283.2193603999999</v>
      </c>
      <c r="I1052">
        <v>1403.1549072</v>
      </c>
      <c r="J1052">
        <v>1382.9929199000001</v>
      </c>
      <c r="K1052">
        <v>0</v>
      </c>
      <c r="L1052">
        <v>2750</v>
      </c>
      <c r="M1052">
        <v>2750</v>
      </c>
      <c r="N1052">
        <v>0</v>
      </c>
    </row>
    <row r="1053" spans="1:14" x14ac:dyDescent="0.25">
      <c r="A1053">
        <v>555.27039100000002</v>
      </c>
      <c r="B1053" s="1">
        <f>DATE(2011,11,7) + TIME(6,29,21)</f>
        <v>40854.270381944443</v>
      </c>
      <c r="C1053">
        <v>80</v>
      </c>
      <c r="D1053">
        <v>78.844123839999995</v>
      </c>
      <c r="E1053">
        <v>60</v>
      </c>
      <c r="F1053">
        <v>59.949905395999998</v>
      </c>
      <c r="G1053">
        <v>1297.4395752</v>
      </c>
      <c r="H1053">
        <v>1283.2037353999999</v>
      </c>
      <c r="I1053">
        <v>1403.0588379000001</v>
      </c>
      <c r="J1053">
        <v>1382.90625</v>
      </c>
      <c r="K1053">
        <v>0</v>
      </c>
      <c r="L1053">
        <v>2750</v>
      </c>
      <c r="M1053">
        <v>2750</v>
      </c>
      <c r="N1053">
        <v>0</v>
      </c>
    </row>
    <row r="1054" spans="1:14" x14ac:dyDescent="0.25">
      <c r="A1054">
        <v>555.56956000000002</v>
      </c>
      <c r="B1054" s="1">
        <f>DATE(2011,11,7) + TIME(13,40,9)</f>
        <v>40854.569548611114</v>
      </c>
      <c r="C1054">
        <v>80</v>
      </c>
      <c r="D1054">
        <v>78.799156189000001</v>
      </c>
      <c r="E1054">
        <v>60</v>
      </c>
      <c r="F1054">
        <v>59.951705933</v>
      </c>
      <c r="G1054">
        <v>1297.4254149999999</v>
      </c>
      <c r="H1054">
        <v>1283.1875</v>
      </c>
      <c r="I1054">
        <v>1402.9637451000001</v>
      </c>
      <c r="J1054">
        <v>1382.8204346</v>
      </c>
      <c r="K1054">
        <v>0</v>
      </c>
      <c r="L1054">
        <v>2750</v>
      </c>
      <c r="M1054">
        <v>2750</v>
      </c>
      <c r="N1054">
        <v>0</v>
      </c>
    </row>
    <row r="1055" spans="1:14" x14ac:dyDescent="0.25">
      <c r="A1055">
        <v>555.88109899999995</v>
      </c>
      <c r="B1055" s="1">
        <f>DATE(2011,11,7) + TIME(21,8,46)</f>
        <v>40854.88108796296</v>
      </c>
      <c r="C1055">
        <v>80</v>
      </c>
      <c r="D1055">
        <v>78.752746582</v>
      </c>
      <c r="E1055">
        <v>60</v>
      </c>
      <c r="F1055">
        <v>59.953067779999998</v>
      </c>
      <c r="G1055">
        <v>1297.4106445</v>
      </c>
      <c r="H1055">
        <v>1283.1705322</v>
      </c>
      <c r="I1055">
        <v>1402.8690185999999</v>
      </c>
      <c r="J1055">
        <v>1382.7351074000001</v>
      </c>
      <c r="K1055">
        <v>0</v>
      </c>
      <c r="L1055">
        <v>2750</v>
      </c>
      <c r="M1055">
        <v>2750</v>
      </c>
      <c r="N1055">
        <v>0</v>
      </c>
    </row>
    <row r="1056" spans="1:14" x14ac:dyDescent="0.25">
      <c r="A1056">
        <v>556.20259599999997</v>
      </c>
      <c r="B1056" s="1">
        <f>DATE(2011,11,8) + TIME(4,51,44)</f>
        <v>40855.202592592592</v>
      </c>
      <c r="C1056">
        <v>80</v>
      </c>
      <c r="D1056">
        <v>78.705131531000006</v>
      </c>
      <c r="E1056">
        <v>60</v>
      </c>
      <c r="F1056">
        <v>59.954090118000003</v>
      </c>
      <c r="G1056">
        <v>1297.3953856999999</v>
      </c>
      <c r="H1056">
        <v>1283.1530762</v>
      </c>
      <c r="I1056">
        <v>1402.7744141000001</v>
      </c>
      <c r="J1056">
        <v>1382.6499022999999</v>
      </c>
      <c r="K1056">
        <v>0</v>
      </c>
      <c r="L1056">
        <v>2750</v>
      </c>
      <c r="M1056">
        <v>2750</v>
      </c>
      <c r="N1056">
        <v>0</v>
      </c>
    </row>
    <row r="1057" spans="1:14" x14ac:dyDescent="0.25">
      <c r="A1057">
        <v>556.53592500000002</v>
      </c>
      <c r="B1057" s="1">
        <f>DATE(2011,11,8) + TIME(12,51,43)</f>
        <v>40855.535914351851</v>
      </c>
      <c r="C1057">
        <v>80</v>
      </c>
      <c r="D1057">
        <v>78.656143188000001</v>
      </c>
      <c r="E1057">
        <v>60</v>
      </c>
      <c r="F1057">
        <v>59.954868316999999</v>
      </c>
      <c r="G1057">
        <v>1297.3795166</v>
      </c>
      <c r="H1057">
        <v>1283.1350098</v>
      </c>
      <c r="I1057">
        <v>1402.6809082</v>
      </c>
      <c r="J1057">
        <v>1382.5657959</v>
      </c>
      <c r="K1057">
        <v>0</v>
      </c>
      <c r="L1057">
        <v>2750</v>
      </c>
      <c r="M1057">
        <v>2750</v>
      </c>
      <c r="N1057">
        <v>0</v>
      </c>
    </row>
    <row r="1058" spans="1:14" x14ac:dyDescent="0.25">
      <c r="A1058">
        <v>556.88306899999998</v>
      </c>
      <c r="B1058" s="1">
        <f>DATE(2011,11,8) + TIME(21,11,37)</f>
        <v>40855.883067129631</v>
      </c>
      <c r="C1058">
        <v>80</v>
      </c>
      <c r="D1058">
        <v>78.605567932</v>
      </c>
      <c r="E1058">
        <v>60</v>
      </c>
      <c r="F1058">
        <v>59.955463408999996</v>
      </c>
      <c r="G1058">
        <v>1297.3631591999999</v>
      </c>
      <c r="H1058">
        <v>1283.1162108999999</v>
      </c>
      <c r="I1058">
        <v>1402.5878906</v>
      </c>
      <c r="J1058">
        <v>1382.4821777</v>
      </c>
      <c r="K1058">
        <v>0</v>
      </c>
      <c r="L1058">
        <v>2750</v>
      </c>
      <c r="M1058">
        <v>2750</v>
      </c>
      <c r="N1058">
        <v>0</v>
      </c>
    </row>
    <row r="1059" spans="1:14" x14ac:dyDescent="0.25">
      <c r="A1059">
        <v>557.24632299999996</v>
      </c>
      <c r="B1059" s="1">
        <f>DATE(2011,11,9) + TIME(5,54,42)</f>
        <v>40856.246319444443</v>
      </c>
      <c r="C1059">
        <v>80</v>
      </c>
      <c r="D1059">
        <v>78.553169249999996</v>
      </c>
      <c r="E1059">
        <v>60</v>
      </c>
      <c r="F1059">
        <v>59.955921173</v>
      </c>
      <c r="G1059">
        <v>1297.3461914</v>
      </c>
      <c r="H1059">
        <v>1283.0966797000001</v>
      </c>
      <c r="I1059">
        <v>1402.4948730000001</v>
      </c>
      <c r="J1059">
        <v>1382.3986815999999</v>
      </c>
      <c r="K1059">
        <v>0</v>
      </c>
      <c r="L1059">
        <v>2750</v>
      </c>
      <c r="M1059">
        <v>2750</v>
      </c>
      <c r="N1059">
        <v>0</v>
      </c>
    </row>
    <row r="1060" spans="1:14" x14ac:dyDescent="0.25">
      <c r="A1060">
        <v>557.62838199999999</v>
      </c>
      <c r="B1060" s="1">
        <f>DATE(2011,11,9) + TIME(15,4,52)</f>
        <v>40856.628379629627</v>
      </c>
      <c r="C1060">
        <v>80</v>
      </c>
      <c r="D1060">
        <v>78.498657226999995</v>
      </c>
      <c r="E1060">
        <v>60</v>
      </c>
      <c r="F1060">
        <v>59.956279754999997</v>
      </c>
      <c r="G1060">
        <v>1297.3283690999999</v>
      </c>
      <c r="H1060">
        <v>1283.0762939000001</v>
      </c>
      <c r="I1060">
        <v>1402.4014893000001</v>
      </c>
      <c r="J1060">
        <v>1382.3149414</v>
      </c>
      <c r="K1060">
        <v>0</v>
      </c>
      <c r="L1060">
        <v>2750</v>
      </c>
      <c r="M1060">
        <v>2750</v>
      </c>
      <c r="N1060">
        <v>0</v>
      </c>
    </row>
    <row r="1061" spans="1:14" x14ac:dyDescent="0.25">
      <c r="A1061">
        <v>558.03156799999999</v>
      </c>
      <c r="B1061" s="1">
        <f>DATE(2011,11,10) + TIME(0,45,27)</f>
        <v>40857.0315625</v>
      </c>
      <c r="C1061">
        <v>80</v>
      </c>
      <c r="D1061">
        <v>78.441764832000004</v>
      </c>
      <c r="E1061">
        <v>60</v>
      </c>
      <c r="F1061">
        <v>59.956558227999999</v>
      </c>
      <c r="G1061">
        <v>1297.3096923999999</v>
      </c>
      <c r="H1061">
        <v>1283.0548096</v>
      </c>
      <c r="I1061">
        <v>1402.307251</v>
      </c>
      <c r="J1061">
        <v>1382.2304687999999</v>
      </c>
      <c r="K1061">
        <v>0</v>
      </c>
      <c r="L1061">
        <v>2750</v>
      </c>
      <c r="M1061">
        <v>2750</v>
      </c>
      <c r="N1061">
        <v>0</v>
      </c>
    </row>
    <row r="1062" spans="1:14" x14ac:dyDescent="0.25">
      <c r="A1062">
        <v>558.43726500000002</v>
      </c>
      <c r="B1062" s="1">
        <f>DATE(2011,11,10) + TIME(10,29,39)</f>
        <v>40857.437256944446</v>
      </c>
      <c r="C1062">
        <v>80</v>
      </c>
      <c r="D1062">
        <v>78.384094238000003</v>
      </c>
      <c r="E1062">
        <v>60</v>
      </c>
      <c r="F1062">
        <v>59.956771850999999</v>
      </c>
      <c r="G1062">
        <v>1297.2899170000001</v>
      </c>
      <c r="H1062">
        <v>1283.0322266000001</v>
      </c>
      <c r="I1062">
        <v>1402.2116699000001</v>
      </c>
      <c r="J1062">
        <v>1382.1451416</v>
      </c>
      <c r="K1062">
        <v>0</v>
      </c>
      <c r="L1062">
        <v>2750</v>
      </c>
      <c r="M1062">
        <v>2750</v>
      </c>
      <c r="N1062">
        <v>0</v>
      </c>
    </row>
    <row r="1063" spans="1:14" x14ac:dyDescent="0.25">
      <c r="A1063">
        <v>558.84775500000001</v>
      </c>
      <c r="B1063" s="1">
        <f>DATE(2011,11,10) + TIME(20,20,46)</f>
        <v>40857.847754629627</v>
      </c>
      <c r="C1063">
        <v>80</v>
      </c>
      <c r="D1063">
        <v>78.325744628999999</v>
      </c>
      <c r="E1063">
        <v>60</v>
      </c>
      <c r="F1063">
        <v>59.956935883</v>
      </c>
      <c r="G1063">
        <v>1297.2698975000001</v>
      </c>
      <c r="H1063">
        <v>1283.0095214999999</v>
      </c>
      <c r="I1063">
        <v>1402.1195068</v>
      </c>
      <c r="J1063">
        <v>1382.0627440999999</v>
      </c>
      <c r="K1063">
        <v>0</v>
      </c>
      <c r="L1063">
        <v>2750</v>
      </c>
      <c r="M1063">
        <v>2750</v>
      </c>
      <c r="N1063">
        <v>0</v>
      </c>
    </row>
    <row r="1064" spans="1:14" x14ac:dyDescent="0.25">
      <c r="A1064">
        <v>559.26531799999998</v>
      </c>
      <c r="B1064" s="1">
        <f>DATE(2011,11,11) + TIME(6,22,3)</f>
        <v>40858.2653125</v>
      </c>
      <c r="C1064">
        <v>80</v>
      </c>
      <c r="D1064">
        <v>78.266654967999997</v>
      </c>
      <c r="E1064">
        <v>60</v>
      </c>
      <c r="F1064">
        <v>59.957065581999998</v>
      </c>
      <c r="G1064">
        <v>1297.2497559000001</v>
      </c>
      <c r="H1064">
        <v>1282.9864502</v>
      </c>
      <c r="I1064">
        <v>1402.0297852000001</v>
      </c>
      <c r="J1064">
        <v>1381.9827881000001</v>
      </c>
      <c r="K1064">
        <v>0</v>
      </c>
      <c r="L1064">
        <v>2750</v>
      </c>
      <c r="M1064">
        <v>2750</v>
      </c>
      <c r="N1064">
        <v>0</v>
      </c>
    </row>
    <row r="1065" spans="1:14" x14ac:dyDescent="0.25">
      <c r="A1065">
        <v>559.69226000000003</v>
      </c>
      <c r="B1065" s="1">
        <f>DATE(2011,11,11) + TIME(16,36,51)</f>
        <v>40858.692256944443</v>
      </c>
      <c r="C1065">
        <v>80</v>
      </c>
      <c r="D1065">
        <v>78.206672667999996</v>
      </c>
      <c r="E1065">
        <v>60</v>
      </c>
      <c r="F1065">
        <v>59.957168578999998</v>
      </c>
      <c r="G1065">
        <v>1297.2292480000001</v>
      </c>
      <c r="H1065">
        <v>1282.9628906</v>
      </c>
      <c r="I1065">
        <v>1401.9420166</v>
      </c>
      <c r="J1065">
        <v>1381.9045410000001</v>
      </c>
      <c r="K1065">
        <v>0</v>
      </c>
      <c r="L1065">
        <v>2750</v>
      </c>
      <c r="M1065">
        <v>2750</v>
      </c>
      <c r="N1065">
        <v>0</v>
      </c>
    </row>
    <row r="1066" spans="1:14" x14ac:dyDescent="0.25">
      <c r="A1066">
        <v>560.13096599999994</v>
      </c>
      <c r="B1066" s="1">
        <f>DATE(2011,11,12) + TIME(3,8,35)</f>
        <v>40859.130960648145</v>
      </c>
      <c r="C1066">
        <v>80</v>
      </c>
      <c r="D1066">
        <v>78.145599364999995</v>
      </c>
      <c r="E1066">
        <v>60</v>
      </c>
      <c r="F1066">
        <v>59.957252502000003</v>
      </c>
      <c r="G1066">
        <v>1297.2082519999999</v>
      </c>
      <c r="H1066">
        <v>1282.9388428</v>
      </c>
      <c r="I1066">
        <v>1401.8554687999999</v>
      </c>
      <c r="J1066">
        <v>1381.8277588000001</v>
      </c>
      <c r="K1066">
        <v>0</v>
      </c>
      <c r="L1066">
        <v>2750</v>
      </c>
      <c r="M1066">
        <v>2750</v>
      </c>
      <c r="N1066">
        <v>0</v>
      </c>
    </row>
    <row r="1067" spans="1:14" x14ac:dyDescent="0.25">
      <c r="A1067">
        <v>560.58401800000001</v>
      </c>
      <c r="B1067" s="1">
        <f>DATE(2011,11,12) + TIME(14,0,59)</f>
        <v>40859.584016203706</v>
      </c>
      <c r="C1067">
        <v>80</v>
      </c>
      <c r="D1067">
        <v>78.083190918</v>
      </c>
      <c r="E1067">
        <v>60</v>
      </c>
      <c r="F1067">
        <v>59.957321167000003</v>
      </c>
      <c r="G1067">
        <v>1297.1867675999999</v>
      </c>
      <c r="H1067">
        <v>1282.9140625</v>
      </c>
      <c r="I1067">
        <v>1401.7698975000001</v>
      </c>
      <c r="J1067">
        <v>1381.7517089999999</v>
      </c>
      <c r="K1067">
        <v>0</v>
      </c>
      <c r="L1067">
        <v>2750</v>
      </c>
      <c r="M1067">
        <v>2750</v>
      </c>
      <c r="N1067">
        <v>0</v>
      </c>
    </row>
    <row r="1068" spans="1:14" x14ac:dyDescent="0.25">
      <c r="A1068">
        <v>561.05428900000004</v>
      </c>
      <c r="B1068" s="1">
        <f>DATE(2011,11,13) + TIME(1,18,10)</f>
        <v>40860.054282407407</v>
      </c>
      <c r="C1068">
        <v>80</v>
      </c>
      <c r="D1068">
        <v>78.019134520999998</v>
      </c>
      <c r="E1068">
        <v>60</v>
      </c>
      <c r="F1068">
        <v>59.957378386999999</v>
      </c>
      <c r="G1068">
        <v>1297.1644286999999</v>
      </c>
      <c r="H1068">
        <v>1282.8885498</v>
      </c>
      <c r="I1068">
        <v>1401.6846923999999</v>
      </c>
      <c r="J1068">
        <v>1381.6760254000001</v>
      </c>
      <c r="K1068">
        <v>0</v>
      </c>
      <c r="L1068">
        <v>2750</v>
      </c>
      <c r="M1068">
        <v>2750</v>
      </c>
      <c r="N1068">
        <v>0</v>
      </c>
    </row>
    <row r="1069" spans="1:14" x14ac:dyDescent="0.25">
      <c r="A1069">
        <v>561.54504299999996</v>
      </c>
      <c r="B1069" s="1">
        <f>DATE(2011,11,13) + TIME(13,4,51)</f>
        <v>40860.545034722221</v>
      </c>
      <c r="C1069">
        <v>80</v>
      </c>
      <c r="D1069">
        <v>77.953102111999996</v>
      </c>
      <c r="E1069">
        <v>60</v>
      </c>
      <c r="F1069">
        <v>59.957424164000003</v>
      </c>
      <c r="G1069">
        <v>1297.1413574000001</v>
      </c>
      <c r="H1069">
        <v>1282.8619385</v>
      </c>
      <c r="I1069">
        <v>1401.5992432</v>
      </c>
      <c r="J1069">
        <v>1381.6004639</v>
      </c>
      <c r="K1069">
        <v>0</v>
      </c>
      <c r="L1069">
        <v>2750</v>
      </c>
      <c r="M1069">
        <v>2750</v>
      </c>
      <c r="N1069">
        <v>0</v>
      </c>
    </row>
    <row r="1070" spans="1:14" x14ac:dyDescent="0.25">
      <c r="A1070">
        <v>562.047145</v>
      </c>
      <c r="B1070" s="1">
        <f>DATE(2011,11,14) + TIME(1,7,53)</f>
        <v>40861.0471412037</v>
      </c>
      <c r="C1070">
        <v>80</v>
      </c>
      <c r="D1070">
        <v>77.885711670000006</v>
      </c>
      <c r="E1070">
        <v>60</v>
      </c>
      <c r="F1070">
        <v>59.957466125000003</v>
      </c>
      <c r="G1070">
        <v>1297.1170654</v>
      </c>
      <c r="H1070">
        <v>1282.8342285000001</v>
      </c>
      <c r="I1070">
        <v>1401.5134277</v>
      </c>
      <c r="J1070">
        <v>1381.5244141000001</v>
      </c>
      <c r="K1070">
        <v>0</v>
      </c>
      <c r="L1070">
        <v>2750</v>
      </c>
      <c r="M1070">
        <v>2750</v>
      </c>
      <c r="N1070">
        <v>0</v>
      </c>
    </row>
    <row r="1071" spans="1:14" x14ac:dyDescent="0.25">
      <c r="A1071">
        <v>562.56337799999994</v>
      </c>
      <c r="B1071" s="1">
        <f>DATE(2011,11,14) + TIME(13,31,15)</f>
        <v>40861.563368055555</v>
      </c>
      <c r="C1071">
        <v>80</v>
      </c>
      <c r="D1071">
        <v>77.816879271999994</v>
      </c>
      <c r="E1071">
        <v>60</v>
      </c>
      <c r="F1071">
        <v>59.957496642999999</v>
      </c>
      <c r="G1071">
        <v>1297.0922852000001</v>
      </c>
      <c r="H1071">
        <v>1282.8057861</v>
      </c>
      <c r="I1071">
        <v>1401.4285889</v>
      </c>
      <c r="J1071">
        <v>1381.4493408000001</v>
      </c>
      <c r="K1071">
        <v>0</v>
      </c>
      <c r="L1071">
        <v>2750</v>
      </c>
      <c r="M1071">
        <v>2750</v>
      </c>
      <c r="N1071">
        <v>0</v>
      </c>
    </row>
    <row r="1072" spans="1:14" x14ac:dyDescent="0.25">
      <c r="A1072">
        <v>563.096543</v>
      </c>
      <c r="B1072" s="1">
        <f>DATE(2011,11,15) + TIME(2,19,1)</f>
        <v>40862.096539351849</v>
      </c>
      <c r="C1072">
        <v>80</v>
      </c>
      <c r="D1072">
        <v>77.746437072999996</v>
      </c>
      <c r="E1072">
        <v>60</v>
      </c>
      <c r="F1072">
        <v>59.957527161000002</v>
      </c>
      <c r="G1072">
        <v>1297.0667725000001</v>
      </c>
      <c r="H1072">
        <v>1282.7763672000001</v>
      </c>
      <c r="I1072">
        <v>1401.3443603999999</v>
      </c>
      <c r="J1072">
        <v>1381.3751221</v>
      </c>
      <c r="K1072">
        <v>0</v>
      </c>
      <c r="L1072">
        <v>2750</v>
      </c>
      <c r="M1072">
        <v>2750</v>
      </c>
      <c r="N1072">
        <v>0</v>
      </c>
    </row>
    <row r="1073" spans="1:14" x14ac:dyDescent="0.25">
      <c r="A1073">
        <v>563.64633700000002</v>
      </c>
      <c r="B1073" s="1">
        <f>DATE(2011,11,15) + TIME(15,30,43)</f>
        <v>40862.646331018521</v>
      </c>
      <c r="C1073">
        <v>80</v>
      </c>
      <c r="D1073">
        <v>77.674369811999995</v>
      </c>
      <c r="E1073">
        <v>60</v>
      </c>
      <c r="F1073">
        <v>59.957550048999998</v>
      </c>
      <c r="G1073">
        <v>1297.0402832</v>
      </c>
      <c r="H1073">
        <v>1282.7459716999999</v>
      </c>
      <c r="I1073">
        <v>1401.2604980000001</v>
      </c>
      <c r="J1073">
        <v>1381.3010254000001</v>
      </c>
      <c r="K1073">
        <v>0</v>
      </c>
      <c r="L1073">
        <v>2750</v>
      </c>
      <c r="M1073">
        <v>2750</v>
      </c>
      <c r="N1073">
        <v>0</v>
      </c>
    </row>
    <row r="1074" spans="1:14" x14ac:dyDescent="0.25">
      <c r="A1074">
        <v>564.20220500000005</v>
      </c>
      <c r="B1074" s="1">
        <f>DATE(2011,11,16) + TIME(4,51,10)</f>
        <v>40863.202199074076</v>
      </c>
      <c r="C1074">
        <v>80</v>
      </c>
      <c r="D1074">
        <v>77.601486206000004</v>
      </c>
      <c r="E1074">
        <v>60</v>
      </c>
      <c r="F1074">
        <v>59.957572937000002</v>
      </c>
      <c r="G1074">
        <v>1297.0129394999999</v>
      </c>
      <c r="H1074">
        <v>1282.7145995999999</v>
      </c>
      <c r="I1074">
        <v>1401.1768798999999</v>
      </c>
      <c r="J1074">
        <v>1381.2274170000001</v>
      </c>
      <c r="K1074">
        <v>0</v>
      </c>
      <c r="L1074">
        <v>2750</v>
      </c>
      <c r="M1074">
        <v>2750</v>
      </c>
      <c r="N1074">
        <v>0</v>
      </c>
    </row>
    <row r="1075" spans="1:14" x14ac:dyDescent="0.25">
      <c r="A1075">
        <v>564.76742300000001</v>
      </c>
      <c r="B1075" s="1">
        <f>DATE(2011,11,16) + TIME(18,25,5)</f>
        <v>40863.767418981479</v>
      </c>
      <c r="C1075">
        <v>80</v>
      </c>
      <c r="D1075">
        <v>77.527786254999995</v>
      </c>
      <c r="E1075">
        <v>60</v>
      </c>
      <c r="F1075">
        <v>59.957592009999999</v>
      </c>
      <c r="G1075">
        <v>1296.9852295000001</v>
      </c>
      <c r="H1075">
        <v>1282.6827393000001</v>
      </c>
      <c r="I1075">
        <v>1401.0953368999999</v>
      </c>
      <c r="J1075">
        <v>1381.1555175999999</v>
      </c>
      <c r="K1075">
        <v>0</v>
      </c>
      <c r="L1075">
        <v>2750</v>
      </c>
      <c r="M1075">
        <v>2750</v>
      </c>
      <c r="N1075">
        <v>0</v>
      </c>
    </row>
    <row r="1076" spans="1:14" x14ac:dyDescent="0.25">
      <c r="A1076">
        <v>565.34521800000005</v>
      </c>
      <c r="B1076" s="1">
        <f>DATE(2011,11,17) + TIME(8,17,6)</f>
        <v>40864.345208333332</v>
      </c>
      <c r="C1076">
        <v>80</v>
      </c>
      <c r="D1076">
        <v>77.453132628999995</v>
      </c>
      <c r="E1076">
        <v>60</v>
      </c>
      <c r="F1076">
        <v>59.957611084</v>
      </c>
      <c r="G1076">
        <v>1296.9569091999999</v>
      </c>
      <c r="H1076">
        <v>1282.6502685999999</v>
      </c>
      <c r="I1076">
        <v>1401.0150146000001</v>
      </c>
      <c r="J1076">
        <v>1381.0848389</v>
      </c>
      <c r="K1076">
        <v>0</v>
      </c>
      <c r="L1076">
        <v>2750</v>
      </c>
      <c r="M1076">
        <v>2750</v>
      </c>
      <c r="N1076">
        <v>0</v>
      </c>
    </row>
    <row r="1077" spans="1:14" x14ac:dyDescent="0.25">
      <c r="A1077">
        <v>565.93901400000004</v>
      </c>
      <c r="B1077" s="1">
        <f>DATE(2011,11,17) + TIME(22,32,10)</f>
        <v>40864.939004629632</v>
      </c>
      <c r="C1077">
        <v>80</v>
      </c>
      <c r="D1077">
        <v>77.377243042000003</v>
      </c>
      <c r="E1077">
        <v>60</v>
      </c>
      <c r="F1077">
        <v>59.957626343000001</v>
      </c>
      <c r="G1077">
        <v>1296.9279785000001</v>
      </c>
      <c r="H1077">
        <v>1282.6168213000001</v>
      </c>
      <c r="I1077">
        <v>1400.9356689000001</v>
      </c>
      <c r="J1077">
        <v>1381.0151367000001</v>
      </c>
      <c r="K1077">
        <v>0</v>
      </c>
      <c r="L1077">
        <v>2750</v>
      </c>
      <c r="M1077">
        <v>2750</v>
      </c>
      <c r="N1077">
        <v>0</v>
      </c>
    </row>
    <row r="1078" spans="1:14" x14ac:dyDescent="0.25">
      <c r="A1078">
        <v>566.55256199999997</v>
      </c>
      <c r="B1078" s="1">
        <f>DATE(2011,11,18) + TIME(13,15,41)</f>
        <v>40865.552557870367</v>
      </c>
      <c r="C1078">
        <v>80</v>
      </c>
      <c r="D1078">
        <v>77.299797057999996</v>
      </c>
      <c r="E1078">
        <v>60</v>
      </c>
      <c r="F1078">
        <v>59.957645415999998</v>
      </c>
      <c r="G1078">
        <v>1296.8981934000001</v>
      </c>
      <c r="H1078">
        <v>1282.5825195</v>
      </c>
      <c r="I1078">
        <v>1400.8566894999999</v>
      </c>
      <c r="J1078">
        <v>1380.9458007999999</v>
      </c>
      <c r="K1078">
        <v>0</v>
      </c>
      <c r="L1078">
        <v>2750</v>
      </c>
      <c r="M1078">
        <v>2750</v>
      </c>
      <c r="N1078">
        <v>0</v>
      </c>
    </row>
    <row r="1079" spans="1:14" x14ac:dyDescent="0.25">
      <c r="A1079">
        <v>567.19009600000004</v>
      </c>
      <c r="B1079" s="1">
        <f>DATE(2011,11,19) + TIME(4,33,44)</f>
        <v>40866.190092592595</v>
      </c>
      <c r="C1079">
        <v>80</v>
      </c>
      <c r="D1079">
        <v>77.220382689999994</v>
      </c>
      <c r="E1079">
        <v>60</v>
      </c>
      <c r="F1079">
        <v>59.957660675</v>
      </c>
      <c r="G1079">
        <v>1296.8673096</v>
      </c>
      <c r="H1079">
        <v>1282.5467529</v>
      </c>
      <c r="I1079">
        <v>1400.7777100000001</v>
      </c>
      <c r="J1079">
        <v>1380.8764647999999</v>
      </c>
      <c r="K1079">
        <v>0</v>
      </c>
      <c r="L1079">
        <v>2750</v>
      </c>
      <c r="M1079">
        <v>2750</v>
      </c>
      <c r="N1079">
        <v>0</v>
      </c>
    </row>
    <row r="1080" spans="1:14" x14ac:dyDescent="0.25">
      <c r="A1080">
        <v>567.85652200000004</v>
      </c>
      <c r="B1080" s="1">
        <f>DATE(2011,11,19) + TIME(20,33,23)</f>
        <v>40866.856516203705</v>
      </c>
      <c r="C1080">
        <v>80</v>
      </c>
      <c r="D1080">
        <v>77.138526916999993</v>
      </c>
      <c r="E1080">
        <v>60</v>
      </c>
      <c r="F1080">
        <v>59.957675934000001</v>
      </c>
      <c r="G1080">
        <v>1296.8350829999999</v>
      </c>
      <c r="H1080">
        <v>1282.5095214999999</v>
      </c>
      <c r="I1080">
        <v>1400.6982422000001</v>
      </c>
      <c r="J1080">
        <v>1380.8067627</v>
      </c>
      <c r="K1080">
        <v>0</v>
      </c>
      <c r="L1080">
        <v>2750</v>
      </c>
      <c r="M1080">
        <v>2750</v>
      </c>
      <c r="N1080">
        <v>0</v>
      </c>
    </row>
    <row r="1081" spans="1:14" x14ac:dyDescent="0.25">
      <c r="A1081">
        <v>568.54441699999995</v>
      </c>
      <c r="B1081" s="1">
        <f>DATE(2011,11,20) + TIME(13,3,57)</f>
        <v>40867.544409722221</v>
      </c>
      <c r="C1081">
        <v>80</v>
      </c>
      <c r="D1081">
        <v>77.054519653</v>
      </c>
      <c r="E1081">
        <v>60</v>
      </c>
      <c r="F1081">
        <v>59.957695006999998</v>
      </c>
      <c r="G1081">
        <v>1296.8012695</v>
      </c>
      <c r="H1081">
        <v>1282.4704589999999</v>
      </c>
      <c r="I1081">
        <v>1400.6177978999999</v>
      </c>
      <c r="J1081">
        <v>1380.7362060999999</v>
      </c>
      <c r="K1081">
        <v>0</v>
      </c>
      <c r="L1081">
        <v>2750</v>
      </c>
      <c r="M1081">
        <v>2750</v>
      </c>
      <c r="N1081">
        <v>0</v>
      </c>
    </row>
    <row r="1082" spans="1:14" x14ac:dyDescent="0.25">
      <c r="A1082">
        <v>569.24470599999995</v>
      </c>
      <c r="B1082" s="1">
        <f>DATE(2011,11,21) + TIME(5,52,22)</f>
        <v>40868.244699074072</v>
      </c>
      <c r="C1082">
        <v>80</v>
      </c>
      <c r="D1082">
        <v>76.969047545999999</v>
      </c>
      <c r="E1082">
        <v>60</v>
      </c>
      <c r="F1082">
        <v>59.957710265999999</v>
      </c>
      <c r="G1082">
        <v>1296.7661132999999</v>
      </c>
      <c r="H1082">
        <v>1282.4299315999999</v>
      </c>
      <c r="I1082">
        <v>1400.5374756000001</v>
      </c>
      <c r="J1082">
        <v>1380.6657714999999</v>
      </c>
      <c r="K1082">
        <v>0</v>
      </c>
      <c r="L1082">
        <v>2750</v>
      </c>
      <c r="M1082">
        <v>2750</v>
      </c>
      <c r="N1082">
        <v>0</v>
      </c>
    </row>
    <row r="1083" spans="1:14" x14ac:dyDescent="0.25">
      <c r="A1083">
        <v>569.96115799999995</v>
      </c>
      <c r="B1083" s="1">
        <f>DATE(2011,11,21) + TIME(23,4,4)</f>
        <v>40868.961157407408</v>
      </c>
      <c r="C1083">
        <v>80</v>
      </c>
      <c r="D1083">
        <v>76.882217406999999</v>
      </c>
      <c r="E1083">
        <v>60</v>
      </c>
      <c r="F1083">
        <v>59.95772934</v>
      </c>
      <c r="G1083">
        <v>1296.7302245999999</v>
      </c>
      <c r="H1083">
        <v>1282.3883057</v>
      </c>
      <c r="I1083">
        <v>1400.4582519999999</v>
      </c>
      <c r="J1083">
        <v>1380.5964355000001</v>
      </c>
      <c r="K1083">
        <v>0</v>
      </c>
      <c r="L1083">
        <v>2750</v>
      </c>
      <c r="M1083">
        <v>2750</v>
      </c>
      <c r="N1083">
        <v>0</v>
      </c>
    </row>
    <row r="1084" spans="1:14" x14ac:dyDescent="0.25">
      <c r="A1084">
        <v>570.68847800000003</v>
      </c>
      <c r="B1084" s="1">
        <f>DATE(2011,11,22) + TIME(16,31,24)</f>
        <v>40869.688472222224</v>
      </c>
      <c r="C1084">
        <v>80</v>
      </c>
      <c r="D1084">
        <v>76.794456482000001</v>
      </c>
      <c r="E1084">
        <v>60</v>
      </c>
      <c r="F1084">
        <v>59.957748412999997</v>
      </c>
      <c r="G1084">
        <v>1296.6933594</v>
      </c>
      <c r="H1084">
        <v>1282.3454589999999</v>
      </c>
      <c r="I1084">
        <v>1400.3796387</v>
      </c>
      <c r="J1084">
        <v>1380.5277100000001</v>
      </c>
      <c r="K1084">
        <v>0</v>
      </c>
      <c r="L1084">
        <v>2750</v>
      </c>
      <c r="M1084">
        <v>2750</v>
      </c>
      <c r="N1084">
        <v>0</v>
      </c>
    </row>
    <row r="1085" spans="1:14" x14ac:dyDescent="0.25">
      <c r="A1085">
        <v>571.42772300000001</v>
      </c>
      <c r="B1085" s="1">
        <f>DATE(2011,11,23) + TIME(10,15,55)</f>
        <v>40870.427719907406</v>
      </c>
      <c r="C1085">
        <v>80</v>
      </c>
      <c r="D1085">
        <v>76.705894470000004</v>
      </c>
      <c r="E1085">
        <v>60</v>
      </c>
      <c r="F1085">
        <v>59.957767486999998</v>
      </c>
      <c r="G1085">
        <v>1296.6556396000001</v>
      </c>
      <c r="H1085">
        <v>1282.3017577999999</v>
      </c>
      <c r="I1085">
        <v>1400.3023682</v>
      </c>
      <c r="J1085">
        <v>1380.4600829999999</v>
      </c>
      <c r="K1085">
        <v>0</v>
      </c>
      <c r="L1085">
        <v>2750</v>
      </c>
      <c r="M1085">
        <v>2750</v>
      </c>
      <c r="N1085">
        <v>0</v>
      </c>
    </row>
    <row r="1086" spans="1:14" x14ac:dyDescent="0.25">
      <c r="A1086">
        <v>572.18340899999998</v>
      </c>
      <c r="B1086" s="1">
        <f>DATE(2011,11,24) + TIME(4,24,6)</f>
        <v>40871.18340277778</v>
      </c>
      <c r="C1086">
        <v>80</v>
      </c>
      <c r="D1086">
        <v>76.616371154999996</v>
      </c>
      <c r="E1086">
        <v>60</v>
      </c>
      <c r="F1086">
        <v>59.957786560000002</v>
      </c>
      <c r="G1086">
        <v>1296.6170654</v>
      </c>
      <c r="H1086">
        <v>1282.2569579999999</v>
      </c>
      <c r="I1086">
        <v>1400.2261963000001</v>
      </c>
      <c r="J1086">
        <v>1380.3935547000001</v>
      </c>
      <c r="K1086">
        <v>0</v>
      </c>
      <c r="L1086">
        <v>2750</v>
      </c>
      <c r="M1086">
        <v>2750</v>
      </c>
      <c r="N1086">
        <v>0</v>
      </c>
    </row>
    <row r="1087" spans="1:14" x14ac:dyDescent="0.25">
      <c r="A1087">
        <v>572.95668599999999</v>
      </c>
      <c r="B1087" s="1">
        <f>DATE(2011,11,24) + TIME(22,57,37)</f>
        <v>40871.956678240742</v>
      </c>
      <c r="C1087">
        <v>80</v>
      </c>
      <c r="D1087">
        <v>76.525741577000005</v>
      </c>
      <c r="E1087">
        <v>60</v>
      </c>
      <c r="F1087">
        <v>59.957805634000003</v>
      </c>
      <c r="G1087">
        <v>1296.5775146000001</v>
      </c>
      <c r="H1087">
        <v>1282.2106934000001</v>
      </c>
      <c r="I1087">
        <v>1400.1506348</v>
      </c>
      <c r="J1087">
        <v>1380.3275146000001</v>
      </c>
      <c r="K1087">
        <v>0</v>
      </c>
      <c r="L1087">
        <v>2750</v>
      </c>
      <c r="M1087">
        <v>2750</v>
      </c>
      <c r="N1087">
        <v>0</v>
      </c>
    </row>
    <row r="1088" spans="1:14" x14ac:dyDescent="0.25">
      <c r="A1088">
        <v>573.74865199999999</v>
      </c>
      <c r="B1088" s="1">
        <f>DATE(2011,11,25) + TIME(17,58,3)</f>
        <v>40872.748645833337</v>
      </c>
      <c r="C1088">
        <v>80</v>
      </c>
      <c r="D1088">
        <v>76.433898925999998</v>
      </c>
      <c r="E1088">
        <v>60</v>
      </c>
      <c r="F1088">
        <v>59.957828522</v>
      </c>
      <c r="G1088">
        <v>1296.5367432</v>
      </c>
      <c r="H1088">
        <v>1282.1630858999999</v>
      </c>
      <c r="I1088">
        <v>1400.0756836</v>
      </c>
      <c r="J1088">
        <v>1380.2619629000001</v>
      </c>
      <c r="K1088">
        <v>0</v>
      </c>
      <c r="L1088">
        <v>2750</v>
      </c>
      <c r="M1088">
        <v>2750</v>
      </c>
      <c r="N1088">
        <v>0</v>
      </c>
    </row>
    <row r="1089" spans="1:14" x14ac:dyDescent="0.25">
      <c r="A1089">
        <v>574.56406800000002</v>
      </c>
      <c r="B1089" s="1">
        <f>DATE(2011,11,26) + TIME(13,32,15)</f>
        <v>40873.564062500001</v>
      </c>
      <c r="C1089">
        <v>80</v>
      </c>
      <c r="D1089">
        <v>76.340538025000001</v>
      </c>
      <c r="E1089">
        <v>60</v>
      </c>
      <c r="F1089">
        <v>59.957851410000004</v>
      </c>
      <c r="G1089">
        <v>1296.494751</v>
      </c>
      <c r="H1089">
        <v>1282.1138916</v>
      </c>
      <c r="I1089">
        <v>1400.0010986</v>
      </c>
      <c r="J1089">
        <v>1380.1968993999999</v>
      </c>
      <c r="K1089">
        <v>0</v>
      </c>
      <c r="L1089">
        <v>2750</v>
      </c>
      <c r="M1089">
        <v>2750</v>
      </c>
      <c r="N1089">
        <v>0</v>
      </c>
    </row>
    <row r="1090" spans="1:14" x14ac:dyDescent="0.25">
      <c r="A1090">
        <v>575.40817900000002</v>
      </c>
      <c r="B1090" s="1">
        <f>DATE(2011,11,27) + TIME(9,47,46)</f>
        <v>40874.408171296294</v>
      </c>
      <c r="C1090">
        <v>80</v>
      </c>
      <c r="D1090">
        <v>76.245239257999998</v>
      </c>
      <c r="E1090">
        <v>60</v>
      </c>
      <c r="F1090">
        <v>59.957874298</v>
      </c>
      <c r="G1090">
        <v>1296.4510498</v>
      </c>
      <c r="H1090">
        <v>1282.0628661999999</v>
      </c>
      <c r="I1090">
        <v>1399.9263916</v>
      </c>
      <c r="J1090">
        <v>1380.1317139</v>
      </c>
      <c r="K1090">
        <v>0</v>
      </c>
      <c r="L1090">
        <v>2750</v>
      </c>
      <c r="M1090">
        <v>2750</v>
      </c>
      <c r="N1090">
        <v>0</v>
      </c>
    </row>
    <row r="1091" spans="1:14" x14ac:dyDescent="0.25">
      <c r="A1091">
        <v>576.28698099999997</v>
      </c>
      <c r="B1091" s="1">
        <f>DATE(2011,11,28) + TIME(6,53,15)</f>
        <v>40875.286979166667</v>
      </c>
      <c r="C1091">
        <v>80</v>
      </c>
      <c r="D1091">
        <v>76.147499084000003</v>
      </c>
      <c r="E1091">
        <v>60</v>
      </c>
      <c r="F1091">
        <v>59.957901001000003</v>
      </c>
      <c r="G1091">
        <v>1296.4056396000001</v>
      </c>
      <c r="H1091">
        <v>1282.0095214999999</v>
      </c>
      <c r="I1091">
        <v>1399.8514404</v>
      </c>
      <c r="J1091">
        <v>1380.0662841999999</v>
      </c>
      <c r="K1091">
        <v>0</v>
      </c>
      <c r="L1091">
        <v>2750</v>
      </c>
      <c r="M1091">
        <v>2750</v>
      </c>
      <c r="N1091">
        <v>0</v>
      </c>
    </row>
    <row r="1092" spans="1:14" x14ac:dyDescent="0.25">
      <c r="A1092">
        <v>577.18844799999999</v>
      </c>
      <c r="B1092" s="1">
        <f>DATE(2011,11,29) + TIME(4,31,21)</f>
        <v>40876.188437500001</v>
      </c>
      <c r="C1092">
        <v>80</v>
      </c>
      <c r="D1092">
        <v>76.047676085999996</v>
      </c>
      <c r="E1092">
        <v>60</v>
      </c>
      <c r="F1092">
        <v>59.957923889</v>
      </c>
      <c r="G1092">
        <v>1296.3579102000001</v>
      </c>
      <c r="H1092">
        <v>1281.9533690999999</v>
      </c>
      <c r="I1092">
        <v>1399.7756348</v>
      </c>
      <c r="J1092">
        <v>1380.0001221</v>
      </c>
      <c r="K1092">
        <v>0</v>
      </c>
      <c r="L1092">
        <v>2750</v>
      </c>
      <c r="M1092">
        <v>2750</v>
      </c>
      <c r="N1092">
        <v>0</v>
      </c>
    </row>
    <row r="1093" spans="1:14" x14ac:dyDescent="0.25">
      <c r="A1093">
        <v>578.093931</v>
      </c>
      <c r="B1093" s="1">
        <f>DATE(2011,11,30) + TIME(2,15,15)</f>
        <v>40877.093923611108</v>
      </c>
      <c r="C1093">
        <v>80</v>
      </c>
      <c r="D1093">
        <v>75.947013854999994</v>
      </c>
      <c r="E1093">
        <v>60</v>
      </c>
      <c r="F1093">
        <v>59.957950592000003</v>
      </c>
      <c r="G1093">
        <v>1296.3083495999999</v>
      </c>
      <c r="H1093">
        <v>1281.8952637</v>
      </c>
      <c r="I1093">
        <v>1399.7000731999999</v>
      </c>
      <c r="J1093">
        <v>1379.9342041</v>
      </c>
      <c r="K1093">
        <v>0</v>
      </c>
      <c r="L1093">
        <v>2750</v>
      </c>
      <c r="M1093">
        <v>2750</v>
      </c>
      <c r="N1093">
        <v>0</v>
      </c>
    </row>
    <row r="1094" spans="1:14" x14ac:dyDescent="0.25">
      <c r="A1094">
        <v>579</v>
      </c>
      <c r="B1094" s="1">
        <f>DATE(2011,12,1) + TIME(0,0,0)</f>
        <v>40878</v>
      </c>
      <c r="C1094">
        <v>80</v>
      </c>
      <c r="D1094">
        <v>75.846450806000007</v>
      </c>
      <c r="E1094">
        <v>60</v>
      </c>
      <c r="F1094">
        <v>59.957977294999999</v>
      </c>
      <c r="G1094">
        <v>1296.2581786999999</v>
      </c>
      <c r="H1094">
        <v>1281.8360596</v>
      </c>
      <c r="I1094">
        <v>1399.6263428</v>
      </c>
      <c r="J1094">
        <v>1379.8698730000001</v>
      </c>
      <c r="K1094">
        <v>0</v>
      </c>
      <c r="L1094">
        <v>2750</v>
      </c>
      <c r="M1094">
        <v>2750</v>
      </c>
      <c r="N1094">
        <v>0</v>
      </c>
    </row>
    <row r="1095" spans="1:14" x14ac:dyDescent="0.25">
      <c r="A1095">
        <v>579.91358400000001</v>
      </c>
      <c r="B1095" s="1">
        <f>DATE(2011,12,1) + TIME(21,55,33)</f>
        <v>40878.913576388892</v>
      </c>
      <c r="C1095">
        <v>80</v>
      </c>
      <c r="D1095">
        <v>75.746101378999995</v>
      </c>
      <c r="E1095">
        <v>60</v>
      </c>
      <c r="F1095">
        <v>59.958007811999998</v>
      </c>
      <c r="G1095">
        <v>1296.2075195</v>
      </c>
      <c r="H1095">
        <v>1281.776001</v>
      </c>
      <c r="I1095">
        <v>1399.5545654</v>
      </c>
      <c r="J1095">
        <v>1379.8073730000001</v>
      </c>
      <c r="K1095">
        <v>0</v>
      </c>
      <c r="L1095">
        <v>2750</v>
      </c>
      <c r="M1095">
        <v>2750</v>
      </c>
      <c r="N1095">
        <v>0</v>
      </c>
    </row>
    <row r="1096" spans="1:14" x14ac:dyDescent="0.25">
      <c r="A1096">
        <v>580.859013</v>
      </c>
      <c r="B1096" s="1">
        <f>DATE(2011,12,2) + TIME(20,36,58)</f>
        <v>40879.85900462963</v>
      </c>
      <c r="C1096">
        <v>80</v>
      </c>
      <c r="D1096">
        <v>75.644767760999997</v>
      </c>
      <c r="E1096">
        <v>60</v>
      </c>
      <c r="F1096">
        <v>59.958034515000001</v>
      </c>
      <c r="G1096">
        <v>1296.1560059000001</v>
      </c>
      <c r="H1096">
        <v>1281.7147216999999</v>
      </c>
      <c r="I1096">
        <v>1399.4841309000001</v>
      </c>
      <c r="J1096">
        <v>1379.7459716999999</v>
      </c>
      <c r="K1096">
        <v>0</v>
      </c>
      <c r="L1096">
        <v>2750</v>
      </c>
      <c r="M1096">
        <v>2750</v>
      </c>
      <c r="N1096">
        <v>0</v>
      </c>
    </row>
    <row r="1097" spans="1:14" x14ac:dyDescent="0.25">
      <c r="A1097">
        <v>581.828304</v>
      </c>
      <c r="B1097" s="1">
        <f>DATE(2011,12,3) + TIME(19,52,45)</f>
        <v>40880.828298611108</v>
      </c>
      <c r="C1097">
        <v>80</v>
      </c>
      <c r="D1097">
        <v>75.542068481000001</v>
      </c>
      <c r="E1097">
        <v>60</v>
      </c>
      <c r="F1097">
        <v>59.958065032999997</v>
      </c>
      <c r="G1097">
        <v>1296.1021728999999</v>
      </c>
      <c r="H1097">
        <v>1281.6506348</v>
      </c>
      <c r="I1097">
        <v>1399.4133300999999</v>
      </c>
      <c r="J1097">
        <v>1379.6842041</v>
      </c>
      <c r="K1097">
        <v>0</v>
      </c>
      <c r="L1097">
        <v>2750</v>
      </c>
      <c r="M1097">
        <v>2750</v>
      </c>
      <c r="N1097">
        <v>0</v>
      </c>
    </row>
    <row r="1098" spans="1:14" x14ac:dyDescent="0.25">
      <c r="A1098">
        <v>582.82782499999996</v>
      </c>
      <c r="B1098" s="1">
        <f>DATE(2011,12,4) + TIME(19,52,4)</f>
        <v>40881.827824074076</v>
      </c>
      <c r="C1098">
        <v>80</v>
      </c>
      <c r="D1098">
        <v>75.437644958000007</v>
      </c>
      <c r="E1098">
        <v>60</v>
      </c>
      <c r="F1098">
        <v>59.958095551</v>
      </c>
      <c r="G1098">
        <v>1296.0462646000001</v>
      </c>
      <c r="H1098">
        <v>1281.5839844</v>
      </c>
      <c r="I1098">
        <v>1399.3425293</v>
      </c>
      <c r="J1098">
        <v>1379.6224365</v>
      </c>
      <c r="K1098">
        <v>0</v>
      </c>
      <c r="L1098">
        <v>2750</v>
      </c>
      <c r="M1098">
        <v>2750</v>
      </c>
      <c r="N1098">
        <v>0</v>
      </c>
    </row>
    <row r="1099" spans="1:14" x14ac:dyDescent="0.25">
      <c r="A1099">
        <v>583.86447999999996</v>
      </c>
      <c r="B1099" s="1">
        <f>DATE(2011,12,5) + TIME(20,44,51)</f>
        <v>40882.864479166667</v>
      </c>
      <c r="C1099">
        <v>80</v>
      </c>
      <c r="D1099">
        <v>75.331008910999998</v>
      </c>
      <c r="E1099">
        <v>60</v>
      </c>
      <c r="F1099">
        <v>59.958129882999998</v>
      </c>
      <c r="G1099">
        <v>1295.9880370999999</v>
      </c>
      <c r="H1099">
        <v>1281.5142822</v>
      </c>
      <c r="I1099">
        <v>1399.2714844</v>
      </c>
      <c r="J1099">
        <v>1379.5605469</v>
      </c>
      <c r="K1099">
        <v>0</v>
      </c>
      <c r="L1099">
        <v>2750</v>
      </c>
      <c r="M1099">
        <v>2750</v>
      </c>
      <c r="N1099">
        <v>0</v>
      </c>
    </row>
    <row r="1100" spans="1:14" x14ac:dyDescent="0.25">
      <c r="A1100">
        <v>584.93984499999999</v>
      </c>
      <c r="B1100" s="1">
        <f>DATE(2011,12,6) + TIME(22,33,22)</f>
        <v>40883.939837962964</v>
      </c>
      <c r="C1100">
        <v>80</v>
      </c>
      <c r="D1100">
        <v>75.221801757999998</v>
      </c>
      <c r="E1100">
        <v>60</v>
      </c>
      <c r="F1100">
        <v>59.958164214999996</v>
      </c>
      <c r="G1100">
        <v>1295.9270019999999</v>
      </c>
      <c r="H1100">
        <v>1281.4410399999999</v>
      </c>
      <c r="I1100">
        <v>1399.1998291</v>
      </c>
      <c r="J1100">
        <v>1379.4980469</v>
      </c>
      <c r="K1100">
        <v>0</v>
      </c>
      <c r="L1100">
        <v>2750</v>
      </c>
      <c r="M1100">
        <v>2750</v>
      </c>
      <c r="N1100">
        <v>0</v>
      </c>
    </row>
    <row r="1101" spans="1:14" x14ac:dyDescent="0.25">
      <c r="A1101">
        <v>586.02846599999998</v>
      </c>
      <c r="B1101" s="1">
        <f>DATE(2011,12,8) + TIME(0,40,59)</f>
        <v>40885.028460648151</v>
      </c>
      <c r="C1101">
        <v>80</v>
      </c>
      <c r="D1101">
        <v>75.110954285000005</v>
      </c>
      <c r="E1101">
        <v>60</v>
      </c>
      <c r="F1101">
        <v>59.958202362000002</v>
      </c>
      <c r="G1101">
        <v>1295.862793</v>
      </c>
      <c r="H1101">
        <v>1281.3640137</v>
      </c>
      <c r="I1101">
        <v>1399.1274414</v>
      </c>
      <c r="J1101">
        <v>1379.4348144999999</v>
      </c>
      <c r="K1101">
        <v>0</v>
      </c>
      <c r="L1101">
        <v>2750</v>
      </c>
      <c r="M1101">
        <v>2750</v>
      </c>
      <c r="N1101">
        <v>0</v>
      </c>
    </row>
    <row r="1102" spans="1:14" x14ac:dyDescent="0.25">
      <c r="A1102">
        <v>587.12808600000005</v>
      </c>
      <c r="B1102" s="1">
        <f>DATE(2011,12,9) + TIME(3,4,26)</f>
        <v>40886.128078703703</v>
      </c>
      <c r="C1102">
        <v>80</v>
      </c>
      <c r="D1102">
        <v>74.999473571999999</v>
      </c>
      <c r="E1102">
        <v>60</v>
      </c>
      <c r="F1102">
        <v>59.958236694</v>
      </c>
      <c r="G1102">
        <v>1295.796875</v>
      </c>
      <c r="H1102">
        <v>1281.2845459</v>
      </c>
      <c r="I1102">
        <v>1399.0560303</v>
      </c>
      <c r="J1102">
        <v>1379.3725586</v>
      </c>
      <c r="K1102">
        <v>0</v>
      </c>
      <c r="L1102">
        <v>2750</v>
      </c>
      <c r="M1102">
        <v>2750</v>
      </c>
      <c r="N1102">
        <v>0</v>
      </c>
    </row>
    <row r="1103" spans="1:14" x14ac:dyDescent="0.25">
      <c r="A1103">
        <v>588.24068499999998</v>
      </c>
      <c r="B1103" s="1">
        <f>DATE(2011,12,10) + TIME(5,46,35)</f>
        <v>40887.240682870368</v>
      </c>
      <c r="C1103">
        <v>80</v>
      </c>
      <c r="D1103">
        <v>74.887611389</v>
      </c>
      <c r="E1103">
        <v>60</v>
      </c>
      <c r="F1103">
        <v>59.958274840999998</v>
      </c>
      <c r="G1103">
        <v>1295.7293701000001</v>
      </c>
      <c r="H1103">
        <v>1281.2030029</v>
      </c>
      <c r="I1103">
        <v>1398.9858397999999</v>
      </c>
      <c r="J1103">
        <v>1379.3112793</v>
      </c>
      <c r="K1103">
        <v>0</v>
      </c>
      <c r="L1103">
        <v>2750</v>
      </c>
      <c r="M1103">
        <v>2750</v>
      </c>
      <c r="N1103">
        <v>0</v>
      </c>
    </row>
    <row r="1104" spans="1:14" x14ac:dyDescent="0.25">
      <c r="A1104">
        <v>589.37288699999999</v>
      </c>
      <c r="B1104" s="1">
        <f>DATE(2011,12,11) + TIME(8,56,57)</f>
        <v>40888.372881944444</v>
      </c>
      <c r="C1104">
        <v>80</v>
      </c>
      <c r="D1104">
        <v>74.775283813000001</v>
      </c>
      <c r="E1104">
        <v>60</v>
      </c>
      <c r="F1104">
        <v>59.958312988000003</v>
      </c>
      <c r="G1104">
        <v>1295.6601562000001</v>
      </c>
      <c r="H1104">
        <v>1281.1190185999999</v>
      </c>
      <c r="I1104">
        <v>1398.916626</v>
      </c>
      <c r="J1104">
        <v>1379.2508545000001</v>
      </c>
      <c r="K1104">
        <v>0</v>
      </c>
      <c r="L1104">
        <v>2750</v>
      </c>
      <c r="M1104">
        <v>2750</v>
      </c>
      <c r="N1104">
        <v>0</v>
      </c>
    </row>
    <row r="1105" spans="1:14" x14ac:dyDescent="0.25">
      <c r="A1105">
        <v>590.53150500000004</v>
      </c>
      <c r="B1105" s="1">
        <f>DATE(2011,12,12) + TIME(12,45,22)</f>
        <v>40889.531504629631</v>
      </c>
      <c r="C1105">
        <v>80</v>
      </c>
      <c r="D1105">
        <v>74.662063599000007</v>
      </c>
      <c r="E1105">
        <v>60</v>
      </c>
      <c r="F1105">
        <v>59.958351135000001</v>
      </c>
      <c r="G1105">
        <v>1295.5887451000001</v>
      </c>
      <c r="H1105">
        <v>1281.0319824000001</v>
      </c>
      <c r="I1105">
        <v>1398.8479004000001</v>
      </c>
      <c r="J1105">
        <v>1379.190918</v>
      </c>
      <c r="K1105">
        <v>0</v>
      </c>
      <c r="L1105">
        <v>2750</v>
      </c>
      <c r="M1105">
        <v>2750</v>
      </c>
      <c r="N1105">
        <v>0</v>
      </c>
    </row>
    <row r="1106" spans="1:14" x14ac:dyDescent="0.25">
      <c r="A1106">
        <v>591.72392000000002</v>
      </c>
      <c r="B1106" s="1">
        <f>DATE(2011,12,13) + TIME(17,22,26)</f>
        <v>40890.723912037036</v>
      </c>
      <c r="C1106">
        <v>80</v>
      </c>
      <c r="D1106">
        <v>74.547370911000002</v>
      </c>
      <c r="E1106">
        <v>60</v>
      </c>
      <c r="F1106">
        <v>59.958393096999998</v>
      </c>
      <c r="G1106">
        <v>1295.5146483999999</v>
      </c>
      <c r="H1106">
        <v>1280.9414062000001</v>
      </c>
      <c r="I1106">
        <v>1398.7794189000001</v>
      </c>
      <c r="J1106">
        <v>1379.1311035000001</v>
      </c>
      <c r="K1106">
        <v>0</v>
      </c>
      <c r="L1106">
        <v>2750</v>
      </c>
      <c r="M1106">
        <v>2750</v>
      </c>
      <c r="N1106">
        <v>0</v>
      </c>
    </row>
    <row r="1107" spans="1:14" x14ac:dyDescent="0.25">
      <c r="A1107">
        <v>592.95092499999998</v>
      </c>
      <c r="B1107" s="1">
        <f>DATE(2011,12,14) + TIME(22,49,19)</f>
        <v>40891.950914351852</v>
      </c>
      <c r="C1107">
        <v>80</v>
      </c>
      <c r="D1107">
        <v>74.430839539000004</v>
      </c>
      <c r="E1107">
        <v>60</v>
      </c>
      <c r="F1107">
        <v>59.958435059000003</v>
      </c>
      <c r="G1107">
        <v>1295.4372559000001</v>
      </c>
      <c r="H1107">
        <v>1280.8465576000001</v>
      </c>
      <c r="I1107">
        <v>1398.7106934000001</v>
      </c>
      <c r="J1107">
        <v>1379.0710449000001</v>
      </c>
      <c r="K1107">
        <v>0</v>
      </c>
      <c r="L1107">
        <v>2750</v>
      </c>
      <c r="M1107">
        <v>2750</v>
      </c>
      <c r="N1107">
        <v>0</v>
      </c>
    </row>
    <row r="1108" spans="1:14" x14ac:dyDescent="0.25">
      <c r="A1108">
        <v>594.20370000000003</v>
      </c>
      <c r="B1108" s="1">
        <f>DATE(2011,12,16) + TIME(4,53,19)</f>
        <v>40893.203692129631</v>
      </c>
      <c r="C1108">
        <v>80</v>
      </c>
      <c r="D1108">
        <v>74.312637328999998</v>
      </c>
      <c r="E1108">
        <v>60</v>
      </c>
      <c r="F1108">
        <v>59.958477019999997</v>
      </c>
      <c r="G1108">
        <v>1295.3563231999999</v>
      </c>
      <c r="H1108">
        <v>1280.7470702999999</v>
      </c>
      <c r="I1108">
        <v>1398.6417236</v>
      </c>
      <c r="J1108">
        <v>1379.0107422000001</v>
      </c>
      <c r="K1108">
        <v>0</v>
      </c>
      <c r="L1108">
        <v>2750</v>
      </c>
      <c r="M1108">
        <v>2750</v>
      </c>
      <c r="N1108">
        <v>0</v>
      </c>
    </row>
    <row r="1109" spans="1:14" x14ac:dyDescent="0.25">
      <c r="A1109">
        <v>595.46299599999998</v>
      </c>
      <c r="B1109" s="1">
        <f>DATE(2011,12,17) + TIME(11,6,42)</f>
        <v>40894.46298611111</v>
      </c>
      <c r="C1109">
        <v>80</v>
      </c>
      <c r="D1109">
        <v>74.193748474000003</v>
      </c>
      <c r="E1109">
        <v>60</v>
      </c>
      <c r="F1109">
        <v>59.958522797000001</v>
      </c>
      <c r="G1109">
        <v>1295.2723389</v>
      </c>
      <c r="H1109">
        <v>1280.6435547000001</v>
      </c>
      <c r="I1109">
        <v>1398.5729980000001</v>
      </c>
      <c r="J1109">
        <v>1378.9506836</v>
      </c>
      <c r="K1109">
        <v>0</v>
      </c>
      <c r="L1109">
        <v>2750</v>
      </c>
      <c r="M1109">
        <v>2750</v>
      </c>
      <c r="N1109">
        <v>0</v>
      </c>
    </row>
    <row r="1110" spans="1:14" x14ac:dyDescent="0.25">
      <c r="A1110">
        <v>596.73585200000002</v>
      </c>
      <c r="B1110" s="1">
        <f>DATE(2011,12,18) + TIME(17,39,37)</f>
        <v>40895.735844907409</v>
      </c>
      <c r="C1110">
        <v>80</v>
      </c>
      <c r="D1110">
        <v>74.074745178000001</v>
      </c>
      <c r="E1110">
        <v>60</v>
      </c>
      <c r="F1110">
        <v>59.958568573000001</v>
      </c>
      <c r="G1110">
        <v>1295.1865233999999</v>
      </c>
      <c r="H1110">
        <v>1280.5373535000001</v>
      </c>
      <c r="I1110">
        <v>1398.5054932</v>
      </c>
      <c r="J1110">
        <v>1378.8917236</v>
      </c>
      <c r="K1110">
        <v>0</v>
      </c>
      <c r="L1110">
        <v>2750</v>
      </c>
      <c r="M1110">
        <v>2750</v>
      </c>
      <c r="N1110">
        <v>0</v>
      </c>
    </row>
    <row r="1111" spans="1:14" x14ac:dyDescent="0.25">
      <c r="A1111">
        <v>598.02930200000003</v>
      </c>
      <c r="B1111" s="1">
        <f>DATE(2011,12,20) + TIME(0,42,11)</f>
        <v>40897.029293981483</v>
      </c>
      <c r="C1111">
        <v>80</v>
      </c>
      <c r="D1111">
        <v>73.955429077000005</v>
      </c>
      <c r="E1111">
        <v>60</v>
      </c>
      <c r="F1111">
        <v>59.958614349000001</v>
      </c>
      <c r="G1111">
        <v>1295.0982666</v>
      </c>
      <c r="H1111">
        <v>1280.4276123</v>
      </c>
      <c r="I1111">
        <v>1398.4390868999999</v>
      </c>
      <c r="J1111">
        <v>1378.8336182</v>
      </c>
      <c r="K1111">
        <v>0</v>
      </c>
      <c r="L1111">
        <v>2750</v>
      </c>
      <c r="M1111">
        <v>2750</v>
      </c>
      <c r="N1111">
        <v>0</v>
      </c>
    </row>
    <row r="1112" spans="1:14" x14ac:dyDescent="0.25">
      <c r="A1112">
        <v>599.35066099999995</v>
      </c>
      <c r="B1112" s="1">
        <f>DATE(2011,12,21) + TIME(8,24,57)</f>
        <v>40898.350659722222</v>
      </c>
      <c r="C1112">
        <v>80</v>
      </c>
      <c r="D1112">
        <v>73.835319518999995</v>
      </c>
      <c r="E1112">
        <v>60</v>
      </c>
      <c r="F1112">
        <v>59.958660125999998</v>
      </c>
      <c r="G1112">
        <v>1295.0072021000001</v>
      </c>
      <c r="H1112">
        <v>1280.3139647999999</v>
      </c>
      <c r="I1112">
        <v>1398.3730469</v>
      </c>
      <c r="J1112">
        <v>1378.7758789</v>
      </c>
      <c r="K1112">
        <v>0</v>
      </c>
      <c r="L1112">
        <v>2750</v>
      </c>
      <c r="M1112">
        <v>2750</v>
      </c>
      <c r="N1112">
        <v>0</v>
      </c>
    </row>
    <row r="1113" spans="1:14" x14ac:dyDescent="0.25">
      <c r="A1113">
        <v>600.70779000000005</v>
      </c>
      <c r="B1113" s="1">
        <f>DATE(2011,12,22) + TIME(16,59,13)</f>
        <v>40899.707789351851</v>
      </c>
      <c r="C1113">
        <v>80</v>
      </c>
      <c r="D1113">
        <v>73.713813782000003</v>
      </c>
      <c r="E1113">
        <v>60</v>
      </c>
      <c r="F1113">
        <v>59.958709716999998</v>
      </c>
      <c r="G1113">
        <v>1294.9124756000001</v>
      </c>
      <c r="H1113">
        <v>1280.1953125</v>
      </c>
      <c r="I1113">
        <v>1398.307251</v>
      </c>
      <c r="J1113">
        <v>1378.7182617000001</v>
      </c>
      <c r="K1113">
        <v>0</v>
      </c>
      <c r="L1113">
        <v>2750</v>
      </c>
      <c r="M1113">
        <v>2750</v>
      </c>
      <c r="N1113">
        <v>0</v>
      </c>
    </row>
    <row r="1114" spans="1:14" x14ac:dyDescent="0.25">
      <c r="A1114">
        <v>602.10716400000001</v>
      </c>
      <c r="B1114" s="1">
        <f>DATE(2011,12,24) + TIME(2,34,18)</f>
        <v>40901.107152777775</v>
      </c>
      <c r="C1114">
        <v>80</v>
      </c>
      <c r="D1114">
        <v>73.590316771999994</v>
      </c>
      <c r="E1114">
        <v>60</v>
      </c>
      <c r="F1114">
        <v>59.958759307999998</v>
      </c>
      <c r="G1114">
        <v>1294.8135986</v>
      </c>
      <c r="H1114">
        <v>1280.0710449000001</v>
      </c>
      <c r="I1114">
        <v>1398.2412108999999</v>
      </c>
      <c r="J1114">
        <v>1378.6604004000001</v>
      </c>
      <c r="K1114">
        <v>0</v>
      </c>
      <c r="L1114">
        <v>2750</v>
      </c>
      <c r="M1114">
        <v>2750</v>
      </c>
      <c r="N1114">
        <v>0</v>
      </c>
    </row>
    <row r="1115" spans="1:14" x14ac:dyDescent="0.25">
      <c r="A1115">
        <v>603.53206799999998</v>
      </c>
      <c r="B1115" s="1">
        <f>DATE(2011,12,25) + TIME(12,46,10)</f>
        <v>40902.532060185185</v>
      </c>
      <c r="C1115">
        <v>80</v>
      </c>
      <c r="D1115">
        <v>73.464988708000007</v>
      </c>
      <c r="E1115">
        <v>60</v>
      </c>
      <c r="F1115">
        <v>59.958812713999997</v>
      </c>
      <c r="G1115">
        <v>1294.7097168</v>
      </c>
      <c r="H1115">
        <v>1279.9403076000001</v>
      </c>
      <c r="I1115">
        <v>1398.1748047000001</v>
      </c>
      <c r="J1115">
        <v>1378.6020507999999</v>
      </c>
      <c r="K1115">
        <v>0</v>
      </c>
      <c r="L1115">
        <v>2750</v>
      </c>
      <c r="M1115">
        <v>2750</v>
      </c>
      <c r="N1115">
        <v>0</v>
      </c>
    </row>
    <row r="1116" spans="1:14" x14ac:dyDescent="0.25">
      <c r="A1116">
        <v>604.96208799999999</v>
      </c>
      <c r="B1116" s="1">
        <f>DATE(2011,12,26) + TIME(23,5,24)</f>
        <v>40903.962083333332</v>
      </c>
      <c r="C1116">
        <v>80</v>
      </c>
      <c r="D1116">
        <v>73.338935852000006</v>
      </c>
      <c r="E1116">
        <v>60</v>
      </c>
      <c r="F1116">
        <v>59.958862304999997</v>
      </c>
      <c r="G1116">
        <v>1294.6019286999999</v>
      </c>
      <c r="H1116">
        <v>1279.8041992000001</v>
      </c>
      <c r="I1116">
        <v>1398.1085204999999</v>
      </c>
      <c r="J1116">
        <v>1378.5440673999999</v>
      </c>
      <c r="K1116">
        <v>0</v>
      </c>
      <c r="L1116">
        <v>2750</v>
      </c>
      <c r="M1116">
        <v>2750</v>
      </c>
      <c r="N1116">
        <v>0</v>
      </c>
    </row>
    <row r="1117" spans="1:14" x14ac:dyDescent="0.25">
      <c r="A1117">
        <v>606.40526699999998</v>
      </c>
      <c r="B1117" s="1">
        <f>DATE(2011,12,28) + TIME(9,43,35)</f>
        <v>40905.405266203707</v>
      </c>
      <c r="C1117">
        <v>80</v>
      </c>
      <c r="D1117">
        <v>73.212860106999997</v>
      </c>
      <c r="E1117">
        <v>60</v>
      </c>
      <c r="F1117">
        <v>59.958915709999999</v>
      </c>
      <c r="G1117">
        <v>1294.4916992000001</v>
      </c>
      <c r="H1117">
        <v>1279.6641846</v>
      </c>
      <c r="I1117">
        <v>1398.0437012</v>
      </c>
      <c r="J1117">
        <v>1378.4870605000001</v>
      </c>
      <c r="K1117">
        <v>0</v>
      </c>
      <c r="L1117">
        <v>2750</v>
      </c>
      <c r="M1117">
        <v>2750</v>
      </c>
      <c r="N1117">
        <v>0</v>
      </c>
    </row>
    <row r="1118" spans="1:14" x14ac:dyDescent="0.25">
      <c r="A1118">
        <v>607.86958100000004</v>
      </c>
      <c r="B1118" s="1">
        <f>DATE(2011,12,29) + TIME(20,52,11)</f>
        <v>40906.869571759256</v>
      </c>
      <c r="C1118">
        <v>80</v>
      </c>
      <c r="D1118">
        <v>73.086509704999997</v>
      </c>
      <c r="E1118">
        <v>60</v>
      </c>
      <c r="F1118">
        <v>59.958969115999999</v>
      </c>
      <c r="G1118">
        <v>1294.378418</v>
      </c>
      <c r="H1118">
        <v>1279.5197754000001</v>
      </c>
      <c r="I1118">
        <v>1397.9796143000001</v>
      </c>
      <c r="J1118">
        <v>1378.4309082</v>
      </c>
      <c r="K1118">
        <v>0</v>
      </c>
      <c r="L1118">
        <v>2750</v>
      </c>
      <c r="M1118">
        <v>2750</v>
      </c>
      <c r="N1118">
        <v>0</v>
      </c>
    </row>
    <row r="1119" spans="1:14" x14ac:dyDescent="0.25">
      <c r="A1119">
        <v>609.363292</v>
      </c>
      <c r="B1119" s="1">
        <f>DATE(2011,12,31) + TIME(8,43,8)</f>
        <v>40908.363287037035</v>
      </c>
      <c r="C1119">
        <v>80</v>
      </c>
      <c r="D1119">
        <v>72.959327697999996</v>
      </c>
      <c r="E1119">
        <v>60</v>
      </c>
      <c r="F1119">
        <v>59.959022521999998</v>
      </c>
      <c r="G1119">
        <v>1294.2612305</v>
      </c>
      <c r="H1119">
        <v>1279.3699951000001</v>
      </c>
      <c r="I1119">
        <v>1397.9161377</v>
      </c>
      <c r="J1119">
        <v>1378.3751221</v>
      </c>
      <c r="K1119">
        <v>0</v>
      </c>
      <c r="L1119">
        <v>2750</v>
      </c>
      <c r="M1119">
        <v>2750</v>
      </c>
      <c r="N1119">
        <v>0</v>
      </c>
    </row>
    <row r="1120" spans="1:14" x14ac:dyDescent="0.25">
      <c r="A1120">
        <v>610</v>
      </c>
      <c r="B1120" s="1">
        <f>DATE(2012,1,1) + TIME(0,0,0)</f>
        <v>40909</v>
      </c>
      <c r="C1120">
        <v>80</v>
      </c>
      <c r="D1120">
        <v>72.871543884000005</v>
      </c>
      <c r="E1120">
        <v>60</v>
      </c>
      <c r="F1120">
        <v>59.959041595000002</v>
      </c>
      <c r="G1120">
        <v>1294.1412353999999</v>
      </c>
      <c r="H1120">
        <v>1279.2233887</v>
      </c>
      <c r="I1120">
        <v>1397.8521728999999</v>
      </c>
      <c r="J1120">
        <v>1378.3188477000001</v>
      </c>
      <c r="K1120">
        <v>0</v>
      </c>
      <c r="L1120">
        <v>2750</v>
      </c>
      <c r="M1120">
        <v>2750</v>
      </c>
      <c r="N1120">
        <v>0</v>
      </c>
    </row>
    <row r="1121" spans="1:14" x14ac:dyDescent="0.25">
      <c r="A1121">
        <v>611.53096400000004</v>
      </c>
      <c r="B1121" s="1">
        <f>DATE(2012,1,2) + TIME(12,44,35)</f>
        <v>40910.530960648146</v>
      </c>
      <c r="C1121">
        <v>80</v>
      </c>
      <c r="D1121">
        <v>72.765335082999997</v>
      </c>
      <c r="E1121">
        <v>60</v>
      </c>
      <c r="F1121">
        <v>59.959102631</v>
      </c>
      <c r="G1121">
        <v>1294.0838623</v>
      </c>
      <c r="H1121">
        <v>1279.1391602000001</v>
      </c>
      <c r="I1121">
        <v>1397.8260498</v>
      </c>
      <c r="J1121">
        <v>1378.2958983999999</v>
      </c>
      <c r="K1121">
        <v>0</v>
      </c>
      <c r="L1121">
        <v>2750</v>
      </c>
      <c r="M1121">
        <v>2750</v>
      </c>
      <c r="N1121">
        <v>0</v>
      </c>
    </row>
    <row r="1122" spans="1:14" x14ac:dyDescent="0.25">
      <c r="A1122">
        <v>613.10384399999998</v>
      </c>
      <c r="B1122" s="1">
        <f>DATE(2012,1,4) + TIME(2,29,32)</f>
        <v>40912.103842592594</v>
      </c>
      <c r="C1122">
        <v>80</v>
      </c>
      <c r="D1122">
        <v>72.642341614000003</v>
      </c>
      <c r="E1122">
        <v>60</v>
      </c>
      <c r="F1122">
        <v>59.959163666000002</v>
      </c>
      <c r="G1122">
        <v>1293.9578856999999</v>
      </c>
      <c r="H1122">
        <v>1278.9785156</v>
      </c>
      <c r="I1122">
        <v>1397.7633057</v>
      </c>
      <c r="J1122">
        <v>1378.2406006000001</v>
      </c>
      <c r="K1122">
        <v>0</v>
      </c>
      <c r="L1122">
        <v>2750</v>
      </c>
      <c r="M1122">
        <v>2750</v>
      </c>
      <c r="N1122">
        <v>0</v>
      </c>
    </row>
    <row r="1123" spans="1:14" x14ac:dyDescent="0.25">
      <c r="A1123">
        <v>614.71598700000004</v>
      </c>
      <c r="B1123" s="1">
        <f>DATE(2012,1,5) + TIME(17,11,1)</f>
        <v>40913.715983796297</v>
      </c>
      <c r="C1123">
        <v>80</v>
      </c>
      <c r="D1123">
        <v>72.512054442999997</v>
      </c>
      <c r="E1123">
        <v>60</v>
      </c>
      <c r="F1123">
        <v>59.959220885999997</v>
      </c>
      <c r="G1123">
        <v>1293.8243408000001</v>
      </c>
      <c r="H1123">
        <v>1278.8063964999999</v>
      </c>
      <c r="I1123">
        <v>1397.6999512</v>
      </c>
      <c r="J1123">
        <v>1378.1848144999999</v>
      </c>
      <c r="K1123">
        <v>0</v>
      </c>
      <c r="L1123">
        <v>2750</v>
      </c>
      <c r="M1123">
        <v>2750</v>
      </c>
      <c r="N1123">
        <v>0</v>
      </c>
    </row>
    <row r="1124" spans="1:14" x14ac:dyDescent="0.25">
      <c r="A1124">
        <v>616.34068000000002</v>
      </c>
      <c r="B1124" s="1">
        <f>DATE(2012,1,7) + TIME(8,10,34)</f>
        <v>40915.340671296297</v>
      </c>
      <c r="C1124">
        <v>80</v>
      </c>
      <c r="D1124">
        <v>72.378448485999996</v>
      </c>
      <c r="E1124">
        <v>60</v>
      </c>
      <c r="F1124">
        <v>59.959281920999999</v>
      </c>
      <c r="G1124">
        <v>1293.6844481999999</v>
      </c>
      <c r="H1124">
        <v>1278.625</v>
      </c>
      <c r="I1124">
        <v>1397.6364745999999</v>
      </c>
      <c r="J1124">
        <v>1378.1287841999999</v>
      </c>
      <c r="K1124">
        <v>0</v>
      </c>
      <c r="L1124">
        <v>2750</v>
      </c>
      <c r="M1124">
        <v>2750</v>
      </c>
      <c r="N1124">
        <v>0</v>
      </c>
    </row>
    <row r="1125" spans="1:14" x14ac:dyDescent="0.25">
      <c r="A1125">
        <v>617.98242100000004</v>
      </c>
      <c r="B1125" s="1">
        <f>DATE(2012,1,8) + TIME(23,34,41)</f>
        <v>40916.982418981483</v>
      </c>
      <c r="C1125">
        <v>80</v>
      </c>
      <c r="D1125">
        <v>72.243469238000003</v>
      </c>
      <c r="E1125">
        <v>60</v>
      </c>
      <c r="F1125">
        <v>59.959342956999997</v>
      </c>
      <c r="G1125">
        <v>1293.5404053</v>
      </c>
      <c r="H1125">
        <v>1278.4373779</v>
      </c>
      <c r="I1125">
        <v>1397.5737305</v>
      </c>
      <c r="J1125">
        <v>1378.0736084</v>
      </c>
      <c r="K1125">
        <v>0</v>
      </c>
      <c r="L1125">
        <v>2750</v>
      </c>
      <c r="M1125">
        <v>2750</v>
      </c>
      <c r="N1125">
        <v>0</v>
      </c>
    </row>
    <row r="1126" spans="1:14" x14ac:dyDescent="0.25">
      <c r="A1126">
        <v>619.64822200000003</v>
      </c>
      <c r="B1126" s="1">
        <f>DATE(2012,1,10) + TIME(15,33,26)</f>
        <v>40918.648217592592</v>
      </c>
      <c r="C1126">
        <v>80</v>
      </c>
      <c r="D1126">
        <v>72.107391356999997</v>
      </c>
      <c r="E1126">
        <v>60</v>
      </c>
      <c r="F1126">
        <v>59.959403991999999</v>
      </c>
      <c r="G1126">
        <v>1293.3919678</v>
      </c>
      <c r="H1126">
        <v>1278.2430420000001</v>
      </c>
      <c r="I1126">
        <v>1397.5118408000001</v>
      </c>
      <c r="J1126">
        <v>1378.0189209</v>
      </c>
      <c r="K1126">
        <v>0</v>
      </c>
      <c r="L1126">
        <v>2750</v>
      </c>
      <c r="M1126">
        <v>2750</v>
      </c>
      <c r="N1126">
        <v>0</v>
      </c>
    </row>
    <row r="1127" spans="1:14" x14ac:dyDescent="0.25">
      <c r="A1127">
        <v>621.33212100000003</v>
      </c>
      <c r="B1127" s="1">
        <f>DATE(2012,1,12) + TIME(7,58,15)</f>
        <v>40920.332118055558</v>
      </c>
      <c r="C1127">
        <v>80</v>
      </c>
      <c r="D1127">
        <v>71.970169067</v>
      </c>
      <c r="E1127">
        <v>60</v>
      </c>
      <c r="F1127">
        <v>59.959468842</v>
      </c>
      <c r="G1127">
        <v>1293.2384033000001</v>
      </c>
      <c r="H1127">
        <v>1278.0415039</v>
      </c>
      <c r="I1127">
        <v>1397.4501952999999</v>
      </c>
      <c r="J1127">
        <v>1377.9644774999999</v>
      </c>
      <c r="K1127">
        <v>0</v>
      </c>
      <c r="L1127">
        <v>2750</v>
      </c>
      <c r="M1127">
        <v>2750</v>
      </c>
      <c r="N1127">
        <v>0</v>
      </c>
    </row>
    <row r="1128" spans="1:14" x14ac:dyDescent="0.25">
      <c r="A1128">
        <v>623.04281300000002</v>
      </c>
      <c r="B1128" s="1">
        <f>DATE(2012,1,14) + TIME(1,1,39)</f>
        <v>40922.042812500003</v>
      </c>
      <c r="C1128">
        <v>80</v>
      </c>
      <c r="D1128">
        <v>71.831680297999995</v>
      </c>
      <c r="E1128">
        <v>60</v>
      </c>
      <c r="F1128">
        <v>59.959529877000001</v>
      </c>
      <c r="G1128">
        <v>1293.0799560999999</v>
      </c>
      <c r="H1128">
        <v>1277.8328856999999</v>
      </c>
      <c r="I1128">
        <v>1397.3892822</v>
      </c>
      <c r="J1128">
        <v>1377.9106445</v>
      </c>
      <c r="K1128">
        <v>0</v>
      </c>
      <c r="L1128">
        <v>2750</v>
      </c>
      <c r="M1128">
        <v>2750</v>
      </c>
      <c r="N1128">
        <v>0</v>
      </c>
    </row>
    <row r="1129" spans="1:14" x14ac:dyDescent="0.25">
      <c r="A1129">
        <v>624.78935999999999</v>
      </c>
      <c r="B1129" s="1">
        <f>DATE(2012,1,15) + TIME(18,56,40)</f>
        <v>40923.789351851854</v>
      </c>
      <c r="C1129">
        <v>80</v>
      </c>
      <c r="D1129">
        <v>71.691329956000004</v>
      </c>
      <c r="E1129">
        <v>60</v>
      </c>
      <c r="F1129">
        <v>59.959594727000002</v>
      </c>
      <c r="G1129">
        <v>1292.9161377</v>
      </c>
      <c r="H1129">
        <v>1277.6162108999999</v>
      </c>
      <c r="I1129">
        <v>1397.3284911999999</v>
      </c>
      <c r="J1129">
        <v>1377.8569336</v>
      </c>
      <c r="K1129">
        <v>0</v>
      </c>
      <c r="L1129">
        <v>2750</v>
      </c>
      <c r="M1129">
        <v>2750</v>
      </c>
      <c r="N1129">
        <v>0</v>
      </c>
    </row>
    <row r="1130" spans="1:14" x14ac:dyDescent="0.25">
      <c r="A1130">
        <v>626.58156199999996</v>
      </c>
      <c r="B1130" s="1">
        <f>DATE(2012,1,17) + TIME(13,57,26)</f>
        <v>40925.581550925926</v>
      </c>
      <c r="C1130">
        <v>80</v>
      </c>
      <c r="D1130">
        <v>71.548324585000003</v>
      </c>
      <c r="E1130">
        <v>60</v>
      </c>
      <c r="F1130">
        <v>59.959663390999999</v>
      </c>
      <c r="G1130">
        <v>1292.7454834</v>
      </c>
      <c r="H1130">
        <v>1277.3900146000001</v>
      </c>
      <c r="I1130">
        <v>1397.2678223</v>
      </c>
      <c r="J1130">
        <v>1377.8032227000001</v>
      </c>
      <c r="K1130">
        <v>0</v>
      </c>
      <c r="L1130">
        <v>2750</v>
      </c>
      <c r="M1130">
        <v>2750</v>
      </c>
      <c r="N1130">
        <v>0</v>
      </c>
    </row>
    <row r="1131" spans="1:14" x14ac:dyDescent="0.25">
      <c r="A1131">
        <v>628.413274</v>
      </c>
      <c r="B1131" s="1">
        <f>DATE(2012,1,19) + TIME(9,55,6)</f>
        <v>40927.413263888891</v>
      </c>
      <c r="C1131">
        <v>80</v>
      </c>
      <c r="D1131">
        <v>71.402145386000001</v>
      </c>
      <c r="E1131">
        <v>60</v>
      </c>
      <c r="F1131">
        <v>59.959732056</v>
      </c>
      <c r="G1131">
        <v>1292.5672606999999</v>
      </c>
      <c r="H1131">
        <v>1277.152832</v>
      </c>
      <c r="I1131">
        <v>1397.2066649999999</v>
      </c>
      <c r="J1131">
        <v>1377.7490233999999</v>
      </c>
      <c r="K1131">
        <v>0</v>
      </c>
      <c r="L1131">
        <v>2750</v>
      </c>
      <c r="M1131">
        <v>2750</v>
      </c>
      <c r="N1131">
        <v>0</v>
      </c>
    </row>
    <row r="1132" spans="1:14" x14ac:dyDescent="0.25">
      <c r="A1132">
        <v>630.24902799999995</v>
      </c>
      <c r="B1132" s="1">
        <f>DATE(2012,1,21) + TIME(5,58,36)</f>
        <v>40929.249027777776</v>
      </c>
      <c r="C1132">
        <v>80</v>
      </c>
      <c r="D1132">
        <v>71.253555297999995</v>
      </c>
      <c r="E1132">
        <v>60</v>
      </c>
      <c r="F1132">
        <v>59.959800719999997</v>
      </c>
      <c r="G1132">
        <v>1292.3814697</v>
      </c>
      <c r="H1132">
        <v>1276.9050293</v>
      </c>
      <c r="I1132">
        <v>1397.1455077999999</v>
      </c>
      <c r="J1132">
        <v>1377.6948242000001</v>
      </c>
      <c r="K1132">
        <v>0</v>
      </c>
      <c r="L1132">
        <v>2750</v>
      </c>
      <c r="M1132">
        <v>2750</v>
      </c>
      <c r="N1132">
        <v>0</v>
      </c>
    </row>
    <row r="1133" spans="1:14" x14ac:dyDescent="0.25">
      <c r="A1133">
        <v>632.09709399999997</v>
      </c>
      <c r="B1133" s="1">
        <f>DATE(2012,1,23) + TIME(2,19,48)</f>
        <v>40931.097083333334</v>
      </c>
      <c r="C1133">
        <v>80</v>
      </c>
      <c r="D1133">
        <v>71.103675842000001</v>
      </c>
      <c r="E1133">
        <v>60</v>
      </c>
      <c r="F1133">
        <v>59.959869384999998</v>
      </c>
      <c r="G1133">
        <v>1292.1914062000001</v>
      </c>
      <c r="H1133">
        <v>1276.6503906</v>
      </c>
      <c r="I1133">
        <v>1397.0853271000001</v>
      </c>
      <c r="J1133">
        <v>1377.6413574000001</v>
      </c>
      <c r="K1133">
        <v>0</v>
      </c>
      <c r="L1133">
        <v>2750</v>
      </c>
      <c r="M1133">
        <v>2750</v>
      </c>
      <c r="N1133">
        <v>0</v>
      </c>
    </row>
    <row r="1134" spans="1:14" x14ac:dyDescent="0.25">
      <c r="A1134">
        <v>633.96713599999998</v>
      </c>
      <c r="B1134" s="1">
        <f>DATE(2012,1,24) + TIME(23,12,40)</f>
        <v>40932.967129629629</v>
      </c>
      <c r="C1134">
        <v>80</v>
      </c>
      <c r="D1134">
        <v>70.952194214000002</v>
      </c>
      <c r="E1134">
        <v>60</v>
      </c>
      <c r="F1134">
        <v>59.959938049000002</v>
      </c>
      <c r="G1134">
        <v>1291.9964600000001</v>
      </c>
      <c r="H1134">
        <v>1276.3883057</v>
      </c>
      <c r="I1134">
        <v>1397.0258789</v>
      </c>
      <c r="J1134">
        <v>1377.5886230000001</v>
      </c>
      <c r="K1134">
        <v>0</v>
      </c>
      <c r="L1134">
        <v>2750</v>
      </c>
      <c r="M1134">
        <v>2750</v>
      </c>
      <c r="N1134">
        <v>0</v>
      </c>
    </row>
    <row r="1135" spans="1:14" x14ac:dyDescent="0.25">
      <c r="A1135">
        <v>635.86873700000001</v>
      </c>
      <c r="B1135" s="1">
        <f>DATE(2012,1,26) + TIME(20,50,58)</f>
        <v>40934.868726851855</v>
      </c>
      <c r="C1135">
        <v>80</v>
      </c>
      <c r="D1135">
        <v>70.798324585000003</v>
      </c>
      <c r="E1135">
        <v>60</v>
      </c>
      <c r="F1135">
        <v>59.960006714000002</v>
      </c>
      <c r="G1135">
        <v>1291.7954102000001</v>
      </c>
      <c r="H1135">
        <v>1276.1171875</v>
      </c>
      <c r="I1135">
        <v>1396.9669189000001</v>
      </c>
      <c r="J1135">
        <v>1377.5361327999999</v>
      </c>
      <c r="K1135">
        <v>0</v>
      </c>
      <c r="L1135">
        <v>2750</v>
      </c>
      <c r="M1135">
        <v>2750</v>
      </c>
      <c r="N1135">
        <v>0</v>
      </c>
    </row>
    <row r="1136" spans="1:14" x14ac:dyDescent="0.25">
      <c r="A1136">
        <v>637.81208800000002</v>
      </c>
      <c r="B1136" s="1">
        <f>DATE(2012,1,28) + TIME(19,29,24)</f>
        <v>40936.812083333331</v>
      </c>
      <c r="C1136">
        <v>80</v>
      </c>
      <c r="D1136">
        <v>70.641113281000003</v>
      </c>
      <c r="E1136">
        <v>60</v>
      </c>
      <c r="F1136">
        <v>59.960079192999999</v>
      </c>
      <c r="G1136">
        <v>1291.5874022999999</v>
      </c>
      <c r="H1136">
        <v>1275.8356934000001</v>
      </c>
      <c r="I1136">
        <v>1396.9079589999999</v>
      </c>
      <c r="J1136">
        <v>1377.4837646000001</v>
      </c>
      <c r="K1136">
        <v>0</v>
      </c>
      <c r="L1136">
        <v>2750</v>
      </c>
      <c r="M1136">
        <v>2750</v>
      </c>
      <c r="N1136">
        <v>0</v>
      </c>
    </row>
    <row r="1137" spans="1:14" x14ac:dyDescent="0.25">
      <c r="A1137">
        <v>639.80826500000001</v>
      </c>
      <c r="B1137" s="1">
        <f>DATE(2012,1,30) + TIME(19,23,54)</f>
        <v>40938.808263888888</v>
      </c>
      <c r="C1137">
        <v>80</v>
      </c>
      <c r="D1137">
        <v>70.479492187999995</v>
      </c>
      <c r="E1137">
        <v>60</v>
      </c>
      <c r="F1137">
        <v>59.960155487000002</v>
      </c>
      <c r="G1137">
        <v>1291.3709716999999</v>
      </c>
      <c r="H1137">
        <v>1275.5419922000001</v>
      </c>
      <c r="I1137">
        <v>1396.8488769999999</v>
      </c>
      <c r="J1137">
        <v>1377.4311522999999</v>
      </c>
      <c r="K1137">
        <v>0</v>
      </c>
      <c r="L1137">
        <v>2750</v>
      </c>
      <c r="M1137">
        <v>2750</v>
      </c>
      <c r="N1137">
        <v>0</v>
      </c>
    </row>
    <row r="1138" spans="1:14" x14ac:dyDescent="0.25">
      <c r="A1138">
        <v>641</v>
      </c>
      <c r="B1138" s="1">
        <f>DATE(2012,2,1) + TIME(0,0,0)</f>
        <v>40940</v>
      </c>
      <c r="C1138">
        <v>80</v>
      </c>
      <c r="D1138">
        <v>70.339225768999995</v>
      </c>
      <c r="E1138">
        <v>60</v>
      </c>
      <c r="F1138">
        <v>59.960193633999999</v>
      </c>
      <c r="G1138">
        <v>1291.1486815999999</v>
      </c>
      <c r="H1138">
        <v>1275.2460937999999</v>
      </c>
      <c r="I1138">
        <v>1396.7888184000001</v>
      </c>
      <c r="J1138">
        <v>1377.3775635</v>
      </c>
      <c r="K1138">
        <v>0</v>
      </c>
      <c r="L1138">
        <v>2750</v>
      </c>
      <c r="M1138">
        <v>2750</v>
      </c>
      <c r="N1138">
        <v>0</v>
      </c>
    </row>
    <row r="1139" spans="1:14" x14ac:dyDescent="0.25">
      <c r="A1139">
        <v>643.02878799999996</v>
      </c>
      <c r="B1139" s="1">
        <f>DATE(2012,2,3) + TIME(0,41,27)</f>
        <v>40942.028784722221</v>
      </c>
      <c r="C1139">
        <v>80</v>
      </c>
      <c r="D1139">
        <v>70.201484679999993</v>
      </c>
      <c r="E1139">
        <v>60</v>
      </c>
      <c r="F1139">
        <v>59.960273743000002</v>
      </c>
      <c r="G1139">
        <v>1291.0002440999999</v>
      </c>
      <c r="H1139">
        <v>1275.0323486</v>
      </c>
      <c r="I1139">
        <v>1396.7541504000001</v>
      </c>
      <c r="J1139">
        <v>1377.3466797000001</v>
      </c>
      <c r="K1139">
        <v>0</v>
      </c>
      <c r="L1139">
        <v>2750</v>
      </c>
      <c r="M1139">
        <v>2750</v>
      </c>
      <c r="N1139">
        <v>0</v>
      </c>
    </row>
    <row r="1140" spans="1:14" x14ac:dyDescent="0.25">
      <c r="A1140">
        <v>645.073173</v>
      </c>
      <c r="B1140" s="1">
        <f>DATE(2012,2,5) + TIME(1,45,22)</f>
        <v>40944.073171296295</v>
      </c>
      <c r="C1140">
        <v>80</v>
      </c>
      <c r="D1140">
        <v>70.037757873999993</v>
      </c>
      <c r="E1140">
        <v>60</v>
      </c>
      <c r="F1140">
        <v>59.960350036999998</v>
      </c>
      <c r="G1140">
        <v>1290.7689209</v>
      </c>
      <c r="H1140">
        <v>1274.7191161999999</v>
      </c>
      <c r="I1140">
        <v>1396.6953125</v>
      </c>
      <c r="J1140">
        <v>1377.2941894999999</v>
      </c>
      <c r="K1140">
        <v>0</v>
      </c>
      <c r="L1140">
        <v>2750</v>
      </c>
      <c r="M1140">
        <v>2750</v>
      </c>
      <c r="N1140">
        <v>0</v>
      </c>
    </row>
    <row r="1141" spans="1:14" x14ac:dyDescent="0.25">
      <c r="A1141">
        <v>647.13982399999998</v>
      </c>
      <c r="B1141" s="1">
        <f>DATE(2012,2,7) + TIME(3,21,20)</f>
        <v>40946.139814814815</v>
      </c>
      <c r="C1141">
        <v>80</v>
      </c>
      <c r="D1141">
        <v>69.864311217999997</v>
      </c>
      <c r="E1141">
        <v>60</v>
      </c>
      <c r="F1141">
        <v>59.960426331000001</v>
      </c>
      <c r="G1141">
        <v>1290.5274658000001</v>
      </c>
      <c r="H1141">
        <v>1274.3884277</v>
      </c>
      <c r="I1141">
        <v>1396.6369629000001</v>
      </c>
      <c r="J1141">
        <v>1377.2420654</v>
      </c>
      <c r="K1141">
        <v>0</v>
      </c>
      <c r="L1141">
        <v>2750</v>
      </c>
      <c r="M1141">
        <v>2750</v>
      </c>
      <c r="N1141">
        <v>0</v>
      </c>
    </row>
    <row r="1142" spans="1:14" x14ac:dyDescent="0.25">
      <c r="A1142">
        <v>649.23944400000005</v>
      </c>
      <c r="B1142" s="1">
        <f>DATE(2012,2,9) + TIME(5,44,47)</f>
        <v>40948.239432870374</v>
      </c>
      <c r="C1142">
        <v>80</v>
      </c>
      <c r="D1142">
        <v>69.684860228999995</v>
      </c>
      <c r="E1142">
        <v>60</v>
      </c>
      <c r="F1142">
        <v>59.960502624999997</v>
      </c>
      <c r="G1142">
        <v>1290.2781981999999</v>
      </c>
      <c r="H1142">
        <v>1274.0451660000001</v>
      </c>
      <c r="I1142">
        <v>1396.5789795000001</v>
      </c>
      <c r="J1142">
        <v>1377.1903076000001</v>
      </c>
      <c r="K1142">
        <v>0</v>
      </c>
      <c r="L1142">
        <v>2750</v>
      </c>
      <c r="M1142">
        <v>2750</v>
      </c>
      <c r="N1142">
        <v>0</v>
      </c>
    </row>
    <row r="1143" spans="1:14" x14ac:dyDescent="0.25">
      <c r="A1143">
        <v>651.38319000000001</v>
      </c>
      <c r="B1143" s="1">
        <f>DATE(2012,2,11) + TIME(9,11,47)</f>
        <v>40950.38318287037</v>
      </c>
      <c r="C1143">
        <v>80</v>
      </c>
      <c r="D1143">
        <v>69.499427795000003</v>
      </c>
      <c r="E1143">
        <v>60</v>
      </c>
      <c r="F1143">
        <v>59.960578918000003</v>
      </c>
      <c r="G1143">
        <v>1290.0206298999999</v>
      </c>
      <c r="H1143">
        <v>1273.6892089999999</v>
      </c>
      <c r="I1143">
        <v>1396.5209961</v>
      </c>
      <c r="J1143">
        <v>1377.1384277</v>
      </c>
      <c r="K1143">
        <v>0</v>
      </c>
      <c r="L1143">
        <v>2750</v>
      </c>
      <c r="M1143">
        <v>2750</v>
      </c>
      <c r="N1143">
        <v>0</v>
      </c>
    </row>
    <row r="1144" spans="1:14" x14ac:dyDescent="0.25">
      <c r="A1144">
        <v>653.56616099999997</v>
      </c>
      <c r="B1144" s="1">
        <f>DATE(2012,2,13) + TIME(13,35,16)</f>
        <v>40952.566157407404</v>
      </c>
      <c r="C1144">
        <v>80</v>
      </c>
      <c r="D1144">
        <v>69.307289123999993</v>
      </c>
      <c r="E1144">
        <v>60</v>
      </c>
      <c r="F1144">
        <v>59.960659026999998</v>
      </c>
      <c r="G1144">
        <v>1289.7532959</v>
      </c>
      <c r="H1144">
        <v>1273.3187256000001</v>
      </c>
      <c r="I1144">
        <v>1396.4628906</v>
      </c>
      <c r="J1144">
        <v>1377.0863036999999</v>
      </c>
      <c r="K1144">
        <v>0</v>
      </c>
      <c r="L1144">
        <v>2750</v>
      </c>
      <c r="M1144">
        <v>2750</v>
      </c>
      <c r="N1144">
        <v>0</v>
      </c>
    </row>
    <row r="1145" spans="1:14" x14ac:dyDescent="0.25">
      <c r="A1145">
        <v>655.79013699999996</v>
      </c>
      <c r="B1145" s="1">
        <f>DATE(2012,2,15) + TIME(18,57,47)</f>
        <v>40954.790127314816</v>
      </c>
      <c r="C1145">
        <v>80</v>
      </c>
      <c r="D1145">
        <v>69.108047485</v>
      </c>
      <c r="E1145">
        <v>60</v>
      </c>
      <c r="F1145">
        <v>59.960742949999997</v>
      </c>
      <c r="G1145">
        <v>1289.4768065999999</v>
      </c>
      <c r="H1145">
        <v>1272.9343262</v>
      </c>
      <c r="I1145">
        <v>1396.4045410000001</v>
      </c>
      <c r="J1145">
        <v>1377.0339355000001</v>
      </c>
      <c r="K1145">
        <v>0</v>
      </c>
      <c r="L1145">
        <v>2750</v>
      </c>
      <c r="M1145">
        <v>2750</v>
      </c>
      <c r="N1145">
        <v>0</v>
      </c>
    </row>
    <row r="1146" spans="1:14" x14ac:dyDescent="0.25">
      <c r="A1146">
        <v>658.03514099999995</v>
      </c>
      <c r="B1146" s="1">
        <f>DATE(2012,2,18) + TIME(0,50,36)</f>
        <v>40957.035138888888</v>
      </c>
      <c r="C1146">
        <v>80</v>
      </c>
      <c r="D1146">
        <v>68.901588439999998</v>
      </c>
      <c r="E1146">
        <v>60</v>
      </c>
      <c r="F1146">
        <v>59.960823058999999</v>
      </c>
      <c r="G1146">
        <v>1289.190918</v>
      </c>
      <c r="H1146">
        <v>1272.5354004000001</v>
      </c>
      <c r="I1146">
        <v>1396.3459473</v>
      </c>
      <c r="J1146">
        <v>1376.9814452999999</v>
      </c>
      <c r="K1146">
        <v>0</v>
      </c>
      <c r="L1146">
        <v>2750</v>
      </c>
      <c r="M1146">
        <v>2750</v>
      </c>
      <c r="N1146">
        <v>0</v>
      </c>
    </row>
    <row r="1147" spans="1:14" x14ac:dyDescent="0.25">
      <c r="A1147">
        <v>660.298405</v>
      </c>
      <c r="B1147" s="1">
        <f>DATE(2012,2,20) + TIME(7,9,42)</f>
        <v>40959.298402777778</v>
      </c>
      <c r="C1147">
        <v>80</v>
      </c>
      <c r="D1147">
        <v>68.688514709000003</v>
      </c>
      <c r="E1147">
        <v>60</v>
      </c>
      <c r="F1147">
        <v>59.960903168000002</v>
      </c>
      <c r="G1147">
        <v>1288.8975829999999</v>
      </c>
      <c r="H1147">
        <v>1272.1248779</v>
      </c>
      <c r="I1147">
        <v>1396.2878418</v>
      </c>
      <c r="J1147">
        <v>1376.9291992000001</v>
      </c>
      <c r="K1147">
        <v>0</v>
      </c>
      <c r="L1147">
        <v>2750</v>
      </c>
      <c r="M1147">
        <v>2750</v>
      </c>
      <c r="N1147">
        <v>0</v>
      </c>
    </row>
    <row r="1148" spans="1:14" x14ac:dyDescent="0.25">
      <c r="A1148">
        <v>662.59086000000002</v>
      </c>
      <c r="B1148" s="1">
        <f>DATE(2012,2,22) + TIME(14,10,50)</f>
        <v>40961.590856481482</v>
      </c>
      <c r="C1148">
        <v>80</v>
      </c>
      <c r="D1148">
        <v>68.468528747999997</v>
      </c>
      <c r="E1148">
        <v>60</v>
      </c>
      <c r="F1148">
        <v>59.960987091</v>
      </c>
      <c r="G1148">
        <v>1288.5975341999999</v>
      </c>
      <c r="H1148">
        <v>1271.7033690999999</v>
      </c>
      <c r="I1148">
        <v>1396.2299805</v>
      </c>
      <c r="J1148">
        <v>1376.8771973</v>
      </c>
      <c r="K1148">
        <v>0</v>
      </c>
      <c r="L1148">
        <v>2750</v>
      </c>
      <c r="M1148">
        <v>2750</v>
      </c>
      <c r="N1148">
        <v>0</v>
      </c>
    </row>
    <row r="1149" spans="1:14" x14ac:dyDescent="0.25">
      <c r="A1149">
        <v>664.923768</v>
      </c>
      <c r="B1149" s="1">
        <f>DATE(2012,2,24) + TIME(22,10,13)</f>
        <v>40963.923761574071</v>
      </c>
      <c r="C1149">
        <v>80</v>
      </c>
      <c r="D1149">
        <v>68.240356445000003</v>
      </c>
      <c r="E1149">
        <v>60</v>
      </c>
      <c r="F1149">
        <v>59.961071013999998</v>
      </c>
      <c r="G1149">
        <v>1288.2894286999999</v>
      </c>
      <c r="H1149">
        <v>1271.269043</v>
      </c>
      <c r="I1149">
        <v>1396.1722411999999</v>
      </c>
      <c r="J1149">
        <v>1376.8251952999999</v>
      </c>
      <c r="K1149">
        <v>0</v>
      </c>
      <c r="L1149">
        <v>2750</v>
      </c>
      <c r="M1149">
        <v>2750</v>
      </c>
      <c r="N1149">
        <v>0</v>
      </c>
    </row>
    <row r="1150" spans="1:14" x14ac:dyDescent="0.25">
      <c r="A1150">
        <v>667.28796999999997</v>
      </c>
      <c r="B1150" s="1">
        <f>DATE(2012,2,27) + TIME(6,54,40)</f>
        <v>40966.287962962961</v>
      </c>
      <c r="C1150">
        <v>80</v>
      </c>
      <c r="D1150">
        <v>68.002868652000004</v>
      </c>
      <c r="E1150">
        <v>60</v>
      </c>
      <c r="F1150">
        <v>59.961154938</v>
      </c>
      <c r="G1150">
        <v>1287.9719238</v>
      </c>
      <c r="H1150">
        <v>1270.8203125</v>
      </c>
      <c r="I1150">
        <v>1396.1142577999999</v>
      </c>
      <c r="J1150">
        <v>1376.7729492000001</v>
      </c>
      <c r="K1150">
        <v>0</v>
      </c>
      <c r="L1150">
        <v>2750</v>
      </c>
      <c r="M1150">
        <v>2750</v>
      </c>
      <c r="N1150">
        <v>0</v>
      </c>
    </row>
    <row r="1151" spans="1:14" x14ac:dyDescent="0.25">
      <c r="A1151">
        <v>669.69099600000004</v>
      </c>
      <c r="B1151" s="1">
        <f>DATE(2012,2,29) + TIME(16,35,2)</f>
        <v>40968.690995370373</v>
      </c>
      <c r="C1151">
        <v>80</v>
      </c>
      <c r="D1151">
        <v>67.755653381000002</v>
      </c>
      <c r="E1151">
        <v>60</v>
      </c>
      <c r="F1151">
        <v>59.961242675999998</v>
      </c>
      <c r="G1151">
        <v>1287.6459961</v>
      </c>
      <c r="H1151">
        <v>1270.3579102000001</v>
      </c>
      <c r="I1151">
        <v>1396.0563964999999</v>
      </c>
      <c r="J1151">
        <v>1376.7207031</v>
      </c>
      <c r="K1151">
        <v>0</v>
      </c>
      <c r="L1151">
        <v>2750</v>
      </c>
      <c r="M1151">
        <v>2750</v>
      </c>
      <c r="N1151">
        <v>0</v>
      </c>
    </row>
    <row r="1152" spans="1:14" x14ac:dyDescent="0.25">
      <c r="A1152">
        <v>670</v>
      </c>
      <c r="B1152" s="1">
        <f>DATE(2012,3,1) + TIME(0,0,0)</f>
        <v>40969</v>
      </c>
      <c r="C1152">
        <v>80</v>
      </c>
      <c r="D1152">
        <v>67.653968810999999</v>
      </c>
      <c r="E1152">
        <v>60</v>
      </c>
      <c r="F1152">
        <v>59.961242675999998</v>
      </c>
      <c r="G1152">
        <v>1287.3386230000001</v>
      </c>
      <c r="H1152">
        <v>1269.9652100000001</v>
      </c>
      <c r="I1152">
        <v>1395.9979248</v>
      </c>
      <c r="J1152">
        <v>1376.6678466999999</v>
      </c>
      <c r="K1152">
        <v>0</v>
      </c>
      <c r="L1152">
        <v>2750</v>
      </c>
      <c r="M1152">
        <v>2750</v>
      </c>
      <c r="N1152">
        <v>0</v>
      </c>
    </row>
    <row r="1153" spans="1:14" x14ac:dyDescent="0.25">
      <c r="A1153">
        <v>672.42346899999995</v>
      </c>
      <c r="B1153" s="1">
        <f>DATE(2012,3,3) + TIME(10,9,47)</f>
        <v>40971.423460648148</v>
      </c>
      <c r="C1153">
        <v>80</v>
      </c>
      <c r="D1153">
        <v>67.448684692</v>
      </c>
      <c r="E1153">
        <v>60</v>
      </c>
      <c r="F1153">
        <v>59.961338042999998</v>
      </c>
      <c r="G1153">
        <v>1287.255249</v>
      </c>
      <c r="H1153">
        <v>1269.7946777</v>
      </c>
      <c r="I1153">
        <v>1395.9906006000001</v>
      </c>
      <c r="J1153">
        <v>1376.6613769999999</v>
      </c>
      <c r="K1153">
        <v>0</v>
      </c>
      <c r="L1153">
        <v>2750</v>
      </c>
      <c r="M1153">
        <v>2750</v>
      </c>
      <c r="N1153">
        <v>0</v>
      </c>
    </row>
    <row r="1154" spans="1:14" x14ac:dyDescent="0.25">
      <c r="A1154">
        <v>674.86586299999999</v>
      </c>
      <c r="B1154" s="1">
        <f>DATE(2012,3,5) + TIME(20,46,50)</f>
        <v>40973.865856481483</v>
      </c>
      <c r="C1154">
        <v>80</v>
      </c>
      <c r="D1154">
        <v>67.192474364999995</v>
      </c>
      <c r="E1154">
        <v>60</v>
      </c>
      <c r="F1154">
        <v>59.961421967</v>
      </c>
      <c r="G1154">
        <v>1286.9222411999999</v>
      </c>
      <c r="H1154">
        <v>1269.3239745999999</v>
      </c>
      <c r="I1154">
        <v>1395.9329834</v>
      </c>
      <c r="J1154">
        <v>1376.6091309000001</v>
      </c>
      <c r="K1154">
        <v>0</v>
      </c>
      <c r="L1154">
        <v>2750</v>
      </c>
      <c r="M1154">
        <v>2750</v>
      </c>
      <c r="N1154">
        <v>0</v>
      </c>
    </row>
    <row r="1155" spans="1:14" x14ac:dyDescent="0.25">
      <c r="A1155">
        <v>677.33694100000002</v>
      </c>
      <c r="B1155" s="1">
        <f>DATE(2012,3,8) + TIME(8,5,11)</f>
        <v>40976.33693287037</v>
      </c>
      <c r="C1155">
        <v>80</v>
      </c>
      <c r="D1155">
        <v>66.916801453000005</v>
      </c>
      <c r="E1155">
        <v>60</v>
      </c>
      <c r="F1155">
        <v>59.961509704999997</v>
      </c>
      <c r="G1155">
        <v>1286.5755615</v>
      </c>
      <c r="H1155">
        <v>1268.8278809000001</v>
      </c>
      <c r="I1155">
        <v>1395.8752440999999</v>
      </c>
      <c r="J1155">
        <v>1376.5570068</v>
      </c>
      <c r="K1155">
        <v>0</v>
      </c>
      <c r="L1155">
        <v>2750</v>
      </c>
      <c r="M1155">
        <v>2750</v>
      </c>
      <c r="N1155">
        <v>0</v>
      </c>
    </row>
    <row r="1156" spans="1:14" x14ac:dyDescent="0.25">
      <c r="A1156">
        <v>679.84863600000006</v>
      </c>
      <c r="B1156" s="1">
        <f>DATE(2012,3,10) + TIME(20,22,2)</f>
        <v>40978.848634259259</v>
      </c>
      <c r="C1156">
        <v>80</v>
      </c>
      <c r="D1156">
        <v>66.627555846999996</v>
      </c>
      <c r="E1156">
        <v>60</v>
      </c>
      <c r="F1156">
        <v>59.961597443000002</v>
      </c>
      <c r="G1156">
        <v>1286.2198486</v>
      </c>
      <c r="H1156">
        <v>1268.3160399999999</v>
      </c>
      <c r="I1156">
        <v>1395.8176269999999</v>
      </c>
      <c r="J1156">
        <v>1376.5047606999999</v>
      </c>
      <c r="K1156">
        <v>0</v>
      </c>
      <c r="L1156">
        <v>2750</v>
      </c>
      <c r="M1156">
        <v>2750</v>
      </c>
      <c r="N1156">
        <v>0</v>
      </c>
    </row>
    <row r="1157" spans="1:14" x14ac:dyDescent="0.25">
      <c r="A1157">
        <v>682.41367500000001</v>
      </c>
      <c r="B1157" s="1">
        <f>DATE(2012,3,13) + TIME(9,55,41)</f>
        <v>40981.413668981484</v>
      </c>
      <c r="C1157">
        <v>80</v>
      </c>
      <c r="D1157">
        <v>66.324523925999998</v>
      </c>
      <c r="E1157">
        <v>60</v>
      </c>
      <c r="F1157">
        <v>59.961688995000003</v>
      </c>
      <c r="G1157">
        <v>1285.8549805</v>
      </c>
      <c r="H1157">
        <v>1267.7889404</v>
      </c>
      <c r="I1157">
        <v>1395.7596435999999</v>
      </c>
      <c r="J1157">
        <v>1376.4520264</v>
      </c>
      <c r="K1157">
        <v>0</v>
      </c>
      <c r="L1157">
        <v>2750</v>
      </c>
      <c r="M1157">
        <v>2750</v>
      </c>
      <c r="N1157">
        <v>0</v>
      </c>
    </row>
    <row r="1158" spans="1:14" x14ac:dyDescent="0.25">
      <c r="A1158">
        <v>685.01970300000005</v>
      </c>
      <c r="B1158" s="1">
        <f>DATE(2012,3,16) + TIME(0,28,22)</f>
        <v>40984.019699074073</v>
      </c>
      <c r="C1158">
        <v>80</v>
      </c>
      <c r="D1158">
        <v>66.006584167</v>
      </c>
      <c r="E1158">
        <v>60</v>
      </c>
      <c r="F1158">
        <v>59.961776733000001</v>
      </c>
      <c r="G1158">
        <v>1285.4796143000001</v>
      </c>
      <c r="H1158">
        <v>1267.2449951000001</v>
      </c>
      <c r="I1158">
        <v>1395.7009277</v>
      </c>
      <c r="J1158">
        <v>1376.3988036999999</v>
      </c>
      <c r="K1158">
        <v>0</v>
      </c>
      <c r="L1158">
        <v>2750</v>
      </c>
      <c r="M1158">
        <v>2750</v>
      </c>
      <c r="N1158">
        <v>0</v>
      </c>
    </row>
    <row r="1159" spans="1:14" x14ac:dyDescent="0.25">
      <c r="A1159">
        <v>687.63946599999997</v>
      </c>
      <c r="B1159" s="1">
        <f>DATE(2012,3,18) + TIME(15,20,49)</f>
        <v>40986.639456018522</v>
      </c>
      <c r="C1159">
        <v>80</v>
      </c>
      <c r="D1159">
        <v>65.674606323000006</v>
      </c>
      <c r="E1159">
        <v>60</v>
      </c>
      <c r="F1159">
        <v>59.961868285999998</v>
      </c>
      <c r="G1159">
        <v>1285.0957031</v>
      </c>
      <c r="H1159">
        <v>1266.6866454999999</v>
      </c>
      <c r="I1159">
        <v>1395.6419678</v>
      </c>
      <c r="J1159">
        <v>1376.3450928</v>
      </c>
      <c r="K1159">
        <v>0</v>
      </c>
      <c r="L1159">
        <v>2750</v>
      </c>
      <c r="M1159">
        <v>2750</v>
      </c>
      <c r="N1159">
        <v>0</v>
      </c>
    </row>
    <row r="1160" spans="1:14" x14ac:dyDescent="0.25">
      <c r="A1160">
        <v>690.27284199999997</v>
      </c>
      <c r="B1160" s="1">
        <f>DATE(2012,3,21) + TIME(6,32,53)</f>
        <v>40989.272835648146</v>
      </c>
      <c r="C1160">
        <v>80</v>
      </c>
      <c r="D1160">
        <v>65.330543517999999</v>
      </c>
      <c r="E1160">
        <v>60</v>
      </c>
      <c r="F1160">
        <v>59.961959839000002</v>
      </c>
      <c r="G1160">
        <v>1284.7070312000001</v>
      </c>
      <c r="H1160">
        <v>1266.1190185999999</v>
      </c>
      <c r="I1160">
        <v>1395.5831298999999</v>
      </c>
      <c r="J1160">
        <v>1376.2915039</v>
      </c>
      <c r="K1160">
        <v>0</v>
      </c>
      <c r="L1160">
        <v>2750</v>
      </c>
      <c r="M1160">
        <v>2750</v>
      </c>
      <c r="N1160">
        <v>0</v>
      </c>
    </row>
    <row r="1161" spans="1:14" x14ac:dyDescent="0.25">
      <c r="A1161">
        <v>692.93232</v>
      </c>
      <c r="B1161" s="1">
        <f>DATE(2012,3,23) + TIME(22,22,32)</f>
        <v>40991.932314814818</v>
      </c>
      <c r="C1161">
        <v>80</v>
      </c>
      <c r="D1161">
        <v>64.974403381000002</v>
      </c>
      <c r="E1161">
        <v>60</v>
      </c>
      <c r="F1161">
        <v>59.962047577</v>
      </c>
      <c r="G1161">
        <v>1284.3145752</v>
      </c>
      <c r="H1161">
        <v>1265.543457</v>
      </c>
      <c r="I1161">
        <v>1395.5245361</v>
      </c>
      <c r="J1161">
        <v>1376.2380370999999</v>
      </c>
      <c r="K1161">
        <v>0</v>
      </c>
      <c r="L1161">
        <v>2750</v>
      </c>
      <c r="M1161">
        <v>2750</v>
      </c>
      <c r="N1161">
        <v>0</v>
      </c>
    </row>
    <row r="1162" spans="1:14" x14ac:dyDescent="0.25">
      <c r="A1162">
        <v>695.63054099999999</v>
      </c>
      <c r="B1162" s="1">
        <f>DATE(2012,3,26) + TIME(15,7,58)</f>
        <v>40994.630532407406</v>
      </c>
      <c r="C1162">
        <v>80</v>
      </c>
      <c r="D1162">
        <v>64.605010985999996</v>
      </c>
      <c r="E1162">
        <v>60</v>
      </c>
      <c r="F1162">
        <v>59.962139129999997</v>
      </c>
      <c r="G1162">
        <v>1283.9168701000001</v>
      </c>
      <c r="H1162">
        <v>1264.9580077999999</v>
      </c>
      <c r="I1162">
        <v>1395.4656981999999</v>
      </c>
      <c r="J1162">
        <v>1376.1844481999999</v>
      </c>
      <c r="K1162">
        <v>0</v>
      </c>
      <c r="L1162">
        <v>2750</v>
      </c>
      <c r="M1162">
        <v>2750</v>
      </c>
      <c r="N1162">
        <v>0</v>
      </c>
    </row>
    <row r="1163" spans="1:14" x14ac:dyDescent="0.25">
      <c r="A1163">
        <v>698.37837500000001</v>
      </c>
      <c r="B1163" s="1">
        <f>DATE(2012,3,29) + TIME(9,4,51)</f>
        <v>40997.378368055557</v>
      </c>
      <c r="C1163">
        <v>80</v>
      </c>
      <c r="D1163">
        <v>64.220451354999994</v>
      </c>
      <c r="E1163">
        <v>60</v>
      </c>
      <c r="F1163">
        <v>59.962234496999997</v>
      </c>
      <c r="G1163">
        <v>1283.5126952999999</v>
      </c>
      <c r="H1163">
        <v>1264.3609618999999</v>
      </c>
      <c r="I1163">
        <v>1395.4066161999999</v>
      </c>
      <c r="J1163">
        <v>1376.130249</v>
      </c>
      <c r="K1163">
        <v>0</v>
      </c>
      <c r="L1163">
        <v>2750</v>
      </c>
      <c r="M1163">
        <v>2750</v>
      </c>
      <c r="N1163">
        <v>0</v>
      </c>
    </row>
    <row r="1164" spans="1:14" x14ac:dyDescent="0.25">
      <c r="A1164">
        <v>701</v>
      </c>
      <c r="B1164" s="1">
        <f>DATE(2012,4,1) + TIME(0,0,0)</f>
        <v>41000</v>
      </c>
      <c r="C1164">
        <v>80</v>
      </c>
      <c r="D1164">
        <v>63.824470519999998</v>
      </c>
      <c r="E1164">
        <v>60</v>
      </c>
      <c r="F1164">
        <v>59.962322235000002</v>
      </c>
      <c r="G1164">
        <v>1283.1014404</v>
      </c>
      <c r="H1164">
        <v>1263.7528076000001</v>
      </c>
      <c r="I1164">
        <v>1395.3466797000001</v>
      </c>
      <c r="J1164">
        <v>1376.0754394999999</v>
      </c>
      <c r="K1164">
        <v>0</v>
      </c>
      <c r="L1164">
        <v>2750</v>
      </c>
      <c r="M1164">
        <v>2750</v>
      </c>
      <c r="N1164">
        <v>0</v>
      </c>
    </row>
    <row r="1165" spans="1:14" x14ac:dyDescent="0.25">
      <c r="A1165">
        <v>703.78056800000002</v>
      </c>
      <c r="B1165" s="1">
        <f>DATE(2012,4,3) + TIME(18,44,1)</f>
        <v>41002.78056712963</v>
      </c>
      <c r="C1165">
        <v>80</v>
      </c>
      <c r="D1165">
        <v>63.425487517999997</v>
      </c>
      <c r="E1165">
        <v>60</v>
      </c>
      <c r="F1165">
        <v>59.962413787999999</v>
      </c>
      <c r="G1165">
        <v>1282.7059326000001</v>
      </c>
      <c r="H1165">
        <v>1263.1612548999999</v>
      </c>
      <c r="I1165">
        <v>1395.2899170000001</v>
      </c>
      <c r="J1165">
        <v>1376.0233154</v>
      </c>
      <c r="K1165">
        <v>0</v>
      </c>
      <c r="L1165">
        <v>2750</v>
      </c>
      <c r="M1165">
        <v>2750</v>
      </c>
      <c r="N1165">
        <v>0</v>
      </c>
    </row>
    <row r="1166" spans="1:14" x14ac:dyDescent="0.25">
      <c r="A1166">
        <v>706.62204499999996</v>
      </c>
      <c r="B1166" s="1">
        <f>DATE(2012,4,6) + TIME(14,55,44)</f>
        <v>41005.622037037036</v>
      </c>
      <c r="C1166">
        <v>80</v>
      </c>
      <c r="D1166">
        <v>63.002723693999997</v>
      </c>
      <c r="E1166">
        <v>60</v>
      </c>
      <c r="F1166">
        <v>59.962509154999999</v>
      </c>
      <c r="G1166">
        <v>1282.2911377</v>
      </c>
      <c r="H1166">
        <v>1262.5421143000001</v>
      </c>
      <c r="I1166">
        <v>1395.2299805</v>
      </c>
      <c r="J1166">
        <v>1375.9683838000001</v>
      </c>
      <c r="K1166">
        <v>0</v>
      </c>
      <c r="L1166">
        <v>2750</v>
      </c>
      <c r="M1166">
        <v>2750</v>
      </c>
      <c r="N1166">
        <v>0</v>
      </c>
    </row>
    <row r="1167" spans="1:14" x14ac:dyDescent="0.25">
      <c r="A1167">
        <v>709.48477000000003</v>
      </c>
      <c r="B1167" s="1">
        <f>DATE(2012,4,9) + TIME(11,38,4)</f>
        <v>41008.484768518516</v>
      </c>
      <c r="C1167">
        <v>80</v>
      </c>
      <c r="D1167">
        <v>62.561820984000001</v>
      </c>
      <c r="E1167">
        <v>60</v>
      </c>
      <c r="F1167">
        <v>59.962604523000003</v>
      </c>
      <c r="G1167">
        <v>1281.8679199000001</v>
      </c>
      <c r="H1167">
        <v>1261.9078368999999</v>
      </c>
      <c r="I1167">
        <v>1395.1690673999999</v>
      </c>
      <c r="J1167">
        <v>1375.9123535000001</v>
      </c>
      <c r="K1167">
        <v>0</v>
      </c>
      <c r="L1167">
        <v>2750</v>
      </c>
      <c r="M1167">
        <v>2750</v>
      </c>
      <c r="N1167">
        <v>0</v>
      </c>
    </row>
    <row r="1168" spans="1:14" x14ac:dyDescent="0.25">
      <c r="A1168">
        <v>712.38286200000005</v>
      </c>
      <c r="B1168" s="1">
        <f>DATE(2012,4,12) + TIME(9,11,19)</f>
        <v>41011.3828587963</v>
      </c>
      <c r="C1168">
        <v>80</v>
      </c>
      <c r="D1168">
        <v>62.107727050999998</v>
      </c>
      <c r="E1168">
        <v>60</v>
      </c>
      <c r="F1168">
        <v>59.962699890000003</v>
      </c>
      <c r="G1168">
        <v>1281.4428711</v>
      </c>
      <c r="H1168">
        <v>1261.2674560999999</v>
      </c>
      <c r="I1168">
        <v>1395.1079102000001</v>
      </c>
      <c r="J1168">
        <v>1375.8560791</v>
      </c>
      <c r="K1168">
        <v>0</v>
      </c>
      <c r="L1168">
        <v>2750</v>
      </c>
      <c r="M1168">
        <v>2750</v>
      </c>
      <c r="N1168">
        <v>0</v>
      </c>
    </row>
    <row r="1169" spans="1:14" x14ac:dyDescent="0.25">
      <c r="A1169">
        <v>715.32394899999997</v>
      </c>
      <c r="B1169" s="1">
        <f>DATE(2012,4,15) + TIME(7,46,29)</f>
        <v>41014.323946759258</v>
      </c>
      <c r="C1169">
        <v>80</v>
      </c>
      <c r="D1169">
        <v>61.640258789000001</v>
      </c>
      <c r="E1169">
        <v>60</v>
      </c>
      <c r="F1169">
        <v>59.962795258</v>
      </c>
      <c r="G1169">
        <v>1281.0151367000001</v>
      </c>
      <c r="H1169">
        <v>1260.6206055</v>
      </c>
      <c r="I1169">
        <v>1395.0463867000001</v>
      </c>
      <c r="J1169">
        <v>1375.7993164</v>
      </c>
      <c r="K1169">
        <v>0</v>
      </c>
      <c r="L1169">
        <v>2750</v>
      </c>
      <c r="M1169">
        <v>2750</v>
      </c>
      <c r="N1169">
        <v>0</v>
      </c>
    </row>
    <row r="1170" spans="1:14" x14ac:dyDescent="0.25">
      <c r="A1170">
        <v>718.29276800000002</v>
      </c>
      <c r="B1170" s="1">
        <f>DATE(2012,4,18) + TIME(7,1,35)</f>
        <v>41017.292766203704</v>
      </c>
      <c r="C1170">
        <v>80</v>
      </c>
      <c r="D1170">
        <v>61.159633636000002</v>
      </c>
      <c r="E1170">
        <v>60</v>
      </c>
      <c r="F1170">
        <v>59.962890625</v>
      </c>
      <c r="G1170">
        <v>1280.5845947</v>
      </c>
      <c r="H1170">
        <v>1259.9671631000001</v>
      </c>
      <c r="I1170">
        <v>1394.9841309000001</v>
      </c>
      <c r="J1170">
        <v>1375.7418213000001</v>
      </c>
      <c r="K1170">
        <v>0</v>
      </c>
      <c r="L1170">
        <v>2750</v>
      </c>
      <c r="M1170">
        <v>2750</v>
      </c>
      <c r="N1170">
        <v>0</v>
      </c>
    </row>
    <row r="1171" spans="1:14" x14ac:dyDescent="0.25">
      <c r="A1171">
        <v>721.27412700000002</v>
      </c>
      <c r="B1171" s="1">
        <f>DATE(2012,4,21) + TIME(6,34,44)</f>
        <v>41020.27412037037</v>
      </c>
      <c r="C1171">
        <v>80</v>
      </c>
      <c r="D1171">
        <v>60.668792725000003</v>
      </c>
      <c r="E1171">
        <v>60</v>
      </c>
      <c r="F1171">
        <v>59.962985992</v>
      </c>
      <c r="G1171">
        <v>1280.1539307</v>
      </c>
      <c r="H1171">
        <v>1259.3109131000001</v>
      </c>
      <c r="I1171">
        <v>1394.9215088000001</v>
      </c>
      <c r="J1171">
        <v>1375.6838379000001</v>
      </c>
      <c r="K1171">
        <v>0</v>
      </c>
      <c r="L1171">
        <v>2750</v>
      </c>
      <c r="M1171">
        <v>2750</v>
      </c>
      <c r="N1171">
        <v>0</v>
      </c>
    </row>
    <row r="1172" spans="1:14" x14ac:dyDescent="0.25">
      <c r="A1172">
        <v>724.25994900000001</v>
      </c>
      <c r="B1172" s="1">
        <f>DATE(2012,4,24) + TIME(6,14,19)</f>
        <v>41023.259942129633</v>
      </c>
      <c r="C1172">
        <v>80</v>
      </c>
      <c r="D1172">
        <v>60.170928955000001</v>
      </c>
      <c r="E1172">
        <v>60</v>
      </c>
      <c r="F1172">
        <v>59.963081359999997</v>
      </c>
      <c r="G1172">
        <v>1279.7259521000001</v>
      </c>
      <c r="H1172">
        <v>1258.6563721</v>
      </c>
      <c r="I1172">
        <v>1394.8588867000001</v>
      </c>
      <c r="J1172">
        <v>1375.6258545000001</v>
      </c>
      <c r="K1172">
        <v>0</v>
      </c>
      <c r="L1172">
        <v>2750</v>
      </c>
      <c r="M1172">
        <v>2750</v>
      </c>
      <c r="N1172">
        <v>0</v>
      </c>
    </row>
    <row r="1173" spans="1:14" x14ac:dyDescent="0.25">
      <c r="A1173">
        <v>727.25644999999997</v>
      </c>
      <c r="B1173" s="1">
        <f>DATE(2012,4,27) + TIME(6,9,17)</f>
        <v>41026.25644675926</v>
      </c>
      <c r="C1173">
        <v>80</v>
      </c>
      <c r="D1173">
        <v>59.667457581000001</v>
      </c>
      <c r="E1173">
        <v>60</v>
      </c>
      <c r="F1173">
        <v>59.963176726999997</v>
      </c>
      <c r="G1173">
        <v>1279.3027344</v>
      </c>
      <c r="H1173">
        <v>1258.0062256000001</v>
      </c>
      <c r="I1173">
        <v>1394.7962646000001</v>
      </c>
      <c r="J1173">
        <v>1375.567749</v>
      </c>
      <c r="K1173">
        <v>0</v>
      </c>
      <c r="L1173">
        <v>2750</v>
      </c>
      <c r="M1173">
        <v>2750</v>
      </c>
      <c r="N1173">
        <v>0</v>
      </c>
    </row>
    <row r="1174" spans="1:14" x14ac:dyDescent="0.25">
      <c r="A1174">
        <v>730.27910199999997</v>
      </c>
      <c r="B1174" s="1">
        <f>DATE(2012,4,30) + TIME(6,41,54)</f>
        <v>41029.279097222221</v>
      </c>
      <c r="C1174">
        <v>80</v>
      </c>
      <c r="D1174">
        <v>59.158683777</v>
      </c>
      <c r="E1174">
        <v>60</v>
      </c>
      <c r="F1174">
        <v>59.963272095000001</v>
      </c>
      <c r="G1174">
        <v>1278.8841553</v>
      </c>
      <c r="H1174">
        <v>1257.3605957</v>
      </c>
      <c r="I1174">
        <v>1394.7336425999999</v>
      </c>
      <c r="J1174">
        <v>1375.5096435999999</v>
      </c>
      <c r="K1174">
        <v>0</v>
      </c>
      <c r="L1174">
        <v>2750</v>
      </c>
      <c r="M1174">
        <v>2750</v>
      </c>
      <c r="N1174">
        <v>0</v>
      </c>
    </row>
    <row r="1175" spans="1:14" x14ac:dyDescent="0.25">
      <c r="A1175">
        <v>731</v>
      </c>
      <c r="B1175" s="1">
        <f>DATE(2012,5,1) + TIME(0,0,0)</f>
        <v>41030</v>
      </c>
      <c r="C1175">
        <v>80</v>
      </c>
      <c r="D1175">
        <v>58.829078674000002</v>
      </c>
      <c r="E1175">
        <v>60</v>
      </c>
      <c r="F1175">
        <v>59.963287354000002</v>
      </c>
      <c r="G1175">
        <v>1278.4813231999999</v>
      </c>
      <c r="H1175">
        <v>1256.8016356999999</v>
      </c>
      <c r="I1175">
        <v>1394.6704102000001</v>
      </c>
      <c r="J1175">
        <v>1375.4508057</v>
      </c>
      <c r="K1175">
        <v>0</v>
      </c>
      <c r="L1175">
        <v>2750</v>
      </c>
      <c r="M1175">
        <v>2750</v>
      </c>
      <c r="N1175">
        <v>0</v>
      </c>
    </row>
    <row r="1176" spans="1:14" x14ac:dyDescent="0.25">
      <c r="A1176">
        <v>731.000001</v>
      </c>
      <c r="B1176" s="1">
        <f>DATE(2012,5,1) + TIME(0,0,0)</f>
        <v>41030</v>
      </c>
      <c r="C1176">
        <v>80</v>
      </c>
      <c r="D1176">
        <v>58.829261780000003</v>
      </c>
      <c r="E1176">
        <v>60</v>
      </c>
      <c r="F1176">
        <v>59.963157654</v>
      </c>
      <c r="G1176">
        <v>1301.7954102000001</v>
      </c>
      <c r="H1176">
        <v>1279.6293945</v>
      </c>
      <c r="I1176">
        <v>1374.449707</v>
      </c>
      <c r="J1176">
        <v>1355.9805908000001</v>
      </c>
      <c r="K1176">
        <v>2750</v>
      </c>
      <c r="L1176">
        <v>0</v>
      </c>
      <c r="M1176">
        <v>0</v>
      </c>
      <c r="N1176">
        <v>2750</v>
      </c>
    </row>
    <row r="1177" spans="1:14" x14ac:dyDescent="0.25">
      <c r="A1177">
        <v>731.00000399999999</v>
      </c>
      <c r="B1177" s="1">
        <f>DATE(2012,5,1) + TIME(0,0,0)</f>
        <v>41030</v>
      </c>
      <c r="C1177">
        <v>80</v>
      </c>
      <c r="D1177">
        <v>58.829753875999998</v>
      </c>
      <c r="E1177">
        <v>60</v>
      </c>
      <c r="F1177">
        <v>59.962810515999998</v>
      </c>
      <c r="G1177">
        <v>1304.5253906</v>
      </c>
      <c r="H1177">
        <v>1282.6278076000001</v>
      </c>
      <c r="I1177">
        <v>1371.8269043</v>
      </c>
      <c r="J1177">
        <v>1353.3568115</v>
      </c>
      <c r="K1177">
        <v>2750</v>
      </c>
      <c r="L1177">
        <v>0</v>
      </c>
      <c r="M1177">
        <v>0</v>
      </c>
      <c r="N1177">
        <v>2750</v>
      </c>
    </row>
    <row r="1178" spans="1:14" x14ac:dyDescent="0.25">
      <c r="A1178">
        <v>731.00001299999997</v>
      </c>
      <c r="B1178" s="1">
        <f>DATE(2012,5,1) + TIME(0,0,1)</f>
        <v>41030.000011574077</v>
      </c>
      <c r="C1178">
        <v>80</v>
      </c>
      <c r="D1178">
        <v>58.830894469999997</v>
      </c>
      <c r="E1178">
        <v>60</v>
      </c>
      <c r="F1178">
        <v>59.962062836000001</v>
      </c>
      <c r="G1178">
        <v>1310.6074219</v>
      </c>
      <c r="H1178">
        <v>1289.0876464999999</v>
      </c>
      <c r="I1178">
        <v>1366.1527100000001</v>
      </c>
      <c r="J1178">
        <v>1347.6816406</v>
      </c>
      <c r="K1178">
        <v>2750</v>
      </c>
      <c r="L1178">
        <v>0</v>
      </c>
      <c r="M1178">
        <v>0</v>
      </c>
      <c r="N1178">
        <v>2750</v>
      </c>
    </row>
    <row r="1179" spans="1:14" x14ac:dyDescent="0.25">
      <c r="A1179">
        <v>731.00004000000001</v>
      </c>
      <c r="B1179" s="1">
        <f>DATE(2012,5,1) + TIME(0,0,3)</f>
        <v>41030.000034722223</v>
      </c>
      <c r="C1179">
        <v>80</v>
      </c>
      <c r="D1179">
        <v>58.833126067999999</v>
      </c>
      <c r="E1179">
        <v>60</v>
      </c>
      <c r="F1179">
        <v>59.960872649999999</v>
      </c>
      <c r="G1179">
        <v>1320.7130127</v>
      </c>
      <c r="H1179">
        <v>1299.3763428</v>
      </c>
      <c r="I1179">
        <v>1357.1262207</v>
      </c>
      <c r="J1179">
        <v>1338.6569824000001</v>
      </c>
      <c r="K1179">
        <v>2750</v>
      </c>
      <c r="L1179">
        <v>0</v>
      </c>
      <c r="M1179">
        <v>0</v>
      </c>
      <c r="N1179">
        <v>2750</v>
      </c>
    </row>
    <row r="1180" spans="1:14" x14ac:dyDescent="0.25">
      <c r="A1180">
        <v>731.00012100000004</v>
      </c>
      <c r="B1180" s="1">
        <f>DATE(2012,5,1) + TIME(0,0,10)</f>
        <v>41030.000115740739</v>
      </c>
      <c r="C1180">
        <v>80</v>
      </c>
      <c r="D1180">
        <v>58.837387085000003</v>
      </c>
      <c r="E1180">
        <v>60</v>
      </c>
      <c r="F1180">
        <v>59.959461212000001</v>
      </c>
      <c r="G1180">
        <v>1333.0721435999999</v>
      </c>
      <c r="H1180">
        <v>1311.6367187999999</v>
      </c>
      <c r="I1180">
        <v>1346.5079346</v>
      </c>
      <c r="J1180">
        <v>1328.0457764</v>
      </c>
      <c r="K1180">
        <v>2750</v>
      </c>
      <c r="L1180">
        <v>0</v>
      </c>
      <c r="M1180">
        <v>0</v>
      </c>
      <c r="N1180">
        <v>2750</v>
      </c>
    </row>
    <row r="1181" spans="1:14" x14ac:dyDescent="0.25">
      <c r="A1181">
        <v>731.00036399999999</v>
      </c>
      <c r="B1181" s="1">
        <f>DATE(2012,5,1) + TIME(0,0,31)</f>
        <v>41030.000358796293</v>
      </c>
      <c r="C1181">
        <v>80</v>
      </c>
      <c r="D1181">
        <v>58.847076416</v>
      </c>
      <c r="E1181">
        <v>60</v>
      </c>
      <c r="F1181">
        <v>59.957992554</v>
      </c>
      <c r="G1181">
        <v>1345.9451904</v>
      </c>
      <c r="H1181">
        <v>1324.3560791</v>
      </c>
      <c r="I1181">
        <v>1335.6958007999999</v>
      </c>
      <c r="J1181">
        <v>1317.2462158000001</v>
      </c>
      <c r="K1181">
        <v>2750</v>
      </c>
      <c r="L1181">
        <v>0</v>
      </c>
      <c r="M1181">
        <v>0</v>
      </c>
      <c r="N1181">
        <v>2750</v>
      </c>
    </row>
    <row r="1182" spans="1:14" x14ac:dyDescent="0.25">
      <c r="A1182">
        <v>731.00109299999997</v>
      </c>
      <c r="B1182" s="1">
        <f>DATE(2012,5,1) + TIME(0,1,34)</f>
        <v>41030.001087962963</v>
      </c>
      <c r="C1182">
        <v>80</v>
      </c>
      <c r="D1182">
        <v>58.873020171999997</v>
      </c>
      <c r="E1182">
        <v>60</v>
      </c>
      <c r="F1182">
        <v>59.956432343000003</v>
      </c>
      <c r="G1182">
        <v>1359.1667480000001</v>
      </c>
      <c r="H1182">
        <v>1337.4123535000001</v>
      </c>
      <c r="I1182">
        <v>1324.8773193</v>
      </c>
      <c r="J1182">
        <v>1306.4396973</v>
      </c>
      <c r="K1182">
        <v>2750</v>
      </c>
      <c r="L1182">
        <v>0</v>
      </c>
      <c r="M1182">
        <v>0</v>
      </c>
      <c r="N1182">
        <v>2750</v>
      </c>
    </row>
    <row r="1183" spans="1:14" x14ac:dyDescent="0.25">
      <c r="A1183">
        <v>731.00328000000002</v>
      </c>
      <c r="B1183" s="1">
        <f>DATE(2012,5,1) + TIME(0,4,43)</f>
        <v>41030.003275462965</v>
      </c>
      <c r="C1183">
        <v>80</v>
      </c>
      <c r="D1183">
        <v>58.947963715</v>
      </c>
      <c r="E1183">
        <v>60</v>
      </c>
      <c r="F1183">
        <v>59.954555511000002</v>
      </c>
      <c r="G1183">
        <v>1373.1083983999999</v>
      </c>
      <c r="H1183">
        <v>1351.166626</v>
      </c>
      <c r="I1183">
        <v>1313.8305664</v>
      </c>
      <c r="J1183">
        <v>1295.3648682</v>
      </c>
      <c r="K1183">
        <v>2750</v>
      </c>
      <c r="L1183">
        <v>0</v>
      </c>
      <c r="M1183">
        <v>0</v>
      </c>
      <c r="N1183">
        <v>2750</v>
      </c>
    </row>
    <row r="1184" spans="1:14" x14ac:dyDescent="0.25">
      <c r="A1184">
        <v>731.00984100000005</v>
      </c>
      <c r="B1184" s="1">
        <f>DATE(2012,5,1) + TIME(0,14,10)</f>
        <v>41030.009837962964</v>
      </c>
      <c r="C1184">
        <v>80</v>
      </c>
      <c r="D1184">
        <v>59.168949126999998</v>
      </c>
      <c r="E1184">
        <v>60</v>
      </c>
      <c r="F1184">
        <v>59.951808929000002</v>
      </c>
      <c r="G1184">
        <v>1387.1224365</v>
      </c>
      <c r="H1184">
        <v>1365.0476074000001</v>
      </c>
      <c r="I1184">
        <v>1302.5869141000001</v>
      </c>
      <c r="J1184">
        <v>1284.0447998</v>
      </c>
      <c r="K1184">
        <v>2750</v>
      </c>
      <c r="L1184">
        <v>0</v>
      </c>
      <c r="M1184">
        <v>0</v>
      </c>
      <c r="N1184">
        <v>2750</v>
      </c>
    </row>
    <row r="1185" spans="1:14" x14ac:dyDescent="0.25">
      <c r="A1185">
        <v>731.02952400000004</v>
      </c>
      <c r="B1185" s="1">
        <f>DATE(2012,5,1) + TIME(0,42,30)</f>
        <v>41030.029513888891</v>
      </c>
      <c r="C1185">
        <v>80</v>
      </c>
      <c r="D1185">
        <v>59.811275481999999</v>
      </c>
      <c r="E1185">
        <v>60</v>
      </c>
      <c r="F1185">
        <v>59.946853638</v>
      </c>
      <c r="G1185">
        <v>1398.3051757999999</v>
      </c>
      <c r="H1185">
        <v>1376.3181152</v>
      </c>
      <c r="I1185">
        <v>1293.3499756000001</v>
      </c>
      <c r="J1185">
        <v>1274.7487793</v>
      </c>
      <c r="K1185">
        <v>2750</v>
      </c>
      <c r="L1185">
        <v>0</v>
      </c>
      <c r="M1185">
        <v>0</v>
      </c>
      <c r="N1185">
        <v>2750</v>
      </c>
    </row>
    <row r="1186" spans="1:14" x14ac:dyDescent="0.25">
      <c r="A1186">
        <v>731.05175799999995</v>
      </c>
      <c r="B1186" s="1">
        <f>DATE(2012,5,1) + TIME(1,14,31)</f>
        <v>41030.051747685182</v>
      </c>
      <c r="C1186">
        <v>80</v>
      </c>
      <c r="D1186">
        <v>60.511901854999998</v>
      </c>
      <c r="E1186">
        <v>60</v>
      </c>
      <c r="F1186">
        <v>59.942222594999997</v>
      </c>
      <c r="G1186">
        <v>1402.5015868999999</v>
      </c>
      <c r="H1186">
        <v>1380.6968993999999</v>
      </c>
      <c r="I1186">
        <v>1290.0678711</v>
      </c>
      <c r="J1186">
        <v>1271.4487305</v>
      </c>
      <c r="K1186">
        <v>2750</v>
      </c>
      <c r="L1186">
        <v>0</v>
      </c>
      <c r="M1186">
        <v>0</v>
      </c>
      <c r="N1186">
        <v>2750</v>
      </c>
    </row>
    <row r="1187" spans="1:14" x14ac:dyDescent="0.25">
      <c r="A1187">
        <v>731.07450200000005</v>
      </c>
      <c r="B1187" s="1">
        <f>DATE(2012,5,1) + TIME(1,47,17)</f>
        <v>41030.074502314812</v>
      </c>
      <c r="C1187">
        <v>80</v>
      </c>
      <c r="D1187">
        <v>61.203578948999997</v>
      </c>
      <c r="E1187">
        <v>60</v>
      </c>
      <c r="F1187">
        <v>59.937812805</v>
      </c>
      <c r="G1187">
        <v>1404.0849608999999</v>
      </c>
      <c r="H1187">
        <v>1382.4793701000001</v>
      </c>
      <c r="I1187">
        <v>1288.996582</v>
      </c>
      <c r="J1187">
        <v>1270.371582</v>
      </c>
      <c r="K1187">
        <v>2750</v>
      </c>
      <c r="L1187">
        <v>0</v>
      </c>
      <c r="M1187">
        <v>0</v>
      </c>
      <c r="N1187">
        <v>2750</v>
      </c>
    </row>
    <row r="1188" spans="1:14" x14ac:dyDescent="0.25">
      <c r="A1188">
        <v>731.09771599999999</v>
      </c>
      <c r="B1188" s="1">
        <f>DATE(2012,5,1) + TIME(2,20,42)</f>
        <v>41030.097708333335</v>
      </c>
      <c r="C1188">
        <v>80</v>
      </c>
      <c r="D1188">
        <v>61.884456634999999</v>
      </c>
      <c r="E1188">
        <v>60</v>
      </c>
      <c r="F1188">
        <v>59.933456421000002</v>
      </c>
      <c r="G1188">
        <v>1404.6505127</v>
      </c>
      <c r="H1188">
        <v>1383.2443848</v>
      </c>
      <c r="I1188">
        <v>1288.6939697</v>
      </c>
      <c r="J1188">
        <v>1270.0666504000001</v>
      </c>
      <c r="K1188">
        <v>2750</v>
      </c>
      <c r="L1188">
        <v>0</v>
      </c>
      <c r="M1188">
        <v>0</v>
      </c>
      <c r="N1188">
        <v>2750</v>
      </c>
    </row>
    <row r="1189" spans="1:14" x14ac:dyDescent="0.25">
      <c r="A1189">
        <v>731.12139999999999</v>
      </c>
      <c r="B1189" s="1">
        <f>DATE(2012,5,1) + TIME(2,54,48)</f>
        <v>41030.121388888889</v>
      </c>
      <c r="C1189">
        <v>80</v>
      </c>
      <c r="D1189">
        <v>62.553974152000002</v>
      </c>
      <c r="E1189">
        <v>60</v>
      </c>
      <c r="F1189">
        <v>59.929088593000003</v>
      </c>
      <c r="G1189">
        <v>1404.7764893000001</v>
      </c>
      <c r="H1189">
        <v>1383.5653076000001</v>
      </c>
      <c r="I1189">
        <v>1288.6503906</v>
      </c>
      <c r="J1189">
        <v>1270.0219727000001</v>
      </c>
      <c r="K1189">
        <v>2750</v>
      </c>
      <c r="L1189">
        <v>0</v>
      </c>
      <c r="M1189">
        <v>0</v>
      </c>
      <c r="N1189">
        <v>2750</v>
      </c>
    </row>
    <row r="1190" spans="1:14" x14ac:dyDescent="0.25">
      <c r="A1190">
        <v>731.14557300000001</v>
      </c>
      <c r="B1190" s="1">
        <f>DATE(2012,5,1) + TIME(3,29,37)</f>
        <v>41030.145567129628</v>
      </c>
      <c r="C1190">
        <v>80</v>
      </c>
      <c r="D1190">
        <v>63.211990356000001</v>
      </c>
      <c r="E1190">
        <v>60</v>
      </c>
      <c r="F1190">
        <v>59.924678802000003</v>
      </c>
      <c r="G1190">
        <v>1404.7005615</v>
      </c>
      <c r="H1190">
        <v>1383.6782227000001</v>
      </c>
      <c r="I1190">
        <v>1288.6813964999999</v>
      </c>
      <c r="J1190">
        <v>1270.0524902</v>
      </c>
      <c r="K1190">
        <v>2750</v>
      </c>
      <c r="L1190">
        <v>0</v>
      </c>
      <c r="M1190">
        <v>0</v>
      </c>
      <c r="N1190">
        <v>2750</v>
      </c>
    </row>
    <row r="1191" spans="1:14" x14ac:dyDescent="0.25">
      <c r="A1191">
        <v>731.17025599999999</v>
      </c>
      <c r="B1191" s="1">
        <f>DATE(2012,5,1) + TIME(4,5,10)</f>
        <v>41030.170254629629</v>
      </c>
      <c r="C1191">
        <v>80</v>
      </c>
      <c r="D1191">
        <v>63.858486176</v>
      </c>
      <c r="E1191">
        <v>60</v>
      </c>
      <c r="F1191">
        <v>59.920223235999998</v>
      </c>
      <c r="G1191">
        <v>1404.5286865</v>
      </c>
      <c r="H1191">
        <v>1383.6890868999999</v>
      </c>
      <c r="I1191">
        <v>1288.7237548999999</v>
      </c>
      <c r="J1191">
        <v>1270.0944824000001</v>
      </c>
      <c r="K1191">
        <v>2750</v>
      </c>
      <c r="L1191">
        <v>0</v>
      </c>
      <c r="M1191">
        <v>0</v>
      </c>
      <c r="N1191">
        <v>2750</v>
      </c>
    </row>
    <row r="1192" spans="1:14" x14ac:dyDescent="0.25">
      <c r="A1192">
        <v>731.19547399999999</v>
      </c>
      <c r="B1192" s="1">
        <f>DATE(2012,5,1) + TIME(4,41,28)</f>
        <v>41030.195462962962</v>
      </c>
      <c r="C1192">
        <v>80</v>
      </c>
      <c r="D1192">
        <v>64.493453978999995</v>
      </c>
      <c r="E1192">
        <v>60</v>
      </c>
      <c r="F1192">
        <v>59.915714264000002</v>
      </c>
      <c r="G1192">
        <v>1404.3111572</v>
      </c>
      <c r="H1192">
        <v>1383.6478271000001</v>
      </c>
      <c r="I1192">
        <v>1288.7589111</v>
      </c>
      <c r="J1192">
        <v>1270.1292725000001</v>
      </c>
      <c r="K1192">
        <v>2750</v>
      </c>
      <c r="L1192">
        <v>0</v>
      </c>
      <c r="M1192">
        <v>0</v>
      </c>
      <c r="N1192">
        <v>2750</v>
      </c>
    </row>
    <row r="1193" spans="1:14" x14ac:dyDescent="0.25">
      <c r="A1193">
        <v>731.22125200000005</v>
      </c>
      <c r="B1193" s="1">
        <f>DATE(2012,5,1) + TIME(5,18,36)</f>
        <v>41030.221250000002</v>
      </c>
      <c r="C1193">
        <v>80</v>
      </c>
      <c r="D1193">
        <v>65.116905212000006</v>
      </c>
      <c r="E1193">
        <v>60</v>
      </c>
      <c r="F1193">
        <v>59.911144256999997</v>
      </c>
      <c r="G1193">
        <v>1404.072876</v>
      </c>
      <c r="H1193">
        <v>1383.5797118999999</v>
      </c>
      <c r="I1193">
        <v>1288.7838135</v>
      </c>
      <c r="J1193">
        <v>1270.1538086</v>
      </c>
      <c r="K1193">
        <v>2750</v>
      </c>
      <c r="L1193">
        <v>0</v>
      </c>
      <c r="M1193">
        <v>0</v>
      </c>
      <c r="N1193">
        <v>2750</v>
      </c>
    </row>
    <row r="1194" spans="1:14" x14ac:dyDescent="0.25">
      <c r="A1194">
        <v>731.24762599999997</v>
      </c>
      <c r="B1194" s="1">
        <f>DATE(2012,5,1) + TIME(5,56,34)</f>
        <v>41030.247615740744</v>
      </c>
      <c r="C1194">
        <v>80</v>
      </c>
      <c r="D1194">
        <v>65.729072571000003</v>
      </c>
      <c r="E1194">
        <v>60</v>
      </c>
      <c r="F1194">
        <v>59.906517029</v>
      </c>
      <c r="G1194">
        <v>1403.8265381000001</v>
      </c>
      <c r="H1194">
        <v>1383.4976807</v>
      </c>
      <c r="I1194">
        <v>1288.8001709</v>
      </c>
      <c r="J1194">
        <v>1270.1699219</v>
      </c>
      <c r="K1194">
        <v>2750</v>
      </c>
      <c r="L1194">
        <v>0</v>
      </c>
      <c r="M1194">
        <v>0</v>
      </c>
      <c r="N1194">
        <v>2750</v>
      </c>
    </row>
    <row r="1195" spans="1:14" x14ac:dyDescent="0.25">
      <c r="A1195">
        <v>731.274629</v>
      </c>
      <c r="B1195" s="1">
        <f>DATE(2012,5,1) + TIME(6,35,27)</f>
        <v>41030.274618055555</v>
      </c>
      <c r="C1195">
        <v>80</v>
      </c>
      <c r="D1195">
        <v>66.329879761000001</v>
      </c>
      <c r="E1195">
        <v>60</v>
      </c>
      <c r="F1195">
        <v>59.901821136000002</v>
      </c>
      <c r="G1195">
        <v>1403.5791016000001</v>
      </c>
      <c r="H1195">
        <v>1383.4086914</v>
      </c>
      <c r="I1195">
        <v>1288.8104248</v>
      </c>
      <c r="J1195">
        <v>1270.1798096</v>
      </c>
      <c r="K1195">
        <v>2750</v>
      </c>
      <c r="L1195">
        <v>0</v>
      </c>
      <c r="M1195">
        <v>0</v>
      </c>
      <c r="N1195">
        <v>2750</v>
      </c>
    </row>
    <row r="1196" spans="1:14" x14ac:dyDescent="0.25">
      <c r="A1196">
        <v>731.30229699999995</v>
      </c>
      <c r="B1196" s="1">
        <f>DATE(2012,5,1) + TIME(7,15,18)</f>
        <v>41030.302291666667</v>
      </c>
      <c r="C1196">
        <v>80</v>
      </c>
      <c r="D1196">
        <v>66.919357300000001</v>
      </c>
      <c r="E1196">
        <v>60</v>
      </c>
      <c r="F1196">
        <v>59.897056579999997</v>
      </c>
      <c r="G1196">
        <v>1403.3342285000001</v>
      </c>
      <c r="H1196">
        <v>1383.3168945</v>
      </c>
      <c r="I1196">
        <v>1288.8166504000001</v>
      </c>
      <c r="J1196">
        <v>1270.1855469</v>
      </c>
      <c r="K1196">
        <v>2750</v>
      </c>
      <c r="L1196">
        <v>0</v>
      </c>
      <c r="M1196">
        <v>0</v>
      </c>
      <c r="N1196">
        <v>2750</v>
      </c>
    </row>
    <row r="1197" spans="1:14" x14ac:dyDescent="0.25">
      <c r="A1197">
        <v>731.33067000000005</v>
      </c>
      <c r="B1197" s="1">
        <f>DATE(2012,5,1) + TIME(7,56,9)</f>
        <v>41030.330659722225</v>
      </c>
      <c r="C1197">
        <v>80</v>
      </c>
      <c r="D1197">
        <v>67.497505188000005</v>
      </c>
      <c r="E1197">
        <v>60</v>
      </c>
      <c r="F1197">
        <v>59.892215729</v>
      </c>
      <c r="G1197">
        <v>1403.0938721</v>
      </c>
      <c r="H1197">
        <v>1383.2242432</v>
      </c>
      <c r="I1197">
        <v>1288.8201904</v>
      </c>
      <c r="J1197">
        <v>1270.1887207</v>
      </c>
      <c r="K1197">
        <v>2750</v>
      </c>
      <c r="L1197">
        <v>0</v>
      </c>
      <c r="M1197">
        <v>0</v>
      </c>
      <c r="N1197">
        <v>2750</v>
      </c>
    </row>
    <row r="1198" spans="1:14" x14ac:dyDescent="0.25">
      <c r="A1198">
        <v>731.35978899999998</v>
      </c>
      <c r="B1198" s="1">
        <f>DATE(2012,5,1) + TIME(8,38,5)</f>
        <v>41030.359780092593</v>
      </c>
      <c r="C1198">
        <v>80</v>
      </c>
      <c r="D1198">
        <v>68.064346313000001</v>
      </c>
      <c r="E1198">
        <v>60</v>
      </c>
      <c r="F1198">
        <v>59.887298584</v>
      </c>
      <c r="G1198">
        <v>1402.8591309000001</v>
      </c>
      <c r="H1198">
        <v>1383.1319579999999</v>
      </c>
      <c r="I1198">
        <v>1288.8221435999999</v>
      </c>
      <c r="J1198">
        <v>1270.1903076000001</v>
      </c>
      <c r="K1198">
        <v>2750</v>
      </c>
      <c r="L1198">
        <v>0</v>
      </c>
      <c r="M1198">
        <v>0</v>
      </c>
      <c r="N1198">
        <v>2750</v>
      </c>
    </row>
    <row r="1199" spans="1:14" x14ac:dyDescent="0.25">
      <c r="A1199">
        <v>731.38970200000006</v>
      </c>
      <c r="B1199" s="1">
        <f>DATE(2012,5,1) + TIME(9,21,10)</f>
        <v>41030.389699074076</v>
      </c>
      <c r="C1199">
        <v>80</v>
      </c>
      <c r="D1199">
        <v>68.619880675999994</v>
      </c>
      <c r="E1199">
        <v>60</v>
      </c>
      <c r="F1199">
        <v>59.882293701000002</v>
      </c>
      <c r="G1199">
        <v>1402.630249</v>
      </c>
      <c r="H1199">
        <v>1383.0408935999999</v>
      </c>
      <c r="I1199">
        <v>1288.8231201000001</v>
      </c>
      <c r="J1199">
        <v>1270.1907959</v>
      </c>
      <c r="K1199">
        <v>2750</v>
      </c>
      <c r="L1199">
        <v>0</v>
      </c>
      <c r="M1199">
        <v>0</v>
      </c>
      <c r="N1199">
        <v>2750</v>
      </c>
    </row>
    <row r="1200" spans="1:14" x14ac:dyDescent="0.25">
      <c r="A1200">
        <v>731.42045700000006</v>
      </c>
      <c r="B1200" s="1">
        <f>DATE(2012,5,1) + TIME(10,5,27)</f>
        <v>41030.420451388891</v>
      </c>
      <c r="C1200">
        <v>80</v>
      </c>
      <c r="D1200">
        <v>69.164077758999994</v>
      </c>
      <c r="E1200">
        <v>60</v>
      </c>
      <c r="F1200">
        <v>59.877201079999999</v>
      </c>
      <c r="G1200">
        <v>1402.4074707</v>
      </c>
      <c r="H1200">
        <v>1382.9510498</v>
      </c>
      <c r="I1200">
        <v>1288.8233643000001</v>
      </c>
      <c r="J1200">
        <v>1270.1907959</v>
      </c>
      <c r="K1200">
        <v>2750</v>
      </c>
      <c r="L1200">
        <v>0</v>
      </c>
      <c r="M1200">
        <v>0</v>
      </c>
      <c r="N1200">
        <v>2750</v>
      </c>
    </row>
    <row r="1201" spans="1:14" x14ac:dyDescent="0.25">
      <c r="A1201">
        <v>731.45210999999995</v>
      </c>
      <c r="B1201" s="1">
        <f>DATE(2012,5,1) + TIME(10,51,2)</f>
        <v>41030.452106481483</v>
      </c>
      <c r="C1201">
        <v>80</v>
      </c>
      <c r="D1201">
        <v>69.696929932000003</v>
      </c>
      <c r="E1201">
        <v>60</v>
      </c>
      <c r="F1201">
        <v>59.872009276999997</v>
      </c>
      <c r="G1201">
        <v>1402.1907959</v>
      </c>
      <c r="H1201">
        <v>1382.8626709</v>
      </c>
      <c r="I1201">
        <v>1288.8233643000001</v>
      </c>
      <c r="J1201">
        <v>1270.1903076000001</v>
      </c>
      <c r="K1201">
        <v>2750</v>
      </c>
      <c r="L1201">
        <v>0</v>
      </c>
      <c r="M1201">
        <v>0</v>
      </c>
      <c r="N1201">
        <v>2750</v>
      </c>
    </row>
    <row r="1202" spans="1:14" x14ac:dyDescent="0.25">
      <c r="A1202">
        <v>731.48472000000004</v>
      </c>
      <c r="B1202" s="1">
        <f>DATE(2012,5,1) + TIME(11,37,59)</f>
        <v>41030.484710648147</v>
      </c>
      <c r="C1202">
        <v>80</v>
      </c>
      <c r="D1202">
        <v>70.218246460000003</v>
      </c>
      <c r="E1202">
        <v>60</v>
      </c>
      <c r="F1202">
        <v>59.866714477999999</v>
      </c>
      <c r="G1202">
        <v>1401.9799805</v>
      </c>
      <c r="H1202">
        <v>1382.7758789</v>
      </c>
      <c r="I1202">
        <v>1288.8229980000001</v>
      </c>
      <c r="J1202">
        <v>1270.1895752</v>
      </c>
      <c r="K1202">
        <v>2750</v>
      </c>
      <c r="L1202">
        <v>0</v>
      </c>
      <c r="M1202">
        <v>0</v>
      </c>
      <c r="N1202">
        <v>2750</v>
      </c>
    </row>
    <row r="1203" spans="1:14" x14ac:dyDescent="0.25">
      <c r="A1203">
        <v>731.51836800000001</v>
      </c>
      <c r="B1203" s="1">
        <f>DATE(2012,5,1) + TIME(12,26,26)</f>
        <v>41030.51835648148</v>
      </c>
      <c r="C1203">
        <v>80</v>
      </c>
      <c r="D1203">
        <v>70.728134155000006</v>
      </c>
      <c r="E1203">
        <v>60</v>
      </c>
      <c r="F1203">
        <v>59.861305237000003</v>
      </c>
      <c r="G1203">
        <v>1401.7747803</v>
      </c>
      <c r="H1203">
        <v>1382.6903076000001</v>
      </c>
      <c r="I1203">
        <v>1288.8226318</v>
      </c>
      <c r="J1203">
        <v>1270.1887207</v>
      </c>
      <c r="K1203">
        <v>2750</v>
      </c>
      <c r="L1203">
        <v>0</v>
      </c>
      <c r="M1203">
        <v>0</v>
      </c>
      <c r="N1203">
        <v>2750</v>
      </c>
    </row>
    <row r="1204" spans="1:14" x14ac:dyDescent="0.25">
      <c r="A1204">
        <v>731.55311099999994</v>
      </c>
      <c r="B1204" s="1">
        <f>DATE(2012,5,1) + TIME(13,16,28)</f>
        <v>41030.553101851852</v>
      </c>
      <c r="C1204">
        <v>80</v>
      </c>
      <c r="D1204">
        <v>71.226509093999994</v>
      </c>
      <c r="E1204">
        <v>60</v>
      </c>
      <c r="F1204">
        <v>59.855773925999998</v>
      </c>
      <c r="G1204">
        <v>1401.5749512</v>
      </c>
      <c r="H1204">
        <v>1382.6062012</v>
      </c>
      <c r="I1204">
        <v>1288.8220214999999</v>
      </c>
      <c r="J1204">
        <v>1270.1876221</v>
      </c>
      <c r="K1204">
        <v>2750</v>
      </c>
      <c r="L1204">
        <v>0</v>
      </c>
      <c r="M1204">
        <v>0</v>
      </c>
      <c r="N1204">
        <v>2750</v>
      </c>
    </row>
    <row r="1205" spans="1:14" x14ac:dyDescent="0.25">
      <c r="A1205">
        <v>731.58902999999998</v>
      </c>
      <c r="B1205" s="1">
        <f>DATE(2012,5,1) + TIME(14,8,12)</f>
        <v>41030.58902777778</v>
      </c>
      <c r="C1205">
        <v>80</v>
      </c>
      <c r="D1205">
        <v>71.713325499999996</v>
      </c>
      <c r="E1205">
        <v>60</v>
      </c>
      <c r="F1205">
        <v>59.850112914999997</v>
      </c>
      <c r="G1205">
        <v>1401.3803711</v>
      </c>
      <c r="H1205">
        <v>1382.5231934000001</v>
      </c>
      <c r="I1205">
        <v>1288.8212891000001</v>
      </c>
      <c r="J1205">
        <v>1270.1865233999999</v>
      </c>
      <c r="K1205">
        <v>2750</v>
      </c>
      <c r="L1205">
        <v>0</v>
      </c>
      <c r="M1205">
        <v>0</v>
      </c>
      <c r="N1205">
        <v>2750</v>
      </c>
    </row>
    <row r="1206" spans="1:14" x14ac:dyDescent="0.25">
      <c r="A1206">
        <v>731.62621100000001</v>
      </c>
      <c r="B1206" s="1">
        <f>DATE(2012,5,1) + TIME(15,1,44)</f>
        <v>41030.626203703701</v>
      </c>
      <c r="C1206">
        <v>80</v>
      </c>
      <c r="D1206">
        <v>72.188499450999998</v>
      </c>
      <c r="E1206">
        <v>60</v>
      </c>
      <c r="F1206">
        <v>59.844314574999999</v>
      </c>
      <c r="G1206">
        <v>1401.1906738</v>
      </c>
      <c r="H1206">
        <v>1382.4414062000001</v>
      </c>
      <c r="I1206">
        <v>1288.8205565999999</v>
      </c>
      <c r="J1206">
        <v>1270.1853027</v>
      </c>
      <c r="K1206">
        <v>2750</v>
      </c>
      <c r="L1206">
        <v>0</v>
      </c>
      <c r="M1206">
        <v>0</v>
      </c>
      <c r="N1206">
        <v>2750</v>
      </c>
    </row>
    <row r="1207" spans="1:14" x14ac:dyDescent="0.25">
      <c r="A1207">
        <v>731.66475200000002</v>
      </c>
      <c r="B1207" s="1">
        <f>DATE(2012,5,1) + TIME(15,57,14)</f>
        <v>41030.66474537037</v>
      </c>
      <c r="C1207">
        <v>80</v>
      </c>
      <c r="D1207">
        <v>72.651931762999993</v>
      </c>
      <c r="E1207">
        <v>60</v>
      </c>
      <c r="F1207">
        <v>59.838359832999998</v>
      </c>
      <c r="G1207">
        <v>1401.0056152</v>
      </c>
      <c r="H1207">
        <v>1382.3604736</v>
      </c>
      <c r="I1207">
        <v>1288.8198242000001</v>
      </c>
      <c r="J1207">
        <v>1270.184082</v>
      </c>
      <c r="K1207">
        <v>2750</v>
      </c>
      <c r="L1207">
        <v>0</v>
      </c>
      <c r="M1207">
        <v>0</v>
      </c>
      <c r="N1207">
        <v>2750</v>
      </c>
    </row>
    <row r="1208" spans="1:14" x14ac:dyDescent="0.25">
      <c r="A1208">
        <v>731.70476199999996</v>
      </c>
      <c r="B1208" s="1">
        <f>DATE(2012,5,1) + TIME(16,54,51)</f>
        <v>41030.704756944448</v>
      </c>
      <c r="C1208">
        <v>80</v>
      </c>
      <c r="D1208">
        <v>73.103530883999994</v>
      </c>
      <c r="E1208">
        <v>60</v>
      </c>
      <c r="F1208">
        <v>59.832244873</v>
      </c>
      <c r="G1208">
        <v>1400.8249512</v>
      </c>
      <c r="H1208">
        <v>1382.2803954999999</v>
      </c>
      <c r="I1208">
        <v>1288.8188477000001</v>
      </c>
      <c r="J1208">
        <v>1270.1827393000001</v>
      </c>
      <c r="K1208">
        <v>2750</v>
      </c>
      <c r="L1208">
        <v>0</v>
      </c>
      <c r="M1208">
        <v>0</v>
      </c>
      <c r="N1208">
        <v>2750</v>
      </c>
    </row>
    <row r="1209" spans="1:14" x14ac:dyDescent="0.25">
      <c r="A1209">
        <v>731.74636199999998</v>
      </c>
      <c r="B1209" s="1">
        <f>DATE(2012,5,1) + TIME(17,54,45)</f>
        <v>41030.746354166666</v>
      </c>
      <c r="C1209">
        <v>80</v>
      </c>
      <c r="D1209">
        <v>73.543174743999998</v>
      </c>
      <c r="E1209">
        <v>60</v>
      </c>
      <c r="F1209">
        <v>59.825954437</v>
      </c>
      <c r="G1209">
        <v>1400.6485596</v>
      </c>
      <c r="H1209">
        <v>1382.2010498</v>
      </c>
      <c r="I1209">
        <v>1288.8178711</v>
      </c>
      <c r="J1209">
        <v>1270.1812743999999</v>
      </c>
      <c r="K1209">
        <v>2750</v>
      </c>
      <c r="L1209">
        <v>0</v>
      </c>
      <c r="M1209">
        <v>0</v>
      </c>
      <c r="N1209">
        <v>2750</v>
      </c>
    </row>
    <row r="1210" spans="1:14" x14ac:dyDescent="0.25">
      <c r="A1210">
        <v>731.78968899999995</v>
      </c>
      <c r="B1210" s="1">
        <f>DATE(2012,5,1) + TIME(18,57,9)</f>
        <v>41030.789687500001</v>
      </c>
      <c r="C1210">
        <v>80</v>
      </c>
      <c r="D1210">
        <v>73.970748900999993</v>
      </c>
      <c r="E1210">
        <v>60</v>
      </c>
      <c r="F1210">
        <v>59.819469452</v>
      </c>
      <c r="G1210">
        <v>1400.4759521000001</v>
      </c>
      <c r="H1210">
        <v>1382.1221923999999</v>
      </c>
      <c r="I1210">
        <v>1288.8168945</v>
      </c>
      <c r="J1210">
        <v>1270.1796875</v>
      </c>
      <c r="K1210">
        <v>2750</v>
      </c>
      <c r="L1210">
        <v>0</v>
      </c>
      <c r="M1210">
        <v>0</v>
      </c>
      <c r="N1210">
        <v>2750</v>
      </c>
    </row>
    <row r="1211" spans="1:14" x14ac:dyDescent="0.25">
      <c r="A1211">
        <v>731.83489799999995</v>
      </c>
      <c r="B1211" s="1">
        <f>DATE(2012,5,1) + TIME(20,2,15)</f>
        <v>41030.83489583333</v>
      </c>
      <c r="C1211">
        <v>80</v>
      </c>
      <c r="D1211">
        <v>74.386100768999995</v>
      </c>
      <c r="E1211">
        <v>60</v>
      </c>
      <c r="F1211">
        <v>59.812774658000002</v>
      </c>
      <c r="G1211">
        <v>1400.3070068</v>
      </c>
      <c r="H1211">
        <v>1382.0435791</v>
      </c>
      <c r="I1211">
        <v>1288.8157959</v>
      </c>
      <c r="J1211">
        <v>1270.1781006000001</v>
      </c>
      <c r="K1211">
        <v>2750</v>
      </c>
      <c r="L1211">
        <v>0</v>
      </c>
      <c r="M1211">
        <v>0</v>
      </c>
      <c r="N1211">
        <v>2750</v>
      </c>
    </row>
    <row r="1212" spans="1:14" x14ac:dyDescent="0.25">
      <c r="A1212">
        <v>731.88216299999999</v>
      </c>
      <c r="B1212" s="1">
        <f>DATE(2012,5,1) + TIME(21,10,18)</f>
        <v>41030.882152777776</v>
      </c>
      <c r="C1212">
        <v>80</v>
      </c>
      <c r="D1212">
        <v>74.789085388000004</v>
      </c>
      <c r="E1212">
        <v>60</v>
      </c>
      <c r="F1212">
        <v>59.805847168</v>
      </c>
      <c r="G1212">
        <v>1400.1414795000001</v>
      </c>
      <c r="H1212">
        <v>1381.965332</v>
      </c>
      <c r="I1212">
        <v>1288.8146973</v>
      </c>
      <c r="J1212">
        <v>1270.1763916</v>
      </c>
      <c r="K1212">
        <v>2750</v>
      </c>
      <c r="L1212">
        <v>0</v>
      </c>
      <c r="M1212">
        <v>0</v>
      </c>
      <c r="N1212">
        <v>2750</v>
      </c>
    </row>
    <row r="1213" spans="1:14" x14ac:dyDescent="0.25">
      <c r="A1213">
        <v>731.93170899999996</v>
      </c>
      <c r="B1213" s="1">
        <f>DATE(2012,5,1) + TIME(22,21,39)</f>
        <v>41030.931701388887</v>
      </c>
      <c r="C1213">
        <v>80</v>
      </c>
      <c r="D1213">
        <v>75.179573059000006</v>
      </c>
      <c r="E1213">
        <v>60</v>
      </c>
      <c r="F1213">
        <v>59.798664092999999</v>
      </c>
      <c r="G1213">
        <v>1399.9790039</v>
      </c>
      <c r="H1213">
        <v>1381.8869629000001</v>
      </c>
      <c r="I1213">
        <v>1288.8134766000001</v>
      </c>
      <c r="J1213">
        <v>1270.1746826000001</v>
      </c>
      <c r="K1213">
        <v>2750</v>
      </c>
      <c r="L1213">
        <v>0</v>
      </c>
      <c r="M1213">
        <v>0</v>
      </c>
      <c r="N1213">
        <v>2750</v>
      </c>
    </row>
    <row r="1214" spans="1:14" x14ac:dyDescent="0.25">
      <c r="A1214">
        <v>731.98375799999997</v>
      </c>
      <c r="B1214" s="1">
        <f>DATE(2012,5,1) + TIME(23,36,36)</f>
        <v>41030.983749999999</v>
      </c>
      <c r="C1214">
        <v>80</v>
      </c>
      <c r="D1214">
        <v>75.557266235</v>
      </c>
      <c r="E1214">
        <v>60</v>
      </c>
      <c r="F1214">
        <v>59.791202544999997</v>
      </c>
      <c r="G1214">
        <v>1399.8193358999999</v>
      </c>
      <c r="H1214">
        <v>1381.8085937999999</v>
      </c>
      <c r="I1214">
        <v>1288.8121338000001</v>
      </c>
      <c r="J1214">
        <v>1270.1728516000001</v>
      </c>
      <c r="K1214">
        <v>2750</v>
      </c>
      <c r="L1214">
        <v>0</v>
      </c>
      <c r="M1214">
        <v>0</v>
      </c>
      <c r="N1214">
        <v>2750</v>
      </c>
    </row>
    <row r="1215" spans="1:14" x14ac:dyDescent="0.25">
      <c r="A1215">
        <v>732.03856599999995</v>
      </c>
      <c r="B1215" s="1">
        <f>DATE(2012,5,2) + TIME(0,55,32)</f>
        <v>41031.038564814815</v>
      </c>
      <c r="C1215">
        <v>80</v>
      </c>
      <c r="D1215">
        <v>75.922019958000007</v>
      </c>
      <c r="E1215">
        <v>60</v>
      </c>
      <c r="F1215">
        <v>59.783432007000002</v>
      </c>
      <c r="G1215">
        <v>1399.6623535000001</v>
      </c>
      <c r="H1215">
        <v>1381.7297363</v>
      </c>
      <c r="I1215">
        <v>1288.8107910000001</v>
      </c>
      <c r="J1215">
        <v>1270.1708983999999</v>
      </c>
      <c r="K1215">
        <v>2750</v>
      </c>
      <c r="L1215">
        <v>0</v>
      </c>
      <c r="M1215">
        <v>0</v>
      </c>
      <c r="N1215">
        <v>2750</v>
      </c>
    </row>
    <row r="1216" spans="1:14" x14ac:dyDescent="0.25">
      <c r="A1216">
        <v>732.09644300000002</v>
      </c>
      <c r="B1216" s="1">
        <f>DATE(2012,5,2) + TIME(2,18,52)</f>
        <v>41031.096435185187</v>
      </c>
      <c r="C1216">
        <v>80</v>
      </c>
      <c r="D1216">
        <v>76.273620605000005</v>
      </c>
      <c r="E1216">
        <v>60</v>
      </c>
      <c r="F1216">
        <v>59.775321959999999</v>
      </c>
      <c r="G1216">
        <v>1399.5076904</v>
      </c>
      <c r="H1216">
        <v>1381.6505127</v>
      </c>
      <c r="I1216">
        <v>1288.8093262</v>
      </c>
      <c r="J1216">
        <v>1270.1688231999999</v>
      </c>
      <c r="K1216">
        <v>2750</v>
      </c>
      <c r="L1216">
        <v>0</v>
      </c>
      <c r="M1216">
        <v>0</v>
      </c>
      <c r="N1216">
        <v>2750</v>
      </c>
    </row>
    <row r="1217" spans="1:14" x14ac:dyDescent="0.25">
      <c r="A1217">
        <v>732.15775399999995</v>
      </c>
      <c r="B1217" s="1">
        <f>DATE(2012,5,2) + TIME(3,47,9)</f>
        <v>41031.157743055555</v>
      </c>
      <c r="C1217">
        <v>80</v>
      </c>
      <c r="D1217">
        <v>76.611831664999997</v>
      </c>
      <c r="E1217">
        <v>60</v>
      </c>
      <c r="F1217">
        <v>59.766826629999997</v>
      </c>
      <c r="G1217">
        <v>1399.3551024999999</v>
      </c>
      <c r="H1217">
        <v>1381.5704346</v>
      </c>
      <c r="I1217">
        <v>1288.8077393000001</v>
      </c>
      <c r="J1217">
        <v>1270.166626</v>
      </c>
      <c r="K1217">
        <v>2750</v>
      </c>
      <c r="L1217">
        <v>0</v>
      </c>
      <c r="M1217">
        <v>0</v>
      </c>
      <c r="N1217">
        <v>2750</v>
      </c>
    </row>
    <row r="1218" spans="1:14" x14ac:dyDescent="0.25">
      <c r="A1218">
        <v>732.22292400000003</v>
      </c>
      <c r="B1218" s="1">
        <f>DATE(2012,5,2) + TIME(5,21,0)</f>
        <v>41031.222916666666</v>
      </c>
      <c r="C1218">
        <v>80</v>
      </c>
      <c r="D1218">
        <v>76.936370850000003</v>
      </c>
      <c r="E1218">
        <v>60</v>
      </c>
      <c r="F1218">
        <v>59.757904052999997</v>
      </c>
      <c r="G1218">
        <v>1399.2042236</v>
      </c>
      <c r="H1218">
        <v>1381.4895019999999</v>
      </c>
      <c r="I1218">
        <v>1288.8061522999999</v>
      </c>
      <c r="J1218">
        <v>1270.1643065999999</v>
      </c>
      <c r="K1218">
        <v>2750</v>
      </c>
      <c r="L1218">
        <v>0</v>
      </c>
      <c r="M1218">
        <v>0</v>
      </c>
      <c r="N1218">
        <v>2750</v>
      </c>
    </row>
    <row r="1219" spans="1:14" x14ac:dyDescent="0.25">
      <c r="A1219">
        <v>732.292464</v>
      </c>
      <c r="B1219" s="1">
        <f>DATE(2012,5,2) + TIME(7,1,8)</f>
        <v>41031.292453703703</v>
      </c>
      <c r="C1219">
        <v>80</v>
      </c>
      <c r="D1219">
        <v>77.246940613000007</v>
      </c>
      <c r="E1219">
        <v>60</v>
      </c>
      <c r="F1219">
        <v>59.748497008999998</v>
      </c>
      <c r="G1219">
        <v>1399.0546875</v>
      </c>
      <c r="H1219">
        <v>1381.4072266000001</v>
      </c>
      <c r="I1219">
        <v>1288.8044434000001</v>
      </c>
      <c r="J1219">
        <v>1270.1618652</v>
      </c>
      <c r="K1219">
        <v>2750</v>
      </c>
      <c r="L1219">
        <v>0</v>
      </c>
      <c r="M1219">
        <v>0</v>
      </c>
      <c r="N1219">
        <v>2750</v>
      </c>
    </row>
    <row r="1220" spans="1:14" x14ac:dyDescent="0.25">
      <c r="A1220">
        <v>732.36700599999995</v>
      </c>
      <c r="B1220" s="1">
        <f>DATE(2012,5,2) + TIME(8,48,29)</f>
        <v>41031.367002314815</v>
      </c>
      <c r="C1220">
        <v>80</v>
      </c>
      <c r="D1220">
        <v>77.543289185000006</v>
      </c>
      <c r="E1220">
        <v>60</v>
      </c>
      <c r="F1220">
        <v>59.738540649000001</v>
      </c>
      <c r="G1220">
        <v>1398.9063721</v>
      </c>
      <c r="H1220">
        <v>1381.3236084</v>
      </c>
      <c r="I1220">
        <v>1288.8024902</v>
      </c>
      <c r="J1220">
        <v>1270.1591797000001</v>
      </c>
      <c r="K1220">
        <v>2750</v>
      </c>
      <c r="L1220">
        <v>0</v>
      </c>
      <c r="M1220">
        <v>0</v>
      </c>
      <c r="N1220">
        <v>2750</v>
      </c>
    </row>
    <row r="1221" spans="1:14" x14ac:dyDescent="0.25">
      <c r="A1221">
        <v>732.44731100000001</v>
      </c>
      <c r="B1221" s="1">
        <f>DATE(2012,5,2) + TIME(10,44,7)</f>
        <v>41031.44730324074</v>
      </c>
      <c r="C1221">
        <v>80</v>
      </c>
      <c r="D1221">
        <v>77.825073242000002</v>
      </c>
      <c r="E1221">
        <v>60</v>
      </c>
      <c r="F1221">
        <v>59.727954865000001</v>
      </c>
      <c r="G1221">
        <v>1398.7585449000001</v>
      </c>
      <c r="H1221">
        <v>1381.2380370999999</v>
      </c>
      <c r="I1221">
        <v>1288.8005370999999</v>
      </c>
      <c r="J1221">
        <v>1270.1563721</v>
      </c>
      <c r="K1221">
        <v>2750</v>
      </c>
      <c r="L1221">
        <v>0</v>
      </c>
      <c r="M1221">
        <v>0</v>
      </c>
      <c r="N1221">
        <v>2750</v>
      </c>
    </row>
    <row r="1222" spans="1:14" x14ac:dyDescent="0.25">
      <c r="A1222">
        <v>732.53432499999997</v>
      </c>
      <c r="B1222" s="1">
        <f>DATE(2012,5,2) + TIME(12,49,25)</f>
        <v>41031.534317129626</v>
      </c>
      <c r="C1222">
        <v>80</v>
      </c>
      <c r="D1222">
        <v>78.091934203999998</v>
      </c>
      <c r="E1222">
        <v>60</v>
      </c>
      <c r="F1222">
        <v>59.716640472000002</v>
      </c>
      <c r="G1222">
        <v>1398.6109618999999</v>
      </c>
      <c r="H1222">
        <v>1381.1502685999999</v>
      </c>
      <c r="I1222">
        <v>1288.7983397999999</v>
      </c>
      <c r="J1222">
        <v>1270.1534423999999</v>
      </c>
      <c r="K1222">
        <v>2750</v>
      </c>
      <c r="L1222">
        <v>0</v>
      </c>
      <c r="M1222">
        <v>0</v>
      </c>
      <c r="N1222">
        <v>2750</v>
      </c>
    </row>
    <row r="1223" spans="1:14" x14ac:dyDescent="0.25">
      <c r="A1223">
        <v>732.58160499999997</v>
      </c>
      <c r="B1223" s="1">
        <f>DATE(2012,5,2) + TIME(13,57,30)</f>
        <v>41031.581597222219</v>
      </c>
      <c r="C1223">
        <v>80</v>
      </c>
      <c r="D1223">
        <v>78.226432799999998</v>
      </c>
      <c r="E1223">
        <v>60</v>
      </c>
      <c r="F1223">
        <v>59.710208893000001</v>
      </c>
      <c r="G1223">
        <v>1398.5229492000001</v>
      </c>
      <c r="H1223">
        <v>1381.0881348</v>
      </c>
      <c r="I1223">
        <v>1288.7954102000001</v>
      </c>
      <c r="J1223">
        <v>1270.1505127</v>
      </c>
      <c r="K1223">
        <v>2750</v>
      </c>
      <c r="L1223">
        <v>0</v>
      </c>
      <c r="M1223">
        <v>0</v>
      </c>
      <c r="N1223">
        <v>2750</v>
      </c>
    </row>
    <row r="1224" spans="1:14" x14ac:dyDescent="0.25">
      <c r="A1224">
        <v>732.62888499999997</v>
      </c>
      <c r="B1224" s="1">
        <f>DATE(2012,5,2) + TIME(15,5,35)</f>
        <v>41031.628877314812</v>
      </c>
      <c r="C1224">
        <v>80</v>
      </c>
      <c r="D1224">
        <v>78.351165770999998</v>
      </c>
      <c r="E1224">
        <v>60</v>
      </c>
      <c r="F1224">
        <v>59.703811645999998</v>
      </c>
      <c r="G1224">
        <v>1398.4475098</v>
      </c>
      <c r="H1224">
        <v>1381.0412598</v>
      </c>
      <c r="I1224">
        <v>1288.7940673999999</v>
      </c>
      <c r="J1224">
        <v>1270.1486815999999</v>
      </c>
      <c r="K1224">
        <v>2750</v>
      </c>
      <c r="L1224">
        <v>0</v>
      </c>
      <c r="M1224">
        <v>0</v>
      </c>
      <c r="N1224">
        <v>2750</v>
      </c>
    </row>
    <row r="1225" spans="1:14" x14ac:dyDescent="0.25">
      <c r="A1225">
        <v>732.72344399999997</v>
      </c>
      <c r="B1225" s="1">
        <f>DATE(2012,5,2) + TIME(17,21,45)</f>
        <v>41031.723437499997</v>
      </c>
      <c r="C1225">
        <v>80</v>
      </c>
      <c r="D1225">
        <v>78.566787719999994</v>
      </c>
      <c r="E1225">
        <v>60</v>
      </c>
      <c r="F1225">
        <v>59.691814422999997</v>
      </c>
      <c r="G1225">
        <v>1398.3234863</v>
      </c>
      <c r="H1225">
        <v>1380.9710693</v>
      </c>
      <c r="I1225">
        <v>1288.7932129000001</v>
      </c>
      <c r="J1225">
        <v>1270.1464844</v>
      </c>
      <c r="K1225">
        <v>2750</v>
      </c>
      <c r="L1225">
        <v>0</v>
      </c>
      <c r="M1225">
        <v>0</v>
      </c>
      <c r="N1225">
        <v>2750</v>
      </c>
    </row>
    <row r="1226" spans="1:14" x14ac:dyDescent="0.25">
      <c r="A1226">
        <v>732.81807200000003</v>
      </c>
      <c r="B1226" s="1">
        <f>DATE(2012,5,2) + TIME(19,38,1)</f>
        <v>41031.818067129629</v>
      </c>
      <c r="C1226">
        <v>80</v>
      </c>
      <c r="D1226">
        <v>78.753326415999993</v>
      </c>
      <c r="E1226">
        <v>60</v>
      </c>
      <c r="F1226">
        <v>59.679851532000001</v>
      </c>
      <c r="G1226">
        <v>1398.1945800999999</v>
      </c>
      <c r="H1226">
        <v>1380.8864745999999</v>
      </c>
      <c r="I1226">
        <v>1288.7905272999999</v>
      </c>
      <c r="J1226">
        <v>1270.1430664</v>
      </c>
      <c r="K1226">
        <v>2750</v>
      </c>
      <c r="L1226">
        <v>0</v>
      </c>
      <c r="M1226">
        <v>0</v>
      </c>
      <c r="N1226">
        <v>2750</v>
      </c>
    </row>
    <row r="1227" spans="1:14" x14ac:dyDescent="0.25">
      <c r="A1227">
        <v>732.91337399999998</v>
      </c>
      <c r="B1227" s="1">
        <f>DATE(2012,5,2) + TIME(21,55,15)</f>
        <v>41031.913368055553</v>
      </c>
      <c r="C1227">
        <v>80</v>
      </c>
      <c r="D1227">
        <v>78.915596007999994</v>
      </c>
      <c r="E1227">
        <v>60</v>
      </c>
      <c r="F1227">
        <v>59.667846679999997</v>
      </c>
      <c r="G1227">
        <v>1398.0731201000001</v>
      </c>
      <c r="H1227">
        <v>1380.8049315999999</v>
      </c>
      <c r="I1227">
        <v>1288.7878418</v>
      </c>
      <c r="J1227">
        <v>1270.1396483999999</v>
      </c>
      <c r="K1227">
        <v>2750</v>
      </c>
      <c r="L1227">
        <v>0</v>
      </c>
      <c r="M1227">
        <v>0</v>
      </c>
      <c r="N1227">
        <v>2750</v>
      </c>
    </row>
    <row r="1228" spans="1:14" x14ac:dyDescent="0.25">
      <c r="A1228">
        <v>733.00957200000005</v>
      </c>
      <c r="B1228" s="1">
        <f>DATE(2012,5,3) + TIME(0,13,47)</f>
        <v>41032.009571759256</v>
      </c>
      <c r="C1228">
        <v>80</v>
      </c>
      <c r="D1228">
        <v>79.056900024000001</v>
      </c>
      <c r="E1228">
        <v>60</v>
      </c>
      <c r="F1228">
        <v>59.655784607000001</v>
      </c>
      <c r="G1228">
        <v>1397.958374</v>
      </c>
      <c r="H1228">
        <v>1380.7260742000001</v>
      </c>
      <c r="I1228">
        <v>1288.7851562000001</v>
      </c>
      <c r="J1228">
        <v>1270.1361084</v>
      </c>
      <c r="K1228">
        <v>2750</v>
      </c>
      <c r="L1228">
        <v>0</v>
      </c>
      <c r="M1228">
        <v>0</v>
      </c>
      <c r="N1228">
        <v>2750</v>
      </c>
    </row>
    <row r="1229" spans="1:14" x14ac:dyDescent="0.25">
      <c r="A1229">
        <v>733.10689400000001</v>
      </c>
      <c r="B1229" s="1">
        <f>DATE(2012,5,3) + TIME(2,33,55)</f>
        <v>41032.106886574074</v>
      </c>
      <c r="C1229">
        <v>80</v>
      </c>
      <c r="D1229">
        <v>79.180030822999996</v>
      </c>
      <c r="E1229">
        <v>60</v>
      </c>
      <c r="F1229">
        <v>59.643634796000001</v>
      </c>
      <c r="G1229">
        <v>1397.8492432</v>
      </c>
      <c r="H1229">
        <v>1380.6496582</v>
      </c>
      <c r="I1229">
        <v>1288.7824707</v>
      </c>
      <c r="J1229">
        <v>1270.1325684000001</v>
      </c>
      <c r="K1229">
        <v>2750</v>
      </c>
      <c r="L1229">
        <v>0</v>
      </c>
      <c r="M1229">
        <v>0</v>
      </c>
      <c r="N1229">
        <v>2750</v>
      </c>
    </row>
    <row r="1230" spans="1:14" x14ac:dyDescent="0.25">
      <c r="A1230">
        <v>733.20556499999998</v>
      </c>
      <c r="B1230" s="1">
        <f>DATE(2012,5,3) + TIME(4,56,0)</f>
        <v>41032.205555555556</v>
      </c>
      <c r="C1230">
        <v>80</v>
      </c>
      <c r="D1230">
        <v>79.287368774000001</v>
      </c>
      <c r="E1230">
        <v>60</v>
      </c>
      <c r="F1230">
        <v>59.631374358999999</v>
      </c>
      <c r="G1230">
        <v>1397.7449951000001</v>
      </c>
      <c r="H1230">
        <v>1380.5753173999999</v>
      </c>
      <c r="I1230">
        <v>1288.7796631000001</v>
      </c>
      <c r="J1230">
        <v>1270.1289062000001</v>
      </c>
      <c r="K1230">
        <v>2750</v>
      </c>
      <c r="L1230">
        <v>0</v>
      </c>
      <c r="M1230">
        <v>0</v>
      </c>
      <c r="N1230">
        <v>2750</v>
      </c>
    </row>
    <row r="1231" spans="1:14" x14ac:dyDescent="0.25">
      <c r="A1231">
        <v>733.30581900000004</v>
      </c>
      <c r="B1231" s="1">
        <f>DATE(2012,5,3) + TIME(7,20,22)</f>
        <v>41032.305810185186</v>
      </c>
      <c r="C1231">
        <v>80</v>
      </c>
      <c r="D1231">
        <v>79.380935668999996</v>
      </c>
      <c r="E1231">
        <v>60</v>
      </c>
      <c r="F1231">
        <v>59.618976592999999</v>
      </c>
      <c r="G1231">
        <v>1397.6451416</v>
      </c>
      <c r="H1231">
        <v>1380.5028076000001</v>
      </c>
      <c r="I1231">
        <v>1288.7767334</v>
      </c>
      <c r="J1231">
        <v>1270.1252440999999</v>
      </c>
      <c r="K1231">
        <v>2750</v>
      </c>
      <c r="L1231">
        <v>0</v>
      </c>
      <c r="M1231">
        <v>0</v>
      </c>
      <c r="N1231">
        <v>2750</v>
      </c>
    </row>
    <row r="1232" spans="1:14" x14ac:dyDescent="0.25">
      <c r="A1232">
        <v>733.407915</v>
      </c>
      <c r="B1232" s="1">
        <f>DATE(2012,5,3) + TIME(9,47,23)</f>
        <v>41032.407905092594</v>
      </c>
      <c r="C1232">
        <v>80</v>
      </c>
      <c r="D1232">
        <v>79.462493895999998</v>
      </c>
      <c r="E1232">
        <v>60</v>
      </c>
      <c r="F1232">
        <v>59.606414794999999</v>
      </c>
      <c r="G1232">
        <v>1397.5489502</v>
      </c>
      <c r="H1232">
        <v>1380.4318848</v>
      </c>
      <c r="I1232">
        <v>1288.7739257999999</v>
      </c>
      <c r="J1232">
        <v>1270.121582</v>
      </c>
      <c r="K1232">
        <v>2750</v>
      </c>
      <c r="L1232">
        <v>0</v>
      </c>
      <c r="M1232">
        <v>0</v>
      </c>
      <c r="N1232">
        <v>2750</v>
      </c>
    </row>
    <row r="1233" spans="1:14" x14ac:dyDescent="0.25">
      <c r="A1233">
        <v>733.51205300000004</v>
      </c>
      <c r="B1233" s="1">
        <f>DATE(2012,5,3) + TIME(12,17,21)</f>
        <v>41032.512048611112</v>
      </c>
      <c r="C1233">
        <v>80</v>
      </c>
      <c r="D1233">
        <v>79.533508300999998</v>
      </c>
      <c r="E1233">
        <v>60</v>
      </c>
      <c r="F1233">
        <v>59.593666077000002</v>
      </c>
      <c r="G1233">
        <v>1397.4560547000001</v>
      </c>
      <c r="H1233">
        <v>1380.3623047000001</v>
      </c>
      <c r="I1233">
        <v>1288.7709961</v>
      </c>
      <c r="J1233">
        <v>1270.1177978999999</v>
      </c>
      <c r="K1233">
        <v>2750</v>
      </c>
      <c r="L1233">
        <v>0</v>
      </c>
      <c r="M1233">
        <v>0</v>
      </c>
      <c r="N1233">
        <v>2750</v>
      </c>
    </row>
    <row r="1234" spans="1:14" x14ac:dyDescent="0.25">
      <c r="A1234">
        <v>733.61848699999996</v>
      </c>
      <c r="B1234" s="1">
        <f>DATE(2012,5,3) + TIME(14,50,37)</f>
        <v>41032.618483796294</v>
      </c>
      <c r="C1234">
        <v>80</v>
      </c>
      <c r="D1234">
        <v>79.595275878999999</v>
      </c>
      <c r="E1234">
        <v>60</v>
      </c>
      <c r="F1234">
        <v>59.580703735</v>
      </c>
      <c r="G1234">
        <v>1397.3659668</v>
      </c>
      <c r="H1234">
        <v>1380.2939452999999</v>
      </c>
      <c r="I1234">
        <v>1288.7679443</v>
      </c>
      <c r="J1234">
        <v>1270.1138916</v>
      </c>
      <c r="K1234">
        <v>2750</v>
      </c>
      <c r="L1234">
        <v>0</v>
      </c>
      <c r="M1234">
        <v>0</v>
      </c>
      <c r="N1234">
        <v>2750</v>
      </c>
    </row>
    <row r="1235" spans="1:14" x14ac:dyDescent="0.25">
      <c r="A1235">
        <v>733.72748100000001</v>
      </c>
      <c r="B1235" s="1">
        <f>DATE(2012,5,3) + TIME(17,27,34)</f>
        <v>41032.727476851855</v>
      </c>
      <c r="C1235">
        <v>80</v>
      </c>
      <c r="D1235">
        <v>79.648925781000003</v>
      </c>
      <c r="E1235">
        <v>60</v>
      </c>
      <c r="F1235">
        <v>59.567501067999999</v>
      </c>
      <c r="G1235">
        <v>1397.2784423999999</v>
      </c>
      <c r="H1235">
        <v>1380.2265625</v>
      </c>
      <c r="I1235">
        <v>1288.7648925999999</v>
      </c>
      <c r="J1235">
        <v>1270.1099853999999</v>
      </c>
      <c r="K1235">
        <v>2750</v>
      </c>
      <c r="L1235">
        <v>0</v>
      </c>
      <c r="M1235">
        <v>0</v>
      </c>
      <c r="N1235">
        <v>2750</v>
      </c>
    </row>
    <row r="1236" spans="1:14" x14ac:dyDescent="0.25">
      <c r="A1236">
        <v>733.83932100000004</v>
      </c>
      <c r="B1236" s="1">
        <f>DATE(2012,5,3) + TIME(20,8,37)</f>
        <v>41032.839317129627</v>
      </c>
      <c r="C1236">
        <v>80</v>
      </c>
      <c r="D1236">
        <v>79.695449828999998</v>
      </c>
      <c r="E1236">
        <v>60</v>
      </c>
      <c r="F1236">
        <v>59.554027556999998</v>
      </c>
      <c r="G1236">
        <v>1397.1928711</v>
      </c>
      <c r="H1236">
        <v>1380.1600341999999</v>
      </c>
      <c r="I1236">
        <v>1288.7617187999999</v>
      </c>
      <c r="J1236">
        <v>1270.105957</v>
      </c>
      <c r="K1236">
        <v>2750</v>
      </c>
      <c r="L1236">
        <v>0</v>
      </c>
      <c r="M1236">
        <v>0</v>
      </c>
      <c r="N1236">
        <v>2750</v>
      </c>
    </row>
    <row r="1237" spans="1:14" x14ac:dyDescent="0.25">
      <c r="A1237">
        <v>733.95431299999996</v>
      </c>
      <c r="B1237" s="1">
        <f>DATE(2012,5,3) + TIME(22,54,12)</f>
        <v>41032.954305555555</v>
      </c>
      <c r="C1237">
        <v>80</v>
      </c>
      <c r="D1237">
        <v>79.735710143999995</v>
      </c>
      <c r="E1237">
        <v>60</v>
      </c>
      <c r="F1237">
        <v>59.540252686000002</v>
      </c>
      <c r="G1237">
        <v>1397.1090088000001</v>
      </c>
      <c r="H1237">
        <v>1380.0941161999999</v>
      </c>
      <c r="I1237">
        <v>1288.7585449000001</v>
      </c>
      <c r="J1237">
        <v>1270.1016846</v>
      </c>
      <c r="K1237">
        <v>2750</v>
      </c>
      <c r="L1237">
        <v>0</v>
      </c>
      <c r="M1237">
        <v>0</v>
      </c>
      <c r="N1237">
        <v>2750</v>
      </c>
    </row>
    <row r="1238" spans="1:14" x14ac:dyDescent="0.25">
      <c r="A1238">
        <v>734.07279600000004</v>
      </c>
      <c r="B1238" s="1">
        <f>DATE(2012,5,4) + TIME(1,44,49)</f>
        <v>41033.072789351849</v>
      </c>
      <c r="C1238">
        <v>80</v>
      </c>
      <c r="D1238">
        <v>79.770477295000006</v>
      </c>
      <c r="E1238">
        <v>60</v>
      </c>
      <c r="F1238">
        <v>59.526142120000003</v>
      </c>
      <c r="G1238">
        <v>1397.0267334</v>
      </c>
      <c r="H1238">
        <v>1380.0288086</v>
      </c>
      <c r="I1238">
        <v>1288.7551269999999</v>
      </c>
      <c r="J1238">
        <v>1270.0974120999999</v>
      </c>
      <c r="K1238">
        <v>2750</v>
      </c>
      <c r="L1238">
        <v>0</v>
      </c>
      <c r="M1238">
        <v>0</v>
      </c>
      <c r="N1238">
        <v>2750</v>
      </c>
    </row>
    <row r="1239" spans="1:14" x14ac:dyDescent="0.25">
      <c r="A1239">
        <v>734.19514000000004</v>
      </c>
      <c r="B1239" s="1">
        <f>DATE(2012,5,4) + TIME(4,41,0)</f>
        <v>41033.195138888892</v>
      </c>
      <c r="C1239">
        <v>80</v>
      </c>
      <c r="D1239">
        <v>79.800415039000001</v>
      </c>
      <c r="E1239">
        <v>60</v>
      </c>
      <c r="F1239">
        <v>59.511653899999999</v>
      </c>
      <c r="G1239">
        <v>1396.9455565999999</v>
      </c>
      <c r="H1239">
        <v>1379.9637451000001</v>
      </c>
      <c r="I1239">
        <v>1288.7517089999999</v>
      </c>
      <c r="J1239">
        <v>1270.0930175999999</v>
      </c>
      <c r="K1239">
        <v>2750</v>
      </c>
      <c r="L1239">
        <v>0</v>
      </c>
      <c r="M1239">
        <v>0</v>
      </c>
      <c r="N1239">
        <v>2750</v>
      </c>
    </row>
    <row r="1240" spans="1:14" x14ac:dyDescent="0.25">
      <c r="A1240">
        <v>734.32175900000004</v>
      </c>
      <c r="B1240" s="1">
        <f>DATE(2012,5,4) + TIME(7,43,19)</f>
        <v>41033.321747685186</v>
      </c>
      <c r="C1240">
        <v>80</v>
      </c>
      <c r="D1240">
        <v>79.826118468999994</v>
      </c>
      <c r="E1240">
        <v>60</v>
      </c>
      <c r="F1240">
        <v>59.496749878000003</v>
      </c>
      <c r="G1240">
        <v>1396.8652344</v>
      </c>
      <c r="H1240">
        <v>1379.8989257999999</v>
      </c>
      <c r="I1240">
        <v>1288.7481689000001</v>
      </c>
      <c r="J1240">
        <v>1270.088501</v>
      </c>
      <c r="K1240">
        <v>2750</v>
      </c>
      <c r="L1240">
        <v>0</v>
      </c>
      <c r="M1240">
        <v>0</v>
      </c>
      <c r="N1240">
        <v>2750</v>
      </c>
    </row>
    <row r="1241" spans="1:14" x14ac:dyDescent="0.25">
      <c r="A1241">
        <v>734.45311400000003</v>
      </c>
      <c r="B1241" s="1">
        <f>DATE(2012,5,4) + TIME(10,52,29)</f>
        <v>41033.453113425923</v>
      </c>
      <c r="C1241">
        <v>80</v>
      </c>
      <c r="D1241">
        <v>79.848114014000004</v>
      </c>
      <c r="E1241">
        <v>60</v>
      </c>
      <c r="F1241">
        <v>59.481388092000003</v>
      </c>
      <c r="G1241">
        <v>1396.7855225000001</v>
      </c>
      <c r="H1241">
        <v>1379.8342285000001</v>
      </c>
      <c r="I1241">
        <v>1288.7443848</v>
      </c>
      <c r="J1241">
        <v>1270.0837402</v>
      </c>
      <c r="K1241">
        <v>2750</v>
      </c>
      <c r="L1241">
        <v>0</v>
      </c>
      <c r="M1241">
        <v>0</v>
      </c>
      <c r="N1241">
        <v>2750</v>
      </c>
    </row>
    <row r="1242" spans="1:14" x14ac:dyDescent="0.25">
      <c r="A1242">
        <v>734.58981500000004</v>
      </c>
      <c r="B1242" s="1">
        <f>DATE(2012,5,4) + TIME(14,9,20)</f>
        <v>41033.589814814812</v>
      </c>
      <c r="C1242">
        <v>80</v>
      </c>
      <c r="D1242">
        <v>79.866867064999994</v>
      </c>
      <c r="E1242">
        <v>60</v>
      </c>
      <c r="F1242">
        <v>59.465499878000003</v>
      </c>
      <c r="G1242">
        <v>1396.7061768000001</v>
      </c>
      <c r="H1242">
        <v>1379.7692870999999</v>
      </c>
      <c r="I1242">
        <v>1288.7406006000001</v>
      </c>
      <c r="J1242">
        <v>1270.0787353999999</v>
      </c>
      <c r="K1242">
        <v>2750</v>
      </c>
      <c r="L1242">
        <v>0</v>
      </c>
      <c r="M1242">
        <v>0</v>
      </c>
      <c r="N1242">
        <v>2750</v>
      </c>
    </row>
    <row r="1243" spans="1:14" x14ac:dyDescent="0.25">
      <c r="A1243">
        <v>734.73238400000002</v>
      </c>
      <c r="B1243" s="1">
        <f>DATE(2012,5,4) + TIME(17,34,37)</f>
        <v>41033.732372685183</v>
      </c>
      <c r="C1243">
        <v>80</v>
      </c>
      <c r="D1243">
        <v>79.882789611999996</v>
      </c>
      <c r="E1243">
        <v>60</v>
      </c>
      <c r="F1243">
        <v>59.449043273999997</v>
      </c>
      <c r="G1243">
        <v>1396.6268310999999</v>
      </c>
      <c r="H1243">
        <v>1379.7042236</v>
      </c>
      <c r="I1243">
        <v>1288.7365723</v>
      </c>
      <c r="J1243">
        <v>1270.0737305</v>
      </c>
      <c r="K1243">
        <v>2750</v>
      </c>
      <c r="L1243">
        <v>0</v>
      </c>
      <c r="M1243">
        <v>0</v>
      </c>
      <c r="N1243">
        <v>2750</v>
      </c>
    </row>
    <row r="1244" spans="1:14" x14ac:dyDescent="0.25">
      <c r="A1244">
        <v>734.88150099999996</v>
      </c>
      <c r="B1244" s="1">
        <f>DATE(2012,5,4) + TIME(21,9,21)</f>
        <v>41033.881493055553</v>
      </c>
      <c r="C1244">
        <v>80</v>
      </c>
      <c r="D1244">
        <v>79.896240234000004</v>
      </c>
      <c r="E1244">
        <v>60</v>
      </c>
      <c r="F1244">
        <v>59.431945800999998</v>
      </c>
      <c r="G1244">
        <v>1396.5473632999999</v>
      </c>
      <c r="H1244">
        <v>1379.6385498</v>
      </c>
      <c r="I1244">
        <v>1288.7324219</v>
      </c>
      <c r="J1244">
        <v>1270.0683594</v>
      </c>
      <c r="K1244">
        <v>2750</v>
      </c>
      <c r="L1244">
        <v>0</v>
      </c>
      <c r="M1244">
        <v>0</v>
      </c>
      <c r="N1244">
        <v>2750</v>
      </c>
    </row>
    <row r="1245" spans="1:14" x14ac:dyDescent="0.25">
      <c r="A1245">
        <v>735.03634699999998</v>
      </c>
      <c r="B1245" s="1">
        <f>DATE(2012,5,5) + TIME(0,52,20)</f>
        <v>41034.03634259259</v>
      </c>
      <c r="C1245">
        <v>80</v>
      </c>
      <c r="D1245">
        <v>79.907455443999993</v>
      </c>
      <c r="E1245">
        <v>60</v>
      </c>
      <c r="F1245">
        <v>59.414287567000002</v>
      </c>
      <c r="G1245">
        <v>1396.4675293</v>
      </c>
      <c r="H1245">
        <v>1379.5723877</v>
      </c>
      <c r="I1245">
        <v>1288.7280272999999</v>
      </c>
      <c r="J1245">
        <v>1270.0627440999999</v>
      </c>
      <c r="K1245">
        <v>2750</v>
      </c>
      <c r="L1245">
        <v>0</v>
      </c>
      <c r="M1245">
        <v>0</v>
      </c>
      <c r="N1245">
        <v>2750</v>
      </c>
    </row>
    <row r="1246" spans="1:14" x14ac:dyDescent="0.25">
      <c r="A1246">
        <v>735.19702299999994</v>
      </c>
      <c r="B1246" s="1">
        <f>DATE(2012,5,5) + TIME(4,43,42)</f>
        <v>41034.197013888886</v>
      </c>
      <c r="C1246">
        <v>80</v>
      </c>
      <c r="D1246">
        <v>79.916748046999999</v>
      </c>
      <c r="E1246">
        <v>60</v>
      </c>
      <c r="F1246">
        <v>59.396057128999999</v>
      </c>
      <c r="G1246">
        <v>1396.3878173999999</v>
      </c>
      <c r="H1246">
        <v>1379.5059814000001</v>
      </c>
      <c r="I1246">
        <v>1288.7233887</v>
      </c>
      <c r="J1246">
        <v>1270.0568848</v>
      </c>
      <c r="K1246">
        <v>2750</v>
      </c>
      <c r="L1246">
        <v>0</v>
      </c>
      <c r="M1246">
        <v>0</v>
      </c>
      <c r="N1246">
        <v>2750</v>
      </c>
    </row>
    <row r="1247" spans="1:14" x14ac:dyDescent="0.25">
      <c r="A1247">
        <v>735.36420199999998</v>
      </c>
      <c r="B1247" s="1">
        <f>DATE(2012,5,5) + TIME(8,44,27)</f>
        <v>41034.364201388889</v>
      </c>
      <c r="C1247">
        <v>80</v>
      </c>
      <c r="D1247">
        <v>79.924400329999997</v>
      </c>
      <c r="E1247">
        <v>60</v>
      </c>
      <c r="F1247">
        <v>59.377193450999997</v>
      </c>
      <c r="G1247">
        <v>1396.3081055</v>
      </c>
      <c r="H1247">
        <v>1379.4395752</v>
      </c>
      <c r="I1247">
        <v>1288.7186279</v>
      </c>
      <c r="J1247">
        <v>1270.0509033000001</v>
      </c>
      <c r="K1247">
        <v>2750</v>
      </c>
      <c r="L1247">
        <v>0</v>
      </c>
      <c r="M1247">
        <v>0</v>
      </c>
      <c r="N1247">
        <v>2750</v>
      </c>
    </row>
    <row r="1248" spans="1:14" x14ac:dyDescent="0.25">
      <c r="A1248">
        <v>735.53860299999997</v>
      </c>
      <c r="B1248" s="1">
        <f>DATE(2012,5,5) + TIME(12,55,35)</f>
        <v>41034.538599537038</v>
      </c>
      <c r="C1248">
        <v>80</v>
      </c>
      <c r="D1248">
        <v>79.930694579999994</v>
      </c>
      <c r="E1248">
        <v>60</v>
      </c>
      <c r="F1248">
        <v>59.357631683000001</v>
      </c>
      <c r="G1248">
        <v>1396.2281493999999</v>
      </c>
      <c r="H1248">
        <v>1379.3728027</v>
      </c>
      <c r="I1248">
        <v>1288.7137451000001</v>
      </c>
      <c r="J1248">
        <v>1270.0446777</v>
      </c>
      <c r="K1248">
        <v>2750</v>
      </c>
      <c r="L1248">
        <v>0</v>
      </c>
      <c r="M1248">
        <v>0</v>
      </c>
      <c r="N1248">
        <v>2750</v>
      </c>
    </row>
    <row r="1249" spans="1:14" x14ac:dyDescent="0.25">
      <c r="A1249">
        <v>735.72095300000001</v>
      </c>
      <c r="B1249" s="1">
        <f>DATE(2012,5,5) + TIME(17,18,10)</f>
        <v>41034.720949074072</v>
      </c>
      <c r="C1249">
        <v>80</v>
      </c>
      <c r="D1249">
        <v>79.935836792000003</v>
      </c>
      <c r="E1249">
        <v>60</v>
      </c>
      <c r="F1249">
        <v>59.337306976000001</v>
      </c>
      <c r="G1249">
        <v>1396.1477050999999</v>
      </c>
      <c r="H1249">
        <v>1379.3054199000001</v>
      </c>
      <c r="I1249">
        <v>1288.7084961</v>
      </c>
      <c r="J1249">
        <v>1270.0380858999999</v>
      </c>
      <c r="K1249">
        <v>2750</v>
      </c>
      <c r="L1249">
        <v>0</v>
      </c>
      <c r="M1249">
        <v>0</v>
      </c>
      <c r="N1249">
        <v>2750</v>
      </c>
    </row>
    <row r="1250" spans="1:14" x14ac:dyDescent="0.25">
      <c r="A1250">
        <v>735.91216499999996</v>
      </c>
      <c r="B1250" s="1">
        <f>DATE(2012,5,5) + TIME(21,53,31)</f>
        <v>41034.912164351852</v>
      </c>
      <c r="C1250">
        <v>80</v>
      </c>
      <c r="D1250">
        <v>79.940017699999999</v>
      </c>
      <c r="E1250">
        <v>60</v>
      </c>
      <c r="F1250">
        <v>59.316135406000001</v>
      </c>
      <c r="G1250">
        <v>1396.0666504000001</v>
      </c>
      <c r="H1250">
        <v>1379.2375488</v>
      </c>
      <c r="I1250">
        <v>1288.703125</v>
      </c>
      <c r="J1250">
        <v>1270.03125</v>
      </c>
      <c r="K1250">
        <v>2750</v>
      </c>
      <c r="L1250">
        <v>0</v>
      </c>
      <c r="M1250">
        <v>0</v>
      </c>
      <c r="N1250">
        <v>2750</v>
      </c>
    </row>
    <row r="1251" spans="1:14" x14ac:dyDescent="0.25">
      <c r="A1251">
        <v>736.10535300000004</v>
      </c>
      <c r="B1251" s="1">
        <f>DATE(2012,5,6) + TIME(2,31,42)</f>
        <v>41035.105347222219</v>
      </c>
      <c r="C1251">
        <v>80</v>
      </c>
      <c r="D1251">
        <v>79.943290709999999</v>
      </c>
      <c r="E1251">
        <v>60</v>
      </c>
      <c r="F1251">
        <v>59.294712066999999</v>
      </c>
      <c r="G1251">
        <v>1395.9846190999999</v>
      </c>
      <c r="H1251">
        <v>1379.1688231999999</v>
      </c>
      <c r="I1251">
        <v>1288.6973877</v>
      </c>
      <c r="J1251">
        <v>1270.0240478999999</v>
      </c>
      <c r="K1251">
        <v>2750</v>
      </c>
      <c r="L1251">
        <v>0</v>
      </c>
      <c r="M1251">
        <v>0</v>
      </c>
      <c r="N1251">
        <v>2750</v>
      </c>
    </row>
    <row r="1252" spans="1:14" x14ac:dyDescent="0.25">
      <c r="A1252">
        <v>736.29956000000004</v>
      </c>
      <c r="B1252" s="1">
        <f>DATE(2012,5,6) + TIME(7,11,21)</f>
        <v>41035.29954861111</v>
      </c>
      <c r="C1252">
        <v>80</v>
      </c>
      <c r="D1252">
        <v>79.945854186999995</v>
      </c>
      <c r="E1252">
        <v>60</v>
      </c>
      <c r="F1252">
        <v>59.273147582999997</v>
      </c>
      <c r="G1252">
        <v>1395.9046631000001</v>
      </c>
      <c r="H1252">
        <v>1379.1016846</v>
      </c>
      <c r="I1252">
        <v>1288.6915283000001</v>
      </c>
      <c r="J1252">
        <v>1270.0168457</v>
      </c>
      <c r="K1252">
        <v>2750</v>
      </c>
      <c r="L1252">
        <v>0</v>
      </c>
      <c r="M1252">
        <v>0</v>
      </c>
      <c r="N1252">
        <v>2750</v>
      </c>
    </row>
    <row r="1253" spans="1:14" x14ac:dyDescent="0.25">
      <c r="A1253">
        <v>736.49538600000005</v>
      </c>
      <c r="B1253" s="1">
        <f>DATE(2012,5,6) + TIME(11,53,21)</f>
        <v>41035.495381944442</v>
      </c>
      <c r="C1253">
        <v>80</v>
      </c>
      <c r="D1253">
        <v>79.947868346999996</v>
      </c>
      <c r="E1253">
        <v>60</v>
      </c>
      <c r="F1253">
        <v>59.251411437999998</v>
      </c>
      <c r="G1253">
        <v>1395.8267822</v>
      </c>
      <c r="H1253">
        <v>1379.036499</v>
      </c>
      <c r="I1253">
        <v>1288.6856689000001</v>
      </c>
      <c r="J1253">
        <v>1270.0095214999999</v>
      </c>
      <c r="K1253">
        <v>2750</v>
      </c>
      <c r="L1253">
        <v>0</v>
      </c>
      <c r="M1253">
        <v>0</v>
      </c>
      <c r="N1253">
        <v>2750</v>
      </c>
    </row>
    <row r="1254" spans="1:14" x14ac:dyDescent="0.25">
      <c r="A1254">
        <v>736.69327799999996</v>
      </c>
      <c r="B1254" s="1">
        <f>DATE(2012,5,6) + TIME(16,38,19)</f>
        <v>41035.69327546296</v>
      </c>
      <c r="C1254">
        <v>80</v>
      </c>
      <c r="D1254">
        <v>79.949462890999996</v>
      </c>
      <c r="E1254">
        <v>60</v>
      </c>
      <c r="F1254">
        <v>59.229484558000003</v>
      </c>
      <c r="G1254">
        <v>1395.7508545000001</v>
      </c>
      <c r="H1254">
        <v>1378.9729004000001</v>
      </c>
      <c r="I1254">
        <v>1288.6798096</v>
      </c>
      <c r="J1254">
        <v>1270.0021973</v>
      </c>
      <c r="K1254">
        <v>2750</v>
      </c>
      <c r="L1254">
        <v>0</v>
      </c>
      <c r="M1254">
        <v>0</v>
      </c>
      <c r="N1254">
        <v>2750</v>
      </c>
    </row>
    <row r="1255" spans="1:14" x14ac:dyDescent="0.25">
      <c r="A1255">
        <v>736.89375299999995</v>
      </c>
      <c r="B1255" s="1">
        <f>DATE(2012,5,6) + TIME(21,27,0)</f>
        <v>41035.893750000003</v>
      </c>
      <c r="C1255">
        <v>80</v>
      </c>
      <c r="D1255">
        <v>79.950721740999995</v>
      </c>
      <c r="E1255">
        <v>60</v>
      </c>
      <c r="F1255">
        <v>59.207332610999998</v>
      </c>
      <c r="G1255">
        <v>1395.6763916</v>
      </c>
      <c r="H1255">
        <v>1378.9105225000001</v>
      </c>
      <c r="I1255">
        <v>1288.6738281</v>
      </c>
      <c r="J1255">
        <v>1269.994751</v>
      </c>
      <c r="K1255">
        <v>2750</v>
      </c>
      <c r="L1255">
        <v>0</v>
      </c>
      <c r="M1255">
        <v>0</v>
      </c>
      <c r="N1255">
        <v>2750</v>
      </c>
    </row>
    <row r="1256" spans="1:14" x14ac:dyDescent="0.25">
      <c r="A1256">
        <v>737.09732899999995</v>
      </c>
      <c r="B1256" s="1">
        <f>DATE(2012,5,7) + TIME(2,20,9)</f>
        <v>41036.097326388888</v>
      </c>
      <c r="C1256">
        <v>80</v>
      </c>
      <c r="D1256">
        <v>79.951728821000003</v>
      </c>
      <c r="E1256">
        <v>60</v>
      </c>
      <c r="F1256">
        <v>59.184921265</v>
      </c>
      <c r="G1256">
        <v>1395.6032714999999</v>
      </c>
      <c r="H1256">
        <v>1378.8493652</v>
      </c>
      <c r="I1256">
        <v>1288.6677245999999</v>
      </c>
      <c r="J1256">
        <v>1269.9871826000001</v>
      </c>
      <c r="K1256">
        <v>2750</v>
      </c>
      <c r="L1256">
        <v>0</v>
      </c>
      <c r="M1256">
        <v>0</v>
      </c>
      <c r="N1256">
        <v>2750</v>
      </c>
    </row>
    <row r="1257" spans="1:14" x14ac:dyDescent="0.25">
      <c r="A1257">
        <v>737.30454099999997</v>
      </c>
      <c r="B1257" s="1">
        <f>DATE(2012,5,7) + TIME(7,18,32)</f>
        <v>41036.304537037038</v>
      </c>
      <c r="C1257">
        <v>80</v>
      </c>
      <c r="D1257">
        <v>79.952529906999999</v>
      </c>
      <c r="E1257">
        <v>60</v>
      </c>
      <c r="F1257">
        <v>59.162200927999997</v>
      </c>
      <c r="G1257">
        <v>1395.5310059000001</v>
      </c>
      <c r="H1257">
        <v>1378.7890625</v>
      </c>
      <c r="I1257">
        <v>1288.6616211</v>
      </c>
      <c r="J1257">
        <v>1269.9794922000001</v>
      </c>
      <c r="K1257">
        <v>2750</v>
      </c>
      <c r="L1257">
        <v>0</v>
      </c>
      <c r="M1257">
        <v>0</v>
      </c>
      <c r="N1257">
        <v>2750</v>
      </c>
    </row>
    <row r="1258" spans="1:14" x14ac:dyDescent="0.25">
      <c r="A1258">
        <v>737.51594599999999</v>
      </c>
      <c r="B1258" s="1">
        <f>DATE(2012,5,7) + TIME(12,22,57)</f>
        <v>41036.5159375</v>
      </c>
      <c r="C1258">
        <v>80</v>
      </c>
      <c r="D1258">
        <v>79.953170775999993</v>
      </c>
      <c r="E1258">
        <v>60</v>
      </c>
      <c r="F1258">
        <v>59.139133452999999</v>
      </c>
      <c r="G1258">
        <v>1395.4597168</v>
      </c>
      <c r="H1258">
        <v>1378.7293701000001</v>
      </c>
      <c r="I1258">
        <v>1288.6553954999999</v>
      </c>
      <c r="J1258">
        <v>1269.9716797000001</v>
      </c>
      <c r="K1258">
        <v>2750</v>
      </c>
      <c r="L1258">
        <v>0</v>
      </c>
      <c r="M1258">
        <v>0</v>
      </c>
      <c r="N1258">
        <v>2750</v>
      </c>
    </row>
    <row r="1259" spans="1:14" x14ac:dyDescent="0.25">
      <c r="A1259">
        <v>737.73213799999996</v>
      </c>
      <c r="B1259" s="1">
        <f>DATE(2012,5,7) + TIME(17,34,16)</f>
        <v>41036.732129629629</v>
      </c>
      <c r="C1259">
        <v>80</v>
      </c>
      <c r="D1259">
        <v>79.953689574999999</v>
      </c>
      <c r="E1259">
        <v>60</v>
      </c>
      <c r="F1259">
        <v>59.115665436</v>
      </c>
      <c r="G1259">
        <v>1395.3889160000001</v>
      </c>
      <c r="H1259">
        <v>1378.6702881000001</v>
      </c>
      <c r="I1259">
        <v>1288.6490478999999</v>
      </c>
      <c r="J1259">
        <v>1269.9636230000001</v>
      </c>
      <c r="K1259">
        <v>2750</v>
      </c>
      <c r="L1259">
        <v>0</v>
      </c>
      <c r="M1259">
        <v>0</v>
      </c>
      <c r="N1259">
        <v>2750</v>
      </c>
    </row>
    <row r="1260" spans="1:14" x14ac:dyDescent="0.25">
      <c r="A1260">
        <v>737.953754</v>
      </c>
      <c r="B1260" s="1">
        <f>DATE(2012,5,7) + TIME(22,53,24)</f>
        <v>41036.953750000001</v>
      </c>
      <c r="C1260">
        <v>80</v>
      </c>
      <c r="D1260">
        <v>79.954116821</v>
      </c>
      <c r="E1260">
        <v>60</v>
      </c>
      <c r="F1260">
        <v>59.091743469000001</v>
      </c>
      <c r="G1260">
        <v>1395.3183594</v>
      </c>
      <c r="H1260">
        <v>1378.6115723</v>
      </c>
      <c r="I1260">
        <v>1288.6424560999999</v>
      </c>
      <c r="J1260">
        <v>1269.9554443</v>
      </c>
      <c r="K1260">
        <v>2750</v>
      </c>
      <c r="L1260">
        <v>0</v>
      </c>
      <c r="M1260">
        <v>0</v>
      </c>
      <c r="N1260">
        <v>2750</v>
      </c>
    </row>
    <row r="1261" spans="1:14" x14ac:dyDescent="0.25">
      <c r="A1261">
        <v>738.18149200000005</v>
      </c>
      <c r="B1261" s="1">
        <f>DATE(2012,5,8) + TIME(4,21,20)</f>
        <v>41037.181481481479</v>
      </c>
      <c r="C1261">
        <v>80</v>
      </c>
      <c r="D1261">
        <v>79.954460143999995</v>
      </c>
      <c r="E1261">
        <v>60</v>
      </c>
      <c r="F1261">
        <v>59.067302703999999</v>
      </c>
      <c r="G1261">
        <v>1395.2481689000001</v>
      </c>
      <c r="H1261">
        <v>1378.5531006000001</v>
      </c>
      <c r="I1261">
        <v>1288.6357422000001</v>
      </c>
      <c r="J1261">
        <v>1269.9470214999999</v>
      </c>
      <c r="K1261">
        <v>2750</v>
      </c>
      <c r="L1261">
        <v>0</v>
      </c>
      <c r="M1261">
        <v>0</v>
      </c>
      <c r="N1261">
        <v>2750</v>
      </c>
    </row>
    <row r="1262" spans="1:14" x14ac:dyDescent="0.25">
      <c r="A1262">
        <v>738.41611999999998</v>
      </c>
      <c r="B1262" s="1">
        <f>DATE(2012,5,8) + TIME(9,59,12)</f>
        <v>41037.41611111111</v>
      </c>
      <c r="C1262">
        <v>80</v>
      </c>
      <c r="D1262">
        <v>79.954734802000004</v>
      </c>
      <c r="E1262">
        <v>60</v>
      </c>
      <c r="F1262">
        <v>59.042278289999999</v>
      </c>
      <c r="G1262">
        <v>1395.1778564000001</v>
      </c>
      <c r="H1262">
        <v>1378.4946289</v>
      </c>
      <c r="I1262">
        <v>1288.6289062000001</v>
      </c>
      <c r="J1262">
        <v>1269.9384766000001</v>
      </c>
      <c r="K1262">
        <v>2750</v>
      </c>
      <c r="L1262">
        <v>0</v>
      </c>
      <c r="M1262">
        <v>0</v>
      </c>
      <c r="N1262">
        <v>2750</v>
      </c>
    </row>
    <row r="1263" spans="1:14" x14ac:dyDescent="0.25">
      <c r="A1263">
        <v>738.65865699999995</v>
      </c>
      <c r="B1263" s="1">
        <f>DATE(2012,5,8) + TIME(15,48,28)</f>
        <v>41037.65865740741</v>
      </c>
      <c r="C1263">
        <v>80</v>
      </c>
      <c r="D1263">
        <v>79.954963684000006</v>
      </c>
      <c r="E1263">
        <v>60</v>
      </c>
      <c r="F1263">
        <v>59.016578674000002</v>
      </c>
      <c r="G1263">
        <v>1395.1074219</v>
      </c>
      <c r="H1263">
        <v>1378.4360352000001</v>
      </c>
      <c r="I1263">
        <v>1288.6218262</v>
      </c>
      <c r="J1263">
        <v>1269.9295654</v>
      </c>
      <c r="K1263">
        <v>2750</v>
      </c>
      <c r="L1263">
        <v>0</v>
      </c>
      <c r="M1263">
        <v>0</v>
      </c>
      <c r="N1263">
        <v>2750</v>
      </c>
    </row>
    <row r="1264" spans="1:14" x14ac:dyDescent="0.25">
      <c r="A1264">
        <v>738.90858700000001</v>
      </c>
      <c r="B1264" s="1">
        <f>DATE(2012,5,8) + TIME(21,48,21)</f>
        <v>41037.908576388887</v>
      </c>
      <c r="C1264">
        <v>80</v>
      </c>
      <c r="D1264">
        <v>79.955154418999996</v>
      </c>
      <c r="E1264">
        <v>60</v>
      </c>
      <c r="F1264">
        <v>58.990238189999999</v>
      </c>
      <c r="G1264">
        <v>1395.0363769999999</v>
      </c>
      <c r="H1264">
        <v>1378.3771973</v>
      </c>
      <c r="I1264">
        <v>1288.6143798999999</v>
      </c>
      <c r="J1264">
        <v>1269.9204102000001</v>
      </c>
      <c r="K1264">
        <v>2750</v>
      </c>
      <c r="L1264">
        <v>0</v>
      </c>
      <c r="M1264">
        <v>0</v>
      </c>
      <c r="N1264">
        <v>2750</v>
      </c>
    </row>
    <row r="1265" spans="1:14" x14ac:dyDescent="0.25">
      <c r="A1265">
        <v>739.16416900000002</v>
      </c>
      <c r="B1265" s="1">
        <f>DATE(2012,5,9) + TIME(3,56,24)</f>
        <v>41038.164166666669</v>
      </c>
      <c r="C1265">
        <v>80</v>
      </c>
      <c r="D1265">
        <v>79.955307007000002</v>
      </c>
      <c r="E1265">
        <v>60</v>
      </c>
      <c r="F1265">
        <v>58.963390349999997</v>
      </c>
      <c r="G1265">
        <v>1394.9652100000001</v>
      </c>
      <c r="H1265">
        <v>1378.3182373</v>
      </c>
      <c r="I1265">
        <v>1288.6068115</v>
      </c>
      <c r="J1265">
        <v>1269.9108887</v>
      </c>
      <c r="K1265">
        <v>2750</v>
      </c>
      <c r="L1265">
        <v>0</v>
      </c>
      <c r="M1265">
        <v>0</v>
      </c>
      <c r="N1265">
        <v>2750</v>
      </c>
    </row>
    <row r="1266" spans="1:14" x14ac:dyDescent="0.25">
      <c r="A1266">
        <v>739.42612299999996</v>
      </c>
      <c r="B1266" s="1">
        <f>DATE(2012,5,9) + TIME(10,13,36)</f>
        <v>41038.426111111112</v>
      </c>
      <c r="C1266">
        <v>80</v>
      </c>
      <c r="D1266">
        <v>79.955429077000005</v>
      </c>
      <c r="E1266">
        <v>60</v>
      </c>
      <c r="F1266">
        <v>58.935985565000003</v>
      </c>
      <c r="G1266">
        <v>1394.8942870999999</v>
      </c>
      <c r="H1266">
        <v>1378.2595214999999</v>
      </c>
      <c r="I1266">
        <v>1288.598999</v>
      </c>
      <c r="J1266">
        <v>1269.9012451000001</v>
      </c>
      <c r="K1266">
        <v>2750</v>
      </c>
      <c r="L1266">
        <v>0</v>
      </c>
      <c r="M1266">
        <v>0</v>
      </c>
      <c r="N1266">
        <v>2750</v>
      </c>
    </row>
    <row r="1267" spans="1:14" x14ac:dyDescent="0.25">
      <c r="A1267">
        <v>739.69518200000005</v>
      </c>
      <c r="B1267" s="1">
        <f>DATE(2012,5,9) + TIME(16,41,3)</f>
        <v>41038.695173611108</v>
      </c>
      <c r="C1267">
        <v>80</v>
      </c>
      <c r="D1267">
        <v>79.955535889000004</v>
      </c>
      <c r="E1267">
        <v>60</v>
      </c>
      <c r="F1267">
        <v>58.907966614000003</v>
      </c>
      <c r="G1267">
        <v>1394.8236084</v>
      </c>
      <c r="H1267">
        <v>1378.2009277</v>
      </c>
      <c r="I1267">
        <v>1288.5910644999999</v>
      </c>
      <c r="J1267">
        <v>1269.8912353999999</v>
      </c>
      <c r="K1267">
        <v>2750</v>
      </c>
      <c r="L1267">
        <v>0</v>
      </c>
      <c r="M1267">
        <v>0</v>
      </c>
      <c r="N1267">
        <v>2750</v>
      </c>
    </row>
    <row r="1268" spans="1:14" x14ac:dyDescent="0.25">
      <c r="A1268">
        <v>739.97215900000003</v>
      </c>
      <c r="B1268" s="1">
        <f>DATE(2012,5,9) + TIME(23,19,54)</f>
        <v>41038.97215277778</v>
      </c>
      <c r="C1268">
        <v>80</v>
      </c>
      <c r="D1268">
        <v>79.955619811999995</v>
      </c>
      <c r="E1268">
        <v>60</v>
      </c>
      <c r="F1268">
        <v>58.879283905000001</v>
      </c>
      <c r="G1268">
        <v>1394.7526855000001</v>
      </c>
      <c r="H1268">
        <v>1378.1423339999999</v>
      </c>
      <c r="I1268">
        <v>1288.5828856999999</v>
      </c>
      <c r="J1268">
        <v>1269.8811035000001</v>
      </c>
      <c r="K1268">
        <v>2750</v>
      </c>
      <c r="L1268">
        <v>0</v>
      </c>
      <c r="M1268">
        <v>0</v>
      </c>
      <c r="N1268">
        <v>2750</v>
      </c>
    </row>
    <row r="1269" spans="1:14" x14ac:dyDescent="0.25">
      <c r="A1269">
        <v>740.25795200000005</v>
      </c>
      <c r="B1269" s="1">
        <f>DATE(2012,5,10) + TIME(6,11,27)</f>
        <v>41039.257951388892</v>
      </c>
      <c r="C1269">
        <v>80</v>
      </c>
      <c r="D1269">
        <v>79.955680846999996</v>
      </c>
      <c r="E1269">
        <v>60</v>
      </c>
      <c r="F1269">
        <v>58.849853516000003</v>
      </c>
      <c r="G1269">
        <v>1394.6816406</v>
      </c>
      <c r="H1269">
        <v>1378.0837402</v>
      </c>
      <c r="I1269">
        <v>1288.5743408000001</v>
      </c>
      <c r="J1269">
        <v>1269.8704834</v>
      </c>
      <c r="K1269">
        <v>2750</v>
      </c>
      <c r="L1269">
        <v>0</v>
      </c>
      <c r="M1269">
        <v>0</v>
      </c>
      <c r="N1269">
        <v>2750</v>
      </c>
    </row>
    <row r="1270" spans="1:14" x14ac:dyDescent="0.25">
      <c r="A1270">
        <v>740.55371100000002</v>
      </c>
      <c r="B1270" s="1">
        <f>DATE(2012,5,10) + TIME(13,17,20)</f>
        <v>41039.553703703707</v>
      </c>
      <c r="C1270">
        <v>80</v>
      </c>
      <c r="D1270">
        <v>79.955741881999998</v>
      </c>
      <c r="E1270">
        <v>60</v>
      </c>
      <c r="F1270">
        <v>58.819595337000003</v>
      </c>
      <c r="G1270">
        <v>1394.6102295000001</v>
      </c>
      <c r="H1270">
        <v>1378.0247803</v>
      </c>
      <c r="I1270">
        <v>1288.5656738</v>
      </c>
      <c r="J1270">
        <v>1269.8596190999999</v>
      </c>
      <c r="K1270">
        <v>2750</v>
      </c>
      <c r="L1270">
        <v>0</v>
      </c>
      <c r="M1270">
        <v>0</v>
      </c>
      <c r="N1270">
        <v>2750</v>
      </c>
    </row>
    <row r="1271" spans="1:14" x14ac:dyDescent="0.25">
      <c r="A1271">
        <v>740.85983799999997</v>
      </c>
      <c r="B1271" s="1">
        <f>DATE(2012,5,10) + TIME(20,38,9)</f>
        <v>41039.859826388885</v>
      </c>
      <c r="C1271">
        <v>80</v>
      </c>
      <c r="D1271">
        <v>79.955780028999996</v>
      </c>
      <c r="E1271">
        <v>60</v>
      </c>
      <c r="F1271">
        <v>58.788463593000003</v>
      </c>
      <c r="G1271">
        <v>1394.5382079999999</v>
      </c>
      <c r="H1271">
        <v>1377.9654541</v>
      </c>
      <c r="I1271">
        <v>1288.5566406</v>
      </c>
      <c r="J1271">
        <v>1269.8483887</v>
      </c>
      <c r="K1271">
        <v>2750</v>
      </c>
      <c r="L1271">
        <v>0</v>
      </c>
      <c r="M1271">
        <v>0</v>
      </c>
      <c r="N1271">
        <v>2750</v>
      </c>
    </row>
    <row r="1272" spans="1:14" x14ac:dyDescent="0.25">
      <c r="A1272">
        <v>741.16796099999999</v>
      </c>
      <c r="B1272" s="1">
        <f>DATE(2012,5,11) + TIME(4,1,51)</f>
        <v>41040.167951388888</v>
      </c>
      <c r="C1272">
        <v>80</v>
      </c>
      <c r="D1272">
        <v>79.955818175999994</v>
      </c>
      <c r="E1272">
        <v>60</v>
      </c>
      <c r="F1272">
        <v>58.757045746000003</v>
      </c>
      <c r="G1272">
        <v>1394.4655762</v>
      </c>
      <c r="H1272">
        <v>1377.9056396000001</v>
      </c>
      <c r="I1272">
        <v>1288.5471190999999</v>
      </c>
      <c r="J1272">
        <v>1269.8367920000001</v>
      </c>
      <c r="K1272">
        <v>2750</v>
      </c>
      <c r="L1272">
        <v>0</v>
      </c>
      <c r="M1272">
        <v>0</v>
      </c>
      <c r="N1272">
        <v>2750</v>
      </c>
    </row>
    <row r="1273" spans="1:14" x14ac:dyDescent="0.25">
      <c r="A1273">
        <v>741.47899500000005</v>
      </c>
      <c r="B1273" s="1">
        <f>DATE(2012,5,11) + TIME(11,29,45)</f>
        <v>41040.478993055556</v>
      </c>
      <c r="C1273">
        <v>80</v>
      </c>
      <c r="D1273">
        <v>79.955841063999998</v>
      </c>
      <c r="E1273">
        <v>60</v>
      </c>
      <c r="F1273">
        <v>58.725345611999998</v>
      </c>
      <c r="G1273">
        <v>1394.3942870999999</v>
      </c>
      <c r="H1273">
        <v>1377.8470459</v>
      </c>
      <c r="I1273">
        <v>1288.5375977000001</v>
      </c>
      <c r="J1273">
        <v>1269.8249512</v>
      </c>
      <c r="K1273">
        <v>2750</v>
      </c>
      <c r="L1273">
        <v>0</v>
      </c>
      <c r="M1273">
        <v>0</v>
      </c>
      <c r="N1273">
        <v>2750</v>
      </c>
    </row>
    <row r="1274" spans="1:14" x14ac:dyDescent="0.25">
      <c r="A1274">
        <v>741.79342499999996</v>
      </c>
      <c r="B1274" s="1">
        <f>DATE(2012,5,11) + TIME(19,2,31)</f>
        <v>41040.793414351851</v>
      </c>
      <c r="C1274">
        <v>80</v>
      </c>
      <c r="D1274">
        <v>79.955856323000006</v>
      </c>
      <c r="E1274">
        <v>60</v>
      </c>
      <c r="F1274">
        <v>58.693363189999999</v>
      </c>
      <c r="G1274">
        <v>1394.3240966999999</v>
      </c>
      <c r="H1274">
        <v>1377.7893065999999</v>
      </c>
      <c r="I1274">
        <v>1288.5280762</v>
      </c>
      <c r="J1274">
        <v>1269.8131103999999</v>
      </c>
      <c r="K1274">
        <v>2750</v>
      </c>
      <c r="L1274">
        <v>0</v>
      </c>
      <c r="M1274">
        <v>0</v>
      </c>
      <c r="N1274">
        <v>2750</v>
      </c>
    </row>
    <row r="1275" spans="1:14" x14ac:dyDescent="0.25">
      <c r="A1275">
        <v>742.11143500000003</v>
      </c>
      <c r="B1275" s="1">
        <f>DATE(2012,5,12) + TIME(2,40,27)</f>
        <v>41041.11142361111</v>
      </c>
      <c r="C1275">
        <v>80</v>
      </c>
      <c r="D1275">
        <v>79.955871582</v>
      </c>
      <c r="E1275">
        <v>60</v>
      </c>
      <c r="F1275">
        <v>58.661109924000002</v>
      </c>
      <c r="G1275">
        <v>1394.2548827999999</v>
      </c>
      <c r="H1275">
        <v>1377.7325439000001</v>
      </c>
      <c r="I1275">
        <v>1288.5183105000001</v>
      </c>
      <c r="J1275">
        <v>1269.8011475000001</v>
      </c>
      <c r="K1275">
        <v>2750</v>
      </c>
      <c r="L1275">
        <v>0</v>
      </c>
      <c r="M1275">
        <v>0</v>
      </c>
      <c r="N1275">
        <v>2750</v>
      </c>
    </row>
    <row r="1276" spans="1:14" x14ac:dyDescent="0.25">
      <c r="A1276">
        <v>742.43384200000003</v>
      </c>
      <c r="B1276" s="1">
        <f>DATE(2012,5,12) + TIME(10,24,43)</f>
        <v>41041.433831018519</v>
      </c>
      <c r="C1276">
        <v>80</v>
      </c>
      <c r="D1276">
        <v>79.955879210999996</v>
      </c>
      <c r="E1276">
        <v>60</v>
      </c>
      <c r="F1276">
        <v>58.628547668000003</v>
      </c>
      <c r="G1276">
        <v>1394.1865233999999</v>
      </c>
      <c r="H1276">
        <v>1377.6763916</v>
      </c>
      <c r="I1276">
        <v>1288.5084228999999</v>
      </c>
      <c r="J1276">
        <v>1269.7889404</v>
      </c>
      <c r="K1276">
        <v>2750</v>
      </c>
      <c r="L1276">
        <v>0</v>
      </c>
      <c r="M1276">
        <v>0</v>
      </c>
      <c r="N1276">
        <v>2750</v>
      </c>
    </row>
    <row r="1277" spans="1:14" x14ac:dyDescent="0.25">
      <c r="A1277">
        <v>742.761482</v>
      </c>
      <c r="B1277" s="1">
        <f>DATE(2012,5,12) + TIME(18,16,32)</f>
        <v>41041.761481481481</v>
      </c>
      <c r="C1277">
        <v>80</v>
      </c>
      <c r="D1277">
        <v>79.955879210999996</v>
      </c>
      <c r="E1277">
        <v>60</v>
      </c>
      <c r="F1277">
        <v>58.595623015999998</v>
      </c>
      <c r="G1277">
        <v>1394.1188964999999</v>
      </c>
      <c r="H1277">
        <v>1377.6209716999999</v>
      </c>
      <c r="I1277">
        <v>1288.4985352000001</v>
      </c>
      <c r="J1277">
        <v>1269.7764893000001</v>
      </c>
      <c r="K1277">
        <v>2750</v>
      </c>
      <c r="L1277">
        <v>0</v>
      </c>
      <c r="M1277">
        <v>0</v>
      </c>
      <c r="N1277">
        <v>2750</v>
      </c>
    </row>
    <row r="1278" spans="1:14" x14ac:dyDescent="0.25">
      <c r="A1278">
        <v>743.09522700000002</v>
      </c>
      <c r="B1278" s="1">
        <f>DATE(2012,5,13) + TIME(2,17,7)</f>
        <v>41042.095219907409</v>
      </c>
      <c r="C1278">
        <v>80</v>
      </c>
      <c r="D1278">
        <v>79.955879210999996</v>
      </c>
      <c r="E1278">
        <v>60</v>
      </c>
      <c r="F1278">
        <v>58.562271117999998</v>
      </c>
      <c r="G1278">
        <v>1394.0517577999999</v>
      </c>
      <c r="H1278">
        <v>1377.565918</v>
      </c>
      <c r="I1278">
        <v>1288.4884033000001</v>
      </c>
      <c r="J1278">
        <v>1269.7639160000001</v>
      </c>
      <c r="K1278">
        <v>2750</v>
      </c>
      <c r="L1278">
        <v>0</v>
      </c>
      <c r="M1278">
        <v>0</v>
      </c>
      <c r="N1278">
        <v>2750</v>
      </c>
    </row>
    <row r="1279" spans="1:14" x14ac:dyDescent="0.25">
      <c r="A1279">
        <v>743.43600600000002</v>
      </c>
      <c r="B1279" s="1">
        <f>DATE(2012,5,13) + TIME(10,27,50)</f>
        <v>41042.435995370368</v>
      </c>
      <c r="C1279">
        <v>80</v>
      </c>
      <c r="D1279">
        <v>79.955879210999996</v>
      </c>
      <c r="E1279">
        <v>60</v>
      </c>
      <c r="F1279">
        <v>58.528427123999997</v>
      </c>
      <c r="G1279">
        <v>1393.9848632999999</v>
      </c>
      <c r="H1279">
        <v>1377.5111084</v>
      </c>
      <c r="I1279">
        <v>1288.4780272999999</v>
      </c>
      <c r="J1279">
        <v>1269.7510986</v>
      </c>
      <c r="K1279">
        <v>2750</v>
      </c>
      <c r="L1279">
        <v>0</v>
      </c>
      <c r="M1279">
        <v>0</v>
      </c>
      <c r="N1279">
        <v>2750</v>
      </c>
    </row>
    <row r="1280" spans="1:14" x14ac:dyDescent="0.25">
      <c r="A1280">
        <v>743.78481399999998</v>
      </c>
      <c r="B1280" s="1">
        <f>DATE(2012,5,13) + TIME(18,50,7)</f>
        <v>41042.784803240742</v>
      </c>
      <c r="C1280">
        <v>80</v>
      </c>
      <c r="D1280">
        <v>79.955871582</v>
      </c>
      <c r="E1280">
        <v>60</v>
      </c>
      <c r="F1280">
        <v>58.494003296000002</v>
      </c>
      <c r="G1280">
        <v>1393.9182129000001</v>
      </c>
      <c r="H1280">
        <v>1377.456543</v>
      </c>
      <c r="I1280">
        <v>1288.4674072</v>
      </c>
      <c r="J1280">
        <v>1269.7379149999999</v>
      </c>
      <c r="K1280">
        <v>2750</v>
      </c>
      <c r="L1280">
        <v>0</v>
      </c>
      <c r="M1280">
        <v>0</v>
      </c>
      <c r="N1280">
        <v>2750</v>
      </c>
    </row>
    <row r="1281" spans="1:14" x14ac:dyDescent="0.25">
      <c r="A1281">
        <v>744.14273100000003</v>
      </c>
      <c r="B1281" s="1">
        <f>DATE(2012,5,14) + TIME(3,25,31)</f>
        <v>41043.14271990741</v>
      </c>
      <c r="C1281">
        <v>80</v>
      </c>
      <c r="D1281">
        <v>79.955863953000005</v>
      </c>
      <c r="E1281">
        <v>60</v>
      </c>
      <c r="F1281">
        <v>58.458923339999998</v>
      </c>
      <c r="G1281">
        <v>1393.8514404</v>
      </c>
      <c r="H1281">
        <v>1377.4018555</v>
      </c>
      <c r="I1281">
        <v>1288.456543</v>
      </c>
      <c r="J1281">
        <v>1269.7244873</v>
      </c>
      <c r="K1281">
        <v>2750</v>
      </c>
      <c r="L1281">
        <v>0</v>
      </c>
      <c r="M1281">
        <v>0</v>
      </c>
      <c r="N1281">
        <v>2750</v>
      </c>
    </row>
    <row r="1282" spans="1:14" x14ac:dyDescent="0.25">
      <c r="A1282">
        <v>744.51094399999999</v>
      </c>
      <c r="B1282" s="1">
        <f>DATE(2012,5,14) + TIME(12,15,45)</f>
        <v>41043.510937500003</v>
      </c>
      <c r="C1282">
        <v>80</v>
      </c>
      <c r="D1282">
        <v>79.955856323000006</v>
      </c>
      <c r="E1282">
        <v>60</v>
      </c>
      <c r="F1282">
        <v>58.423084258999999</v>
      </c>
      <c r="G1282">
        <v>1393.7844238</v>
      </c>
      <c r="H1282">
        <v>1377.347168</v>
      </c>
      <c r="I1282">
        <v>1288.4453125</v>
      </c>
      <c r="J1282">
        <v>1269.7106934000001</v>
      </c>
      <c r="K1282">
        <v>2750</v>
      </c>
      <c r="L1282">
        <v>0</v>
      </c>
      <c r="M1282">
        <v>0</v>
      </c>
      <c r="N1282">
        <v>2750</v>
      </c>
    </row>
    <row r="1283" spans="1:14" x14ac:dyDescent="0.25">
      <c r="A1283">
        <v>744.89095299999997</v>
      </c>
      <c r="B1283" s="1">
        <f>DATE(2012,5,14) + TIME(21,22,58)</f>
        <v>41043.890949074077</v>
      </c>
      <c r="C1283">
        <v>80</v>
      </c>
      <c r="D1283">
        <v>79.955848693999997</v>
      </c>
      <c r="E1283">
        <v>60</v>
      </c>
      <c r="F1283">
        <v>58.386371613000001</v>
      </c>
      <c r="G1283">
        <v>1393.7169189000001</v>
      </c>
      <c r="H1283">
        <v>1377.2919922000001</v>
      </c>
      <c r="I1283">
        <v>1288.4338379000001</v>
      </c>
      <c r="J1283">
        <v>1269.6964111</v>
      </c>
      <c r="K1283">
        <v>2750</v>
      </c>
      <c r="L1283">
        <v>0</v>
      </c>
      <c r="M1283">
        <v>0</v>
      </c>
      <c r="N1283">
        <v>2750</v>
      </c>
    </row>
    <row r="1284" spans="1:14" x14ac:dyDescent="0.25">
      <c r="A1284">
        <v>745.282873</v>
      </c>
      <c r="B1284" s="1">
        <f>DATE(2012,5,15) + TIME(6,47,20)</f>
        <v>41044.282870370371</v>
      </c>
      <c r="C1284">
        <v>80</v>
      </c>
      <c r="D1284">
        <v>79.955833435000002</v>
      </c>
      <c r="E1284">
        <v>60</v>
      </c>
      <c r="F1284">
        <v>58.348751067999999</v>
      </c>
      <c r="G1284">
        <v>1393.6489257999999</v>
      </c>
      <c r="H1284">
        <v>1377.2364502</v>
      </c>
      <c r="I1284">
        <v>1288.421875</v>
      </c>
      <c r="J1284">
        <v>1269.6816406</v>
      </c>
      <c r="K1284">
        <v>2750</v>
      </c>
      <c r="L1284">
        <v>0</v>
      </c>
      <c r="M1284">
        <v>0</v>
      </c>
      <c r="N1284">
        <v>2750</v>
      </c>
    </row>
    <row r="1285" spans="1:14" x14ac:dyDescent="0.25">
      <c r="A1285">
        <v>745.68071099999997</v>
      </c>
      <c r="B1285" s="1">
        <f>DATE(2012,5,15) + TIME(16,20,13)</f>
        <v>41044.680706018517</v>
      </c>
      <c r="C1285">
        <v>80</v>
      </c>
      <c r="D1285">
        <v>79.955825806000007</v>
      </c>
      <c r="E1285">
        <v>60</v>
      </c>
      <c r="F1285">
        <v>58.310581206999998</v>
      </c>
      <c r="G1285">
        <v>1393.5803223</v>
      </c>
      <c r="H1285">
        <v>1377.1805420000001</v>
      </c>
      <c r="I1285">
        <v>1288.4095459</v>
      </c>
      <c r="J1285">
        <v>1269.6663818</v>
      </c>
      <c r="K1285">
        <v>2750</v>
      </c>
      <c r="L1285">
        <v>0</v>
      </c>
      <c r="M1285">
        <v>0</v>
      </c>
      <c r="N1285">
        <v>2750</v>
      </c>
    </row>
    <row r="1286" spans="1:14" x14ac:dyDescent="0.25">
      <c r="A1286">
        <v>746.08549000000005</v>
      </c>
      <c r="B1286" s="1">
        <f>DATE(2012,5,16) + TIME(2,3,6)</f>
        <v>41045.085486111115</v>
      </c>
      <c r="C1286">
        <v>80</v>
      </c>
      <c r="D1286">
        <v>79.955810546999999</v>
      </c>
      <c r="E1286">
        <v>60</v>
      </c>
      <c r="F1286">
        <v>58.271854400999999</v>
      </c>
      <c r="G1286">
        <v>1393.512207</v>
      </c>
      <c r="H1286">
        <v>1377.125</v>
      </c>
      <c r="I1286">
        <v>1288.3969727000001</v>
      </c>
      <c r="J1286">
        <v>1269.6508789</v>
      </c>
      <c r="K1286">
        <v>2750</v>
      </c>
      <c r="L1286">
        <v>0</v>
      </c>
      <c r="M1286">
        <v>0</v>
      </c>
      <c r="N1286">
        <v>2750</v>
      </c>
    </row>
    <row r="1287" spans="1:14" x14ac:dyDescent="0.25">
      <c r="A1287">
        <v>746.498199</v>
      </c>
      <c r="B1287" s="1">
        <f>DATE(2012,5,16) + TIME(11,57,24)</f>
        <v>41045.498194444444</v>
      </c>
      <c r="C1287">
        <v>80</v>
      </c>
      <c r="D1287">
        <v>79.955795288000004</v>
      </c>
      <c r="E1287">
        <v>60</v>
      </c>
      <c r="F1287">
        <v>58.232543945000003</v>
      </c>
      <c r="G1287">
        <v>1393.4444579999999</v>
      </c>
      <c r="H1287">
        <v>1377.0697021000001</v>
      </c>
      <c r="I1287">
        <v>1288.3841553</v>
      </c>
      <c r="J1287">
        <v>1269.6351318</v>
      </c>
      <c r="K1287">
        <v>2750</v>
      </c>
      <c r="L1287">
        <v>0</v>
      </c>
      <c r="M1287">
        <v>0</v>
      </c>
      <c r="N1287">
        <v>2750</v>
      </c>
    </row>
    <row r="1288" spans="1:14" x14ac:dyDescent="0.25">
      <c r="A1288">
        <v>746.91793900000005</v>
      </c>
      <c r="B1288" s="1">
        <f>DATE(2012,5,16) + TIME(22,1,49)</f>
        <v>41045.917928240742</v>
      </c>
      <c r="C1288">
        <v>80</v>
      </c>
      <c r="D1288">
        <v>79.955780028999996</v>
      </c>
      <c r="E1288">
        <v>60</v>
      </c>
      <c r="F1288">
        <v>58.192710876</v>
      </c>
      <c r="G1288">
        <v>1393.3769531</v>
      </c>
      <c r="H1288">
        <v>1377.0145264</v>
      </c>
      <c r="I1288">
        <v>1288.3710937999999</v>
      </c>
      <c r="J1288">
        <v>1269.6190185999999</v>
      </c>
      <c r="K1288">
        <v>2750</v>
      </c>
      <c r="L1288">
        <v>0</v>
      </c>
      <c r="M1288">
        <v>0</v>
      </c>
      <c r="N1288">
        <v>2750</v>
      </c>
    </row>
    <row r="1289" spans="1:14" x14ac:dyDescent="0.25">
      <c r="A1289">
        <v>747.34018000000003</v>
      </c>
      <c r="B1289" s="1">
        <f>DATE(2012,5,17) + TIME(8,9,51)</f>
        <v>41046.340173611112</v>
      </c>
      <c r="C1289">
        <v>80</v>
      </c>
      <c r="D1289">
        <v>79.955764771000005</v>
      </c>
      <c r="E1289">
        <v>60</v>
      </c>
      <c r="F1289">
        <v>58.152648925999998</v>
      </c>
      <c r="G1289">
        <v>1393.3096923999999</v>
      </c>
      <c r="H1289">
        <v>1376.9597168</v>
      </c>
      <c r="I1289">
        <v>1288.3577881000001</v>
      </c>
      <c r="J1289">
        <v>1269.6025391000001</v>
      </c>
      <c r="K1289">
        <v>2750</v>
      </c>
      <c r="L1289">
        <v>0</v>
      </c>
      <c r="M1289">
        <v>0</v>
      </c>
      <c r="N1289">
        <v>2750</v>
      </c>
    </row>
    <row r="1290" spans="1:14" x14ac:dyDescent="0.25">
      <c r="A1290">
        <v>747.76605400000005</v>
      </c>
      <c r="B1290" s="1">
        <f>DATE(2012,5,17) + TIME(18,23,7)</f>
        <v>41046.766053240739</v>
      </c>
      <c r="C1290">
        <v>80</v>
      </c>
      <c r="D1290">
        <v>79.955757141000007</v>
      </c>
      <c r="E1290">
        <v>60</v>
      </c>
      <c r="F1290">
        <v>58.112365723000003</v>
      </c>
      <c r="G1290">
        <v>1393.2434082</v>
      </c>
      <c r="H1290">
        <v>1376.9057617000001</v>
      </c>
      <c r="I1290">
        <v>1288.3442382999999</v>
      </c>
      <c r="J1290">
        <v>1269.5859375</v>
      </c>
      <c r="K1290">
        <v>2750</v>
      </c>
      <c r="L1290">
        <v>0</v>
      </c>
      <c r="M1290">
        <v>0</v>
      </c>
      <c r="N1290">
        <v>2750</v>
      </c>
    </row>
    <row r="1291" spans="1:14" x14ac:dyDescent="0.25">
      <c r="A1291">
        <v>748.19667500000003</v>
      </c>
      <c r="B1291" s="1">
        <f>DATE(2012,5,18) + TIME(4,43,12)</f>
        <v>41047.196666666663</v>
      </c>
      <c r="C1291">
        <v>80</v>
      </c>
      <c r="D1291">
        <v>79.955741881999998</v>
      </c>
      <c r="E1291">
        <v>60</v>
      </c>
      <c r="F1291">
        <v>58.071815491000002</v>
      </c>
      <c r="G1291">
        <v>1393.1779785000001</v>
      </c>
      <c r="H1291">
        <v>1376.8525391000001</v>
      </c>
      <c r="I1291">
        <v>1288.3306885</v>
      </c>
      <c r="J1291">
        <v>1269.5690918</v>
      </c>
      <c r="K1291">
        <v>2750</v>
      </c>
      <c r="L1291">
        <v>0</v>
      </c>
      <c r="M1291">
        <v>0</v>
      </c>
      <c r="N1291">
        <v>2750</v>
      </c>
    </row>
    <row r="1292" spans="1:14" x14ac:dyDescent="0.25">
      <c r="A1292">
        <v>748.63318100000004</v>
      </c>
      <c r="B1292" s="1">
        <f>DATE(2012,5,18) + TIME(15,11,46)</f>
        <v>41047.633171296293</v>
      </c>
      <c r="C1292">
        <v>80</v>
      </c>
      <c r="D1292">
        <v>79.955726623999993</v>
      </c>
      <c r="E1292">
        <v>60</v>
      </c>
      <c r="F1292">
        <v>58.030948639000002</v>
      </c>
      <c r="G1292">
        <v>1393.1132812000001</v>
      </c>
      <c r="H1292">
        <v>1376.7996826000001</v>
      </c>
      <c r="I1292">
        <v>1288.3168945</v>
      </c>
      <c r="J1292">
        <v>1269.552124</v>
      </c>
      <c r="K1292">
        <v>2750</v>
      </c>
      <c r="L1292">
        <v>0</v>
      </c>
      <c r="M1292">
        <v>0</v>
      </c>
      <c r="N1292">
        <v>2750</v>
      </c>
    </row>
    <row r="1293" spans="1:14" x14ac:dyDescent="0.25">
      <c r="A1293">
        <v>749.07674799999995</v>
      </c>
      <c r="B1293" s="1">
        <f>DATE(2012,5,19) + TIME(1,50,31)</f>
        <v>41048.076747685183</v>
      </c>
      <c r="C1293">
        <v>80</v>
      </c>
      <c r="D1293">
        <v>79.955711364999999</v>
      </c>
      <c r="E1293">
        <v>60</v>
      </c>
      <c r="F1293">
        <v>57.989685059000003</v>
      </c>
      <c r="G1293">
        <v>1393.0488281</v>
      </c>
      <c r="H1293">
        <v>1376.7473144999999</v>
      </c>
      <c r="I1293">
        <v>1288.3028564000001</v>
      </c>
      <c r="J1293">
        <v>1269.5347899999999</v>
      </c>
      <c r="K1293">
        <v>2750</v>
      </c>
      <c r="L1293">
        <v>0</v>
      </c>
      <c r="M1293">
        <v>0</v>
      </c>
      <c r="N1293">
        <v>2750</v>
      </c>
    </row>
    <row r="1294" spans="1:14" x14ac:dyDescent="0.25">
      <c r="A1294">
        <v>749.52862400000004</v>
      </c>
      <c r="B1294" s="1">
        <f>DATE(2012,5,19) + TIME(12,41,13)</f>
        <v>41048.528622685182</v>
      </c>
      <c r="C1294">
        <v>80</v>
      </c>
      <c r="D1294">
        <v>79.955696106000005</v>
      </c>
      <c r="E1294">
        <v>60</v>
      </c>
      <c r="F1294">
        <v>57.947937011999997</v>
      </c>
      <c r="G1294">
        <v>1392.9847411999999</v>
      </c>
      <c r="H1294">
        <v>1376.6950684000001</v>
      </c>
      <c r="I1294">
        <v>1288.2886963000001</v>
      </c>
      <c r="J1294">
        <v>1269.5170897999999</v>
      </c>
      <c r="K1294">
        <v>2750</v>
      </c>
      <c r="L1294">
        <v>0</v>
      </c>
      <c r="M1294">
        <v>0</v>
      </c>
      <c r="N1294">
        <v>2750</v>
      </c>
    </row>
    <row r="1295" spans="1:14" x14ac:dyDescent="0.25">
      <c r="A1295">
        <v>749.99014799999998</v>
      </c>
      <c r="B1295" s="1">
        <f>DATE(2012,5,19) + TIME(23,45,48)</f>
        <v>41048.99013888889</v>
      </c>
      <c r="C1295">
        <v>80</v>
      </c>
      <c r="D1295">
        <v>79.955688476999995</v>
      </c>
      <c r="E1295">
        <v>60</v>
      </c>
      <c r="F1295">
        <v>57.905605315999999</v>
      </c>
      <c r="G1295">
        <v>1392.9207764</v>
      </c>
      <c r="H1295">
        <v>1376.6429443</v>
      </c>
      <c r="I1295">
        <v>1288.2740478999999</v>
      </c>
      <c r="J1295">
        <v>1269.4991454999999</v>
      </c>
      <c r="K1295">
        <v>2750</v>
      </c>
      <c r="L1295">
        <v>0</v>
      </c>
      <c r="M1295">
        <v>0</v>
      </c>
      <c r="N1295">
        <v>2750</v>
      </c>
    </row>
    <row r="1296" spans="1:14" x14ac:dyDescent="0.25">
      <c r="A1296">
        <v>750.46276499999999</v>
      </c>
      <c r="B1296" s="1">
        <f>DATE(2012,5,20) + TIME(11,6,22)</f>
        <v>41049.462754629632</v>
      </c>
      <c r="C1296">
        <v>80</v>
      </c>
      <c r="D1296">
        <v>79.955673218000001</v>
      </c>
      <c r="E1296">
        <v>60</v>
      </c>
      <c r="F1296">
        <v>57.862579345999997</v>
      </c>
      <c r="G1296">
        <v>1392.8566894999999</v>
      </c>
      <c r="H1296">
        <v>1376.5908202999999</v>
      </c>
      <c r="I1296">
        <v>1288.2591553</v>
      </c>
      <c r="J1296">
        <v>1269.4805908000001</v>
      </c>
      <c r="K1296">
        <v>2750</v>
      </c>
      <c r="L1296">
        <v>0</v>
      </c>
      <c r="M1296">
        <v>0</v>
      </c>
      <c r="N1296">
        <v>2750</v>
      </c>
    </row>
    <row r="1297" spans="1:14" x14ac:dyDescent="0.25">
      <c r="A1297">
        <v>750.94807500000002</v>
      </c>
      <c r="B1297" s="1">
        <f>DATE(2012,5,20) + TIME(22,45,13)</f>
        <v>41049.948067129626</v>
      </c>
      <c r="C1297">
        <v>80</v>
      </c>
      <c r="D1297">
        <v>79.955657959000007</v>
      </c>
      <c r="E1297">
        <v>60</v>
      </c>
      <c r="F1297">
        <v>57.818740845000001</v>
      </c>
      <c r="G1297">
        <v>1392.7923584</v>
      </c>
      <c r="H1297">
        <v>1376.5384521000001</v>
      </c>
      <c r="I1297">
        <v>1288.2437743999999</v>
      </c>
      <c r="J1297">
        <v>1269.4616699000001</v>
      </c>
      <c r="K1297">
        <v>2750</v>
      </c>
      <c r="L1297">
        <v>0</v>
      </c>
      <c r="M1297">
        <v>0</v>
      </c>
      <c r="N1297">
        <v>2750</v>
      </c>
    </row>
    <row r="1298" spans="1:14" x14ac:dyDescent="0.25">
      <c r="A1298">
        <v>751.44818399999997</v>
      </c>
      <c r="B1298" s="1">
        <f>DATE(2012,5,21) + TIME(10,45,23)</f>
        <v>41050.448182870372</v>
      </c>
      <c r="C1298">
        <v>80</v>
      </c>
      <c r="D1298">
        <v>79.955650329999997</v>
      </c>
      <c r="E1298">
        <v>60</v>
      </c>
      <c r="F1298">
        <v>57.773941039999997</v>
      </c>
      <c r="G1298">
        <v>1392.7275391000001</v>
      </c>
      <c r="H1298">
        <v>1376.4857178</v>
      </c>
      <c r="I1298">
        <v>1288.2280272999999</v>
      </c>
      <c r="J1298">
        <v>1269.4421387</v>
      </c>
      <c r="K1298">
        <v>2750</v>
      </c>
      <c r="L1298">
        <v>0</v>
      </c>
      <c r="M1298">
        <v>0</v>
      </c>
      <c r="N1298">
        <v>2750</v>
      </c>
    </row>
    <row r="1299" spans="1:14" x14ac:dyDescent="0.25">
      <c r="A1299">
        <v>751.96485199999995</v>
      </c>
      <c r="B1299" s="1">
        <f>DATE(2012,5,21) + TIME(23,9,23)</f>
        <v>41050.964849537035</v>
      </c>
      <c r="C1299">
        <v>80</v>
      </c>
      <c r="D1299">
        <v>79.955635071000003</v>
      </c>
      <c r="E1299">
        <v>60</v>
      </c>
      <c r="F1299">
        <v>57.728038787999999</v>
      </c>
      <c r="G1299">
        <v>1392.6621094</v>
      </c>
      <c r="H1299">
        <v>1376.4323730000001</v>
      </c>
      <c r="I1299">
        <v>1288.2116699000001</v>
      </c>
      <c r="J1299">
        <v>1269.421875</v>
      </c>
      <c r="K1299">
        <v>2750</v>
      </c>
      <c r="L1299">
        <v>0</v>
      </c>
      <c r="M1299">
        <v>0</v>
      </c>
      <c r="N1299">
        <v>2750</v>
      </c>
    </row>
    <row r="1300" spans="1:14" x14ac:dyDescent="0.25">
      <c r="A1300">
        <v>752.49678700000004</v>
      </c>
      <c r="B1300" s="1">
        <f>DATE(2012,5,22) + TIME(11,55,22)</f>
        <v>41051.496782407405</v>
      </c>
      <c r="C1300">
        <v>80</v>
      </c>
      <c r="D1300">
        <v>79.955619811999995</v>
      </c>
      <c r="E1300">
        <v>60</v>
      </c>
      <c r="F1300">
        <v>57.681053161999998</v>
      </c>
      <c r="G1300">
        <v>1392.5958252</v>
      </c>
      <c r="H1300">
        <v>1376.378418</v>
      </c>
      <c r="I1300">
        <v>1288.1947021000001</v>
      </c>
      <c r="J1300">
        <v>1269.401001</v>
      </c>
      <c r="K1300">
        <v>2750</v>
      </c>
      <c r="L1300">
        <v>0</v>
      </c>
      <c r="M1300">
        <v>0</v>
      </c>
      <c r="N1300">
        <v>2750</v>
      </c>
    </row>
    <row r="1301" spans="1:14" x14ac:dyDescent="0.25">
      <c r="A1301">
        <v>753.033863</v>
      </c>
      <c r="B1301" s="1">
        <f>DATE(2012,5,23) + TIME(0,48,45)</f>
        <v>41052.033854166664</v>
      </c>
      <c r="C1301">
        <v>80</v>
      </c>
      <c r="D1301">
        <v>79.955612183</v>
      </c>
      <c r="E1301">
        <v>60</v>
      </c>
      <c r="F1301">
        <v>57.633502960000001</v>
      </c>
      <c r="G1301">
        <v>1392.5289307</v>
      </c>
      <c r="H1301">
        <v>1376.3239745999999</v>
      </c>
      <c r="I1301">
        <v>1288.177124</v>
      </c>
      <c r="J1301">
        <v>1269.3792725000001</v>
      </c>
      <c r="K1301">
        <v>2750</v>
      </c>
      <c r="L1301">
        <v>0</v>
      </c>
      <c r="M1301">
        <v>0</v>
      </c>
      <c r="N1301">
        <v>2750</v>
      </c>
    </row>
    <row r="1302" spans="1:14" x14ac:dyDescent="0.25">
      <c r="A1302">
        <v>753.57710799999995</v>
      </c>
      <c r="B1302" s="1">
        <f>DATE(2012,5,23) + TIME(13,51,2)</f>
        <v>41052.577106481483</v>
      </c>
      <c r="C1302">
        <v>80</v>
      </c>
      <c r="D1302">
        <v>79.955596924000005</v>
      </c>
      <c r="E1302">
        <v>60</v>
      </c>
      <c r="F1302">
        <v>57.585487366000002</v>
      </c>
      <c r="G1302">
        <v>1392.4626464999999</v>
      </c>
      <c r="H1302">
        <v>1376.2700195</v>
      </c>
      <c r="I1302">
        <v>1288.1593018000001</v>
      </c>
      <c r="J1302">
        <v>1269.3572998</v>
      </c>
      <c r="K1302">
        <v>2750</v>
      </c>
      <c r="L1302">
        <v>0</v>
      </c>
      <c r="M1302">
        <v>0</v>
      </c>
      <c r="N1302">
        <v>2750</v>
      </c>
    </row>
    <row r="1303" spans="1:14" x14ac:dyDescent="0.25">
      <c r="A1303">
        <v>754.12732800000003</v>
      </c>
      <c r="B1303" s="1">
        <f>DATE(2012,5,24) + TIME(3,3,21)</f>
        <v>41053.127326388887</v>
      </c>
      <c r="C1303">
        <v>80</v>
      </c>
      <c r="D1303">
        <v>79.955589294000006</v>
      </c>
      <c r="E1303">
        <v>60</v>
      </c>
      <c r="F1303">
        <v>57.537044524999999</v>
      </c>
      <c r="G1303">
        <v>1392.3969727000001</v>
      </c>
      <c r="H1303">
        <v>1376.2164307</v>
      </c>
      <c r="I1303">
        <v>1288.1412353999999</v>
      </c>
      <c r="J1303">
        <v>1269.3350829999999</v>
      </c>
      <c r="K1303">
        <v>2750</v>
      </c>
      <c r="L1303">
        <v>0</v>
      </c>
      <c r="M1303">
        <v>0</v>
      </c>
      <c r="N1303">
        <v>2750</v>
      </c>
    </row>
    <row r="1304" spans="1:14" x14ac:dyDescent="0.25">
      <c r="A1304">
        <v>754.681287</v>
      </c>
      <c r="B1304" s="1">
        <f>DATE(2012,5,24) + TIME(16,21,3)</f>
        <v>41053.681284722225</v>
      </c>
      <c r="C1304">
        <v>80</v>
      </c>
      <c r="D1304">
        <v>79.955574036000002</v>
      </c>
      <c r="E1304">
        <v>60</v>
      </c>
      <c r="F1304">
        <v>57.488376617</v>
      </c>
      <c r="G1304">
        <v>1392.3316649999999</v>
      </c>
      <c r="H1304">
        <v>1376.1633300999999</v>
      </c>
      <c r="I1304">
        <v>1288.1229248</v>
      </c>
      <c r="J1304">
        <v>1269.3122559000001</v>
      </c>
      <c r="K1304">
        <v>2750</v>
      </c>
      <c r="L1304">
        <v>0</v>
      </c>
      <c r="M1304">
        <v>0</v>
      </c>
      <c r="N1304">
        <v>2750</v>
      </c>
    </row>
    <row r="1305" spans="1:14" x14ac:dyDescent="0.25">
      <c r="A1305">
        <v>755.24051799999995</v>
      </c>
      <c r="B1305" s="1">
        <f>DATE(2012,5,25) + TIME(5,46,20)</f>
        <v>41054.24050925926</v>
      </c>
      <c r="C1305">
        <v>80</v>
      </c>
      <c r="D1305">
        <v>79.955566406000003</v>
      </c>
      <c r="E1305">
        <v>60</v>
      </c>
      <c r="F1305">
        <v>57.439476012999997</v>
      </c>
      <c r="G1305">
        <v>1392.2670897999999</v>
      </c>
      <c r="H1305">
        <v>1376.1107178</v>
      </c>
      <c r="I1305">
        <v>1288.1042480000001</v>
      </c>
      <c r="J1305">
        <v>1269.2893065999999</v>
      </c>
      <c r="K1305">
        <v>2750</v>
      </c>
      <c r="L1305">
        <v>0</v>
      </c>
      <c r="M1305">
        <v>0</v>
      </c>
      <c r="N1305">
        <v>2750</v>
      </c>
    </row>
    <row r="1306" spans="1:14" x14ac:dyDescent="0.25">
      <c r="A1306">
        <v>755.806555</v>
      </c>
      <c r="B1306" s="1">
        <f>DATE(2012,5,25) + TIME(19,21,26)</f>
        <v>41054.806550925925</v>
      </c>
      <c r="C1306">
        <v>80</v>
      </c>
      <c r="D1306">
        <v>79.955558776999993</v>
      </c>
      <c r="E1306">
        <v>60</v>
      </c>
      <c r="F1306">
        <v>57.390289307000003</v>
      </c>
      <c r="G1306">
        <v>1392.2032471</v>
      </c>
      <c r="H1306">
        <v>1376.0585937999999</v>
      </c>
      <c r="I1306">
        <v>1288.0854492000001</v>
      </c>
      <c r="J1306">
        <v>1269.2658690999999</v>
      </c>
      <c r="K1306">
        <v>2750</v>
      </c>
      <c r="L1306">
        <v>0</v>
      </c>
      <c r="M1306">
        <v>0</v>
      </c>
      <c r="N1306">
        <v>2750</v>
      </c>
    </row>
    <row r="1307" spans="1:14" x14ac:dyDescent="0.25">
      <c r="A1307">
        <v>756.38098600000001</v>
      </c>
      <c r="B1307" s="1">
        <f>DATE(2012,5,26) + TIME(9,8,37)</f>
        <v>41055.380983796298</v>
      </c>
      <c r="C1307">
        <v>80</v>
      </c>
      <c r="D1307">
        <v>79.955543517999999</v>
      </c>
      <c r="E1307">
        <v>60</v>
      </c>
      <c r="F1307">
        <v>57.340724944999998</v>
      </c>
      <c r="G1307">
        <v>1392.1397704999999</v>
      </c>
      <c r="H1307">
        <v>1376.0068358999999</v>
      </c>
      <c r="I1307">
        <v>1288.0662841999999</v>
      </c>
      <c r="J1307">
        <v>1269.2421875</v>
      </c>
      <c r="K1307">
        <v>2750</v>
      </c>
      <c r="L1307">
        <v>0</v>
      </c>
      <c r="M1307">
        <v>0</v>
      </c>
      <c r="N1307">
        <v>2750</v>
      </c>
    </row>
    <row r="1308" spans="1:14" x14ac:dyDescent="0.25">
      <c r="A1308">
        <v>756.96547899999996</v>
      </c>
      <c r="B1308" s="1">
        <f>DATE(2012,5,26) + TIME(23,10,17)</f>
        <v>41055.965474537035</v>
      </c>
      <c r="C1308">
        <v>80</v>
      </c>
      <c r="D1308">
        <v>79.955535889000004</v>
      </c>
      <c r="E1308">
        <v>60</v>
      </c>
      <c r="F1308">
        <v>57.290676116999997</v>
      </c>
      <c r="G1308">
        <v>1392.0764160000001</v>
      </c>
      <c r="H1308">
        <v>1375.9553223</v>
      </c>
      <c r="I1308">
        <v>1288.0467529</v>
      </c>
      <c r="J1308">
        <v>1269.2178954999999</v>
      </c>
      <c r="K1308">
        <v>2750</v>
      </c>
      <c r="L1308">
        <v>0</v>
      </c>
      <c r="M1308">
        <v>0</v>
      </c>
      <c r="N1308">
        <v>2750</v>
      </c>
    </row>
    <row r="1309" spans="1:14" x14ac:dyDescent="0.25">
      <c r="A1309">
        <v>757.56181700000002</v>
      </c>
      <c r="B1309" s="1">
        <f>DATE(2012,5,27) + TIME(13,29,0)</f>
        <v>41056.561805555553</v>
      </c>
      <c r="C1309">
        <v>80</v>
      </c>
      <c r="D1309">
        <v>79.955528259000005</v>
      </c>
      <c r="E1309">
        <v>60</v>
      </c>
      <c r="F1309">
        <v>57.240020752</v>
      </c>
      <c r="G1309">
        <v>1392.0131836</v>
      </c>
      <c r="H1309">
        <v>1375.9036865</v>
      </c>
      <c r="I1309">
        <v>1288.0267334</v>
      </c>
      <c r="J1309">
        <v>1269.1929932</v>
      </c>
      <c r="K1309">
        <v>2750</v>
      </c>
      <c r="L1309">
        <v>0</v>
      </c>
      <c r="M1309">
        <v>0</v>
      </c>
      <c r="N1309">
        <v>2750</v>
      </c>
    </row>
    <row r="1310" spans="1:14" x14ac:dyDescent="0.25">
      <c r="A1310">
        <v>758.17192699999998</v>
      </c>
      <c r="B1310" s="1">
        <f>DATE(2012,5,28) + TIME(4,7,34)</f>
        <v>41057.1719212963</v>
      </c>
      <c r="C1310">
        <v>80</v>
      </c>
      <c r="D1310">
        <v>79.955520629999995</v>
      </c>
      <c r="E1310">
        <v>60</v>
      </c>
      <c r="F1310">
        <v>57.188621521000002</v>
      </c>
      <c r="G1310">
        <v>1391.9498291</v>
      </c>
      <c r="H1310">
        <v>1375.8520507999999</v>
      </c>
      <c r="I1310">
        <v>1288.0062256000001</v>
      </c>
      <c r="J1310">
        <v>1269.1674805</v>
      </c>
      <c r="K1310">
        <v>2750</v>
      </c>
      <c r="L1310">
        <v>0</v>
      </c>
      <c r="M1310">
        <v>0</v>
      </c>
      <c r="N1310">
        <v>2750</v>
      </c>
    </row>
    <row r="1311" spans="1:14" x14ac:dyDescent="0.25">
      <c r="A1311">
        <v>758.79419099999996</v>
      </c>
      <c r="B1311" s="1">
        <f>DATE(2012,5,28) + TIME(19,3,38)</f>
        <v>41057.794189814813</v>
      </c>
      <c r="C1311">
        <v>80</v>
      </c>
      <c r="D1311">
        <v>79.955512999999996</v>
      </c>
      <c r="E1311">
        <v>60</v>
      </c>
      <c r="F1311">
        <v>57.136497497999997</v>
      </c>
      <c r="G1311">
        <v>1391.8862305</v>
      </c>
      <c r="H1311">
        <v>1375.8000488</v>
      </c>
      <c r="I1311">
        <v>1287.9851074000001</v>
      </c>
      <c r="J1311">
        <v>1269.1412353999999</v>
      </c>
      <c r="K1311">
        <v>2750</v>
      </c>
      <c r="L1311">
        <v>0</v>
      </c>
      <c r="M1311">
        <v>0</v>
      </c>
      <c r="N1311">
        <v>2750</v>
      </c>
    </row>
    <row r="1312" spans="1:14" x14ac:dyDescent="0.25">
      <c r="A1312">
        <v>759.42984799999999</v>
      </c>
      <c r="B1312" s="1">
        <f>DATE(2012,5,29) + TIME(10,18,58)</f>
        <v>41058.429837962962</v>
      </c>
      <c r="C1312">
        <v>80</v>
      </c>
      <c r="D1312">
        <v>79.955505371000001</v>
      </c>
      <c r="E1312">
        <v>60</v>
      </c>
      <c r="F1312">
        <v>57.083599091000004</v>
      </c>
      <c r="G1312">
        <v>1391.8223877</v>
      </c>
      <c r="H1312">
        <v>1375.7479248</v>
      </c>
      <c r="I1312">
        <v>1287.963501</v>
      </c>
      <c r="J1312">
        <v>1269.1143798999999</v>
      </c>
      <c r="K1312">
        <v>2750</v>
      </c>
      <c r="L1312">
        <v>0</v>
      </c>
      <c r="M1312">
        <v>0</v>
      </c>
      <c r="N1312">
        <v>2750</v>
      </c>
    </row>
    <row r="1313" spans="1:14" x14ac:dyDescent="0.25">
      <c r="A1313">
        <v>760.08092499999998</v>
      </c>
      <c r="B1313" s="1">
        <f>DATE(2012,5,30) + TIME(1,56,31)</f>
        <v>41059.080914351849</v>
      </c>
      <c r="C1313">
        <v>80</v>
      </c>
      <c r="D1313">
        <v>79.955497742000006</v>
      </c>
      <c r="E1313">
        <v>60</v>
      </c>
      <c r="F1313">
        <v>57.029819488999998</v>
      </c>
      <c r="G1313">
        <v>1391.7583007999999</v>
      </c>
      <c r="H1313">
        <v>1375.6956786999999</v>
      </c>
      <c r="I1313">
        <v>1287.9411620999999</v>
      </c>
      <c r="J1313">
        <v>1269.0865478999999</v>
      </c>
      <c r="K1313">
        <v>2750</v>
      </c>
      <c r="L1313">
        <v>0</v>
      </c>
      <c r="M1313">
        <v>0</v>
      </c>
      <c r="N1313">
        <v>2750</v>
      </c>
    </row>
    <row r="1314" spans="1:14" x14ac:dyDescent="0.25">
      <c r="A1314">
        <v>760.73781599999995</v>
      </c>
      <c r="B1314" s="1">
        <f>DATE(2012,5,30) + TIME(17,42,27)</f>
        <v>41059.737812500003</v>
      </c>
      <c r="C1314">
        <v>80</v>
      </c>
      <c r="D1314">
        <v>79.955490112000007</v>
      </c>
      <c r="E1314">
        <v>60</v>
      </c>
      <c r="F1314">
        <v>56.975543975999997</v>
      </c>
      <c r="G1314">
        <v>1391.6939697</v>
      </c>
      <c r="H1314">
        <v>1375.6430664</v>
      </c>
      <c r="I1314">
        <v>1287.9182129000001</v>
      </c>
      <c r="J1314">
        <v>1269.0579834</v>
      </c>
      <c r="K1314">
        <v>2750</v>
      </c>
      <c r="L1314">
        <v>0</v>
      </c>
      <c r="M1314">
        <v>0</v>
      </c>
      <c r="N1314">
        <v>2750</v>
      </c>
    </row>
    <row r="1315" spans="1:14" x14ac:dyDescent="0.25">
      <c r="A1315">
        <v>761.39948200000003</v>
      </c>
      <c r="B1315" s="1">
        <f>DATE(2012,5,31) + TIME(9,35,15)</f>
        <v>41060.39947916667</v>
      </c>
      <c r="C1315">
        <v>80</v>
      </c>
      <c r="D1315">
        <v>79.955490112000007</v>
      </c>
      <c r="E1315">
        <v>60</v>
      </c>
      <c r="F1315">
        <v>56.920974731000001</v>
      </c>
      <c r="G1315">
        <v>1391.6300048999999</v>
      </c>
      <c r="H1315">
        <v>1375.5908202999999</v>
      </c>
      <c r="I1315">
        <v>1287.8947754000001</v>
      </c>
      <c r="J1315">
        <v>1269.0289307</v>
      </c>
      <c r="K1315">
        <v>2750</v>
      </c>
      <c r="L1315">
        <v>0</v>
      </c>
      <c r="M1315">
        <v>0</v>
      </c>
      <c r="N1315">
        <v>2750</v>
      </c>
    </row>
    <row r="1316" spans="1:14" x14ac:dyDescent="0.25">
      <c r="A1316">
        <v>762</v>
      </c>
      <c r="B1316" s="1">
        <f>DATE(2012,6,1) + TIME(0,0,0)</f>
        <v>41061</v>
      </c>
      <c r="C1316">
        <v>80</v>
      </c>
      <c r="D1316">
        <v>79.955482482999997</v>
      </c>
      <c r="E1316">
        <v>60</v>
      </c>
      <c r="F1316">
        <v>56.869232177999997</v>
      </c>
      <c r="G1316">
        <v>1391.5667725000001</v>
      </c>
      <c r="H1316">
        <v>1375.5390625</v>
      </c>
      <c r="I1316">
        <v>1287.8708495999999</v>
      </c>
      <c r="J1316">
        <v>1268.9995117000001</v>
      </c>
      <c r="K1316">
        <v>2750</v>
      </c>
      <c r="L1316">
        <v>0</v>
      </c>
      <c r="M1316">
        <v>0</v>
      </c>
      <c r="N1316">
        <v>2750</v>
      </c>
    </row>
    <row r="1317" spans="1:14" x14ac:dyDescent="0.25">
      <c r="A1317">
        <v>762.66831100000002</v>
      </c>
      <c r="B1317" s="1">
        <f>DATE(2012,6,1) + TIME(16,2,22)</f>
        <v>41061.668310185189</v>
      </c>
      <c r="C1317">
        <v>80</v>
      </c>
      <c r="D1317">
        <v>79.955474854000002</v>
      </c>
      <c r="E1317">
        <v>60</v>
      </c>
      <c r="F1317">
        <v>56.815563202</v>
      </c>
      <c r="G1317">
        <v>1391.510376</v>
      </c>
      <c r="H1317">
        <v>1375.4927978999999</v>
      </c>
      <c r="I1317">
        <v>1287.8494873</v>
      </c>
      <c r="J1317">
        <v>1268.9720459</v>
      </c>
      <c r="K1317">
        <v>2750</v>
      </c>
      <c r="L1317">
        <v>0</v>
      </c>
      <c r="M1317">
        <v>0</v>
      </c>
      <c r="N1317">
        <v>2750</v>
      </c>
    </row>
    <row r="1318" spans="1:14" x14ac:dyDescent="0.25">
      <c r="A1318">
        <v>763.35455899999999</v>
      </c>
      <c r="B1318" s="1">
        <f>DATE(2012,6,2) + TIME(8,30,33)</f>
        <v>41062.354548611111</v>
      </c>
      <c r="C1318">
        <v>80</v>
      </c>
      <c r="D1318">
        <v>79.955474854000002</v>
      </c>
      <c r="E1318">
        <v>60</v>
      </c>
      <c r="F1318">
        <v>56.760742188000002</v>
      </c>
      <c r="G1318">
        <v>1391.4486084</v>
      </c>
      <c r="H1318">
        <v>1375.4422606999999</v>
      </c>
      <c r="I1318">
        <v>1287.8253173999999</v>
      </c>
      <c r="J1318">
        <v>1268.9417725000001</v>
      </c>
      <c r="K1318">
        <v>2750</v>
      </c>
      <c r="L1318">
        <v>0</v>
      </c>
      <c r="M1318">
        <v>0</v>
      </c>
      <c r="N1318">
        <v>2750</v>
      </c>
    </row>
    <row r="1319" spans="1:14" x14ac:dyDescent="0.25">
      <c r="A1319">
        <v>764.05298400000004</v>
      </c>
      <c r="B1319" s="1">
        <f>DATE(2012,6,3) + TIME(1,16,17)</f>
        <v>41063.052974537037</v>
      </c>
      <c r="C1319">
        <v>80</v>
      </c>
      <c r="D1319">
        <v>79.955467224000003</v>
      </c>
      <c r="E1319">
        <v>60</v>
      </c>
      <c r="F1319">
        <v>56.705017089999998</v>
      </c>
      <c r="G1319">
        <v>1391.3861084</v>
      </c>
      <c r="H1319">
        <v>1375.3911132999999</v>
      </c>
      <c r="I1319">
        <v>1287.8001709</v>
      </c>
      <c r="J1319">
        <v>1268.9102783000001</v>
      </c>
      <c r="K1319">
        <v>2750</v>
      </c>
      <c r="L1319">
        <v>0</v>
      </c>
      <c r="M1319">
        <v>0</v>
      </c>
      <c r="N1319">
        <v>2750</v>
      </c>
    </row>
    <row r="1320" spans="1:14" x14ac:dyDescent="0.25">
      <c r="A1320">
        <v>764.765897</v>
      </c>
      <c r="B1320" s="1">
        <f>DATE(2012,6,3) + TIME(18,22,53)</f>
        <v>41063.7658912037</v>
      </c>
      <c r="C1320">
        <v>80</v>
      </c>
      <c r="D1320">
        <v>79.955467224000003</v>
      </c>
      <c r="E1320">
        <v>60</v>
      </c>
      <c r="F1320">
        <v>56.648410796999997</v>
      </c>
      <c r="G1320">
        <v>1391.3236084</v>
      </c>
      <c r="H1320">
        <v>1375.3398437999999</v>
      </c>
      <c r="I1320">
        <v>1287.7744141000001</v>
      </c>
      <c r="J1320">
        <v>1268.8780518000001</v>
      </c>
      <c r="K1320">
        <v>2750</v>
      </c>
      <c r="L1320">
        <v>0</v>
      </c>
      <c r="M1320">
        <v>0</v>
      </c>
      <c r="N1320">
        <v>2750</v>
      </c>
    </row>
    <row r="1321" spans="1:14" x14ac:dyDescent="0.25">
      <c r="A1321">
        <v>765.48975900000005</v>
      </c>
      <c r="B1321" s="1">
        <f>DATE(2012,6,4) + TIME(11,45,15)</f>
        <v>41064.489756944444</v>
      </c>
      <c r="C1321">
        <v>80</v>
      </c>
      <c r="D1321">
        <v>79.955467224000003</v>
      </c>
      <c r="E1321">
        <v>60</v>
      </c>
      <c r="F1321">
        <v>56.591087340999998</v>
      </c>
      <c r="G1321">
        <v>1391.2608643000001</v>
      </c>
      <c r="H1321">
        <v>1375.2884521000001</v>
      </c>
      <c r="I1321">
        <v>1287.7479248</v>
      </c>
      <c r="J1321">
        <v>1268.8447266000001</v>
      </c>
      <c r="K1321">
        <v>2750</v>
      </c>
      <c r="L1321">
        <v>0</v>
      </c>
      <c r="M1321">
        <v>0</v>
      </c>
      <c r="N1321">
        <v>2750</v>
      </c>
    </row>
    <row r="1322" spans="1:14" x14ac:dyDescent="0.25">
      <c r="A1322">
        <v>766.22323400000005</v>
      </c>
      <c r="B1322" s="1">
        <f>DATE(2012,6,5) + TIME(5,21,27)</f>
        <v>41065.223229166666</v>
      </c>
      <c r="C1322">
        <v>80</v>
      </c>
      <c r="D1322">
        <v>79.955459594999994</v>
      </c>
      <c r="E1322">
        <v>60</v>
      </c>
      <c r="F1322">
        <v>56.533187865999999</v>
      </c>
      <c r="G1322">
        <v>1391.1982422000001</v>
      </c>
      <c r="H1322">
        <v>1375.2370605000001</v>
      </c>
      <c r="I1322">
        <v>1287.7207031</v>
      </c>
      <c r="J1322">
        <v>1268.8105469</v>
      </c>
      <c r="K1322">
        <v>2750</v>
      </c>
      <c r="L1322">
        <v>0</v>
      </c>
      <c r="M1322">
        <v>0</v>
      </c>
      <c r="N1322">
        <v>2750</v>
      </c>
    </row>
    <row r="1323" spans="1:14" x14ac:dyDescent="0.25">
      <c r="A1323">
        <v>766.96838000000002</v>
      </c>
      <c r="B1323" s="1">
        <f>DATE(2012,6,5) + TIME(23,14,28)</f>
        <v>41065.96837962963</v>
      </c>
      <c r="C1323">
        <v>80</v>
      </c>
      <c r="D1323">
        <v>79.955459594999994</v>
      </c>
      <c r="E1323">
        <v>60</v>
      </c>
      <c r="F1323">
        <v>56.474697112999998</v>
      </c>
      <c r="G1323">
        <v>1391.1357422000001</v>
      </c>
      <c r="H1323">
        <v>1375.1856689000001</v>
      </c>
      <c r="I1323">
        <v>1287.6929932</v>
      </c>
      <c r="J1323">
        <v>1268.7755127</v>
      </c>
      <c r="K1323">
        <v>2750</v>
      </c>
      <c r="L1323">
        <v>0</v>
      </c>
      <c r="M1323">
        <v>0</v>
      </c>
      <c r="N1323">
        <v>2750</v>
      </c>
    </row>
    <row r="1324" spans="1:14" x14ac:dyDescent="0.25">
      <c r="A1324">
        <v>767.727349</v>
      </c>
      <c r="B1324" s="1">
        <f>DATE(2012,6,6) + TIME(17,27,22)</f>
        <v>41066.727337962962</v>
      </c>
      <c r="C1324">
        <v>80</v>
      </c>
      <c r="D1324">
        <v>79.955459594999994</v>
      </c>
      <c r="E1324">
        <v>60</v>
      </c>
      <c r="F1324">
        <v>56.415538787999999</v>
      </c>
      <c r="G1324">
        <v>1391.0733643000001</v>
      </c>
      <c r="H1324">
        <v>1375.1343993999999</v>
      </c>
      <c r="I1324">
        <v>1287.6645507999999</v>
      </c>
      <c r="J1324">
        <v>1268.7395019999999</v>
      </c>
      <c r="K1324">
        <v>2750</v>
      </c>
      <c r="L1324">
        <v>0</v>
      </c>
      <c r="M1324">
        <v>0</v>
      </c>
      <c r="N1324">
        <v>2750</v>
      </c>
    </row>
    <row r="1325" spans="1:14" x14ac:dyDescent="0.25">
      <c r="A1325">
        <v>768.50245600000005</v>
      </c>
      <c r="B1325" s="1">
        <f>DATE(2012,6,7) + TIME(12,3,32)</f>
        <v>41067.502453703702</v>
      </c>
      <c r="C1325">
        <v>80</v>
      </c>
      <c r="D1325">
        <v>79.955459594999994</v>
      </c>
      <c r="E1325">
        <v>60</v>
      </c>
      <c r="F1325">
        <v>56.355583191000001</v>
      </c>
      <c r="G1325">
        <v>1391.0107422000001</v>
      </c>
      <c r="H1325">
        <v>1375.0830077999999</v>
      </c>
      <c r="I1325">
        <v>1287.6352539</v>
      </c>
      <c r="J1325">
        <v>1268.7025146000001</v>
      </c>
      <c r="K1325">
        <v>2750</v>
      </c>
      <c r="L1325">
        <v>0</v>
      </c>
      <c r="M1325">
        <v>0</v>
      </c>
      <c r="N1325">
        <v>2750</v>
      </c>
    </row>
    <row r="1326" spans="1:14" x14ac:dyDescent="0.25">
      <c r="A1326">
        <v>769.28559299999995</v>
      </c>
      <c r="B1326" s="1">
        <f>DATE(2012,6,8) + TIME(6,51,15)</f>
        <v>41068.285590277781</v>
      </c>
      <c r="C1326">
        <v>80</v>
      </c>
      <c r="D1326">
        <v>79.955459594999994</v>
      </c>
      <c r="E1326">
        <v>60</v>
      </c>
      <c r="F1326">
        <v>56.295078277999998</v>
      </c>
      <c r="G1326">
        <v>1390.947876</v>
      </c>
      <c r="H1326">
        <v>1375.03125</v>
      </c>
      <c r="I1326">
        <v>1287.6049805</v>
      </c>
      <c r="J1326">
        <v>1268.6641846</v>
      </c>
      <c r="K1326">
        <v>2750</v>
      </c>
      <c r="L1326">
        <v>0</v>
      </c>
      <c r="M1326">
        <v>0</v>
      </c>
      <c r="N1326">
        <v>2750</v>
      </c>
    </row>
    <row r="1327" spans="1:14" x14ac:dyDescent="0.25">
      <c r="A1327">
        <v>770.07457499999998</v>
      </c>
      <c r="B1327" s="1">
        <f>DATE(2012,6,9) + TIME(1,47,23)</f>
        <v>41069.074571759258</v>
      </c>
      <c r="C1327">
        <v>80</v>
      </c>
      <c r="D1327">
        <v>79.955459594999994</v>
      </c>
      <c r="E1327">
        <v>60</v>
      </c>
      <c r="F1327">
        <v>56.234241486000002</v>
      </c>
      <c r="G1327">
        <v>1390.885376</v>
      </c>
      <c r="H1327">
        <v>1374.9797363</v>
      </c>
      <c r="I1327">
        <v>1287.5742187999999</v>
      </c>
      <c r="J1327">
        <v>1268.6251221</v>
      </c>
      <c r="K1327">
        <v>2750</v>
      </c>
      <c r="L1327">
        <v>0</v>
      </c>
      <c r="M1327">
        <v>0</v>
      </c>
      <c r="N1327">
        <v>2750</v>
      </c>
    </row>
    <row r="1328" spans="1:14" x14ac:dyDescent="0.25">
      <c r="A1328">
        <v>770.87167699999998</v>
      </c>
      <c r="B1328" s="1">
        <f>DATE(2012,6,9) + TIME(20,55,12)</f>
        <v>41069.871666666666</v>
      </c>
      <c r="C1328">
        <v>80</v>
      </c>
      <c r="D1328">
        <v>79.955459594999994</v>
      </c>
      <c r="E1328">
        <v>60</v>
      </c>
      <c r="F1328">
        <v>56.173095703000001</v>
      </c>
      <c r="G1328">
        <v>1390.8233643000001</v>
      </c>
      <c r="H1328">
        <v>1374.9285889</v>
      </c>
      <c r="I1328">
        <v>1287.5428466999999</v>
      </c>
      <c r="J1328">
        <v>1268.5852050999999</v>
      </c>
      <c r="K1328">
        <v>2750</v>
      </c>
      <c r="L1328">
        <v>0</v>
      </c>
      <c r="M1328">
        <v>0</v>
      </c>
      <c r="N1328">
        <v>2750</v>
      </c>
    </row>
    <row r="1329" spans="1:14" x14ac:dyDescent="0.25">
      <c r="A1329">
        <v>771.67919600000005</v>
      </c>
      <c r="B1329" s="1">
        <f>DATE(2012,6,10) + TIME(16,18,2)</f>
        <v>41070.679189814815</v>
      </c>
      <c r="C1329">
        <v>80</v>
      </c>
      <c r="D1329">
        <v>79.955459594999994</v>
      </c>
      <c r="E1329">
        <v>60</v>
      </c>
      <c r="F1329">
        <v>56.111560822000001</v>
      </c>
      <c r="G1329">
        <v>1390.7617187999999</v>
      </c>
      <c r="H1329">
        <v>1374.8778076000001</v>
      </c>
      <c r="I1329">
        <v>1287.5107422000001</v>
      </c>
      <c r="J1329">
        <v>1268.5441894999999</v>
      </c>
      <c r="K1329">
        <v>2750</v>
      </c>
      <c r="L1329">
        <v>0</v>
      </c>
      <c r="M1329">
        <v>0</v>
      </c>
      <c r="N1329">
        <v>2750</v>
      </c>
    </row>
    <row r="1330" spans="1:14" x14ac:dyDescent="0.25">
      <c r="A1330">
        <v>772.49952299999995</v>
      </c>
      <c r="B1330" s="1">
        <f>DATE(2012,6,11) + TIME(11,59,18)</f>
        <v>41071.499513888892</v>
      </c>
      <c r="C1330">
        <v>80</v>
      </c>
      <c r="D1330">
        <v>79.955467224000003</v>
      </c>
      <c r="E1330">
        <v>60</v>
      </c>
      <c r="F1330">
        <v>56.049510955999999</v>
      </c>
      <c r="G1330">
        <v>1390.7003173999999</v>
      </c>
      <c r="H1330">
        <v>1374.8270264</v>
      </c>
      <c r="I1330">
        <v>1287.4779053</v>
      </c>
      <c r="J1330">
        <v>1268.5021973</v>
      </c>
      <c r="K1330">
        <v>2750</v>
      </c>
      <c r="L1330">
        <v>0</v>
      </c>
      <c r="M1330">
        <v>0</v>
      </c>
      <c r="N1330">
        <v>2750</v>
      </c>
    </row>
    <row r="1331" spans="1:14" x14ac:dyDescent="0.25">
      <c r="A1331">
        <v>773.33519100000001</v>
      </c>
      <c r="B1331" s="1">
        <f>DATE(2012,6,12) + TIME(8,2,40)</f>
        <v>41072.335185185184</v>
      </c>
      <c r="C1331">
        <v>80</v>
      </c>
      <c r="D1331">
        <v>79.955467224000003</v>
      </c>
      <c r="E1331">
        <v>60</v>
      </c>
      <c r="F1331">
        <v>55.986789702999999</v>
      </c>
      <c r="G1331">
        <v>1390.6387939000001</v>
      </c>
      <c r="H1331">
        <v>1374.7761230000001</v>
      </c>
      <c r="I1331">
        <v>1287.4442139</v>
      </c>
      <c r="J1331">
        <v>1268.4589844</v>
      </c>
      <c r="K1331">
        <v>2750</v>
      </c>
      <c r="L1331">
        <v>0</v>
      </c>
      <c r="M1331">
        <v>0</v>
      </c>
      <c r="N1331">
        <v>2750</v>
      </c>
    </row>
    <row r="1332" spans="1:14" x14ac:dyDescent="0.25">
      <c r="A1332">
        <v>774.18730700000003</v>
      </c>
      <c r="B1332" s="1">
        <f>DATE(2012,6,13) + TIME(4,29,43)</f>
        <v>41073.187303240738</v>
      </c>
      <c r="C1332">
        <v>80</v>
      </c>
      <c r="D1332">
        <v>79.955474854000002</v>
      </c>
      <c r="E1332">
        <v>60</v>
      </c>
      <c r="F1332">
        <v>55.923274994000003</v>
      </c>
      <c r="G1332">
        <v>1390.5770264</v>
      </c>
      <c r="H1332">
        <v>1374.7250977000001</v>
      </c>
      <c r="I1332">
        <v>1287.4094238</v>
      </c>
      <c r="J1332">
        <v>1268.4143065999999</v>
      </c>
      <c r="K1332">
        <v>2750</v>
      </c>
      <c r="L1332">
        <v>0</v>
      </c>
      <c r="M1332">
        <v>0</v>
      </c>
      <c r="N1332">
        <v>2750</v>
      </c>
    </row>
    <row r="1333" spans="1:14" x14ac:dyDescent="0.25">
      <c r="A1333">
        <v>775.05286899999999</v>
      </c>
      <c r="B1333" s="1">
        <f>DATE(2012,6,14) + TIME(1,16,7)</f>
        <v>41074.052858796298</v>
      </c>
      <c r="C1333">
        <v>80</v>
      </c>
      <c r="D1333">
        <v>79.955474854000002</v>
      </c>
      <c r="E1333">
        <v>60</v>
      </c>
      <c r="F1333">
        <v>55.859012604</v>
      </c>
      <c r="G1333">
        <v>1390.5150146000001</v>
      </c>
      <c r="H1333">
        <v>1374.6738281</v>
      </c>
      <c r="I1333">
        <v>1287.3735352000001</v>
      </c>
      <c r="J1333">
        <v>1268.3681641000001</v>
      </c>
      <c r="K1333">
        <v>2750</v>
      </c>
      <c r="L1333">
        <v>0</v>
      </c>
      <c r="M1333">
        <v>0</v>
      </c>
      <c r="N1333">
        <v>2750</v>
      </c>
    </row>
    <row r="1334" spans="1:14" x14ac:dyDescent="0.25">
      <c r="A1334">
        <v>775.93445499999996</v>
      </c>
      <c r="B1334" s="1">
        <f>DATE(2012,6,14) + TIME(22,25,36)</f>
        <v>41074.934444444443</v>
      </c>
      <c r="C1334">
        <v>80</v>
      </c>
      <c r="D1334">
        <v>79.955482482999997</v>
      </c>
      <c r="E1334">
        <v>60</v>
      </c>
      <c r="F1334">
        <v>55.793949126999998</v>
      </c>
      <c r="G1334">
        <v>1390.4530029</v>
      </c>
      <c r="H1334">
        <v>1374.6224365</v>
      </c>
      <c r="I1334">
        <v>1287.3366699000001</v>
      </c>
      <c r="J1334">
        <v>1268.3205565999999</v>
      </c>
      <c r="K1334">
        <v>2750</v>
      </c>
      <c r="L1334">
        <v>0</v>
      </c>
      <c r="M1334">
        <v>0</v>
      </c>
      <c r="N1334">
        <v>2750</v>
      </c>
    </row>
    <row r="1335" spans="1:14" x14ac:dyDescent="0.25">
      <c r="A1335">
        <v>776.83155599999998</v>
      </c>
      <c r="B1335" s="1">
        <f>DATE(2012,6,15) + TIME(19,57,26)</f>
        <v>41075.831550925926</v>
      </c>
      <c r="C1335">
        <v>80</v>
      </c>
      <c r="D1335">
        <v>79.955482482999997</v>
      </c>
      <c r="E1335">
        <v>60</v>
      </c>
      <c r="F1335">
        <v>55.728069304999998</v>
      </c>
      <c r="G1335">
        <v>1390.3908690999999</v>
      </c>
      <c r="H1335">
        <v>1374.5709228999999</v>
      </c>
      <c r="I1335">
        <v>1287.2985839999999</v>
      </c>
      <c r="J1335">
        <v>1268.2713623</v>
      </c>
      <c r="K1335">
        <v>2750</v>
      </c>
      <c r="L1335">
        <v>0</v>
      </c>
      <c r="M1335">
        <v>0</v>
      </c>
      <c r="N1335">
        <v>2750</v>
      </c>
    </row>
    <row r="1336" spans="1:14" x14ac:dyDescent="0.25">
      <c r="A1336">
        <v>777.74393399999997</v>
      </c>
      <c r="B1336" s="1">
        <f>DATE(2012,6,16) + TIME(17,51,15)</f>
        <v>41076.743923611109</v>
      </c>
      <c r="C1336">
        <v>80</v>
      </c>
      <c r="D1336">
        <v>79.955490112000007</v>
      </c>
      <c r="E1336">
        <v>60</v>
      </c>
      <c r="F1336">
        <v>55.661369323999999</v>
      </c>
      <c r="G1336">
        <v>1390.3284911999999</v>
      </c>
      <c r="H1336">
        <v>1374.5191649999999</v>
      </c>
      <c r="I1336">
        <v>1287.2593993999999</v>
      </c>
      <c r="J1336">
        <v>1268.2204589999999</v>
      </c>
      <c r="K1336">
        <v>2750</v>
      </c>
      <c r="L1336">
        <v>0</v>
      </c>
      <c r="M1336">
        <v>0</v>
      </c>
      <c r="N1336">
        <v>2750</v>
      </c>
    </row>
    <row r="1337" spans="1:14" x14ac:dyDescent="0.25">
      <c r="A1337">
        <v>778.66607199999999</v>
      </c>
      <c r="B1337" s="1">
        <f>DATE(2012,6,17) + TIME(15,59,8)</f>
        <v>41077.666064814817</v>
      </c>
      <c r="C1337">
        <v>80</v>
      </c>
      <c r="D1337">
        <v>79.955497742000006</v>
      </c>
      <c r="E1337">
        <v>60</v>
      </c>
      <c r="F1337">
        <v>55.594039917000003</v>
      </c>
      <c r="G1337">
        <v>1390.2659911999999</v>
      </c>
      <c r="H1337">
        <v>1374.4672852000001</v>
      </c>
      <c r="I1337">
        <v>1287.2188721</v>
      </c>
      <c r="J1337">
        <v>1268.1678466999999</v>
      </c>
      <c r="K1337">
        <v>2750</v>
      </c>
      <c r="L1337">
        <v>0</v>
      </c>
      <c r="M1337">
        <v>0</v>
      </c>
      <c r="N1337">
        <v>2750</v>
      </c>
    </row>
    <row r="1338" spans="1:14" x14ac:dyDescent="0.25">
      <c r="A1338">
        <v>779.59443799999997</v>
      </c>
      <c r="B1338" s="1">
        <f>DATE(2012,6,18) + TIME(14,15,59)</f>
        <v>41078.59443287037</v>
      </c>
      <c r="C1338">
        <v>80</v>
      </c>
      <c r="D1338">
        <v>79.955505371000001</v>
      </c>
      <c r="E1338">
        <v>60</v>
      </c>
      <c r="F1338">
        <v>55.526313782000003</v>
      </c>
      <c r="G1338">
        <v>1390.2037353999999</v>
      </c>
      <c r="H1338">
        <v>1374.4155272999999</v>
      </c>
      <c r="I1338">
        <v>1287.1774902</v>
      </c>
      <c r="J1338">
        <v>1268.1138916</v>
      </c>
      <c r="K1338">
        <v>2750</v>
      </c>
      <c r="L1338">
        <v>0</v>
      </c>
      <c r="M1338">
        <v>0</v>
      </c>
      <c r="N1338">
        <v>2750</v>
      </c>
    </row>
    <row r="1339" spans="1:14" x14ac:dyDescent="0.25">
      <c r="A1339">
        <v>780.53174999999999</v>
      </c>
      <c r="B1339" s="1">
        <f>DATE(2012,6,19) + TIME(12,45,43)</f>
        <v>41079.531747685185</v>
      </c>
      <c r="C1339">
        <v>80</v>
      </c>
      <c r="D1339">
        <v>79.955512999999996</v>
      </c>
      <c r="E1339">
        <v>60</v>
      </c>
      <c r="F1339">
        <v>55.458232879999997</v>
      </c>
      <c r="G1339">
        <v>1390.1419678</v>
      </c>
      <c r="H1339">
        <v>1374.3642577999999</v>
      </c>
      <c r="I1339">
        <v>1287.1351318</v>
      </c>
      <c r="J1339">
        <v>1268.0585937999999</v>
      </c>
      <c r="K1339">
        <v>2750</v>
      </c>
      <c r="L1339">
        <v>0</v>
      </c>
      <c r="M1339">
        <v>0</v>
      </c>
      <c r="N1339">
        <v>2750</v>
      </c>
    </row>
    <row r="1340" spans="1:14" x14ac:dyDescent="0.25">
      <c r="A1340">
        <v>781.47719199999995</v>
      </c>
      <c r="B1340" s="1">
        <f>DATE(2012,6,20) + TIME(11,27,9)</f>
        <v>41080.477187500001</v>
      </c>
      <c r="C1340">
        <v>80</v>
      </c>
      <c r="D1340">
        <v>79.955520629999995</v>
      </c>
      <c r="E1340">
        <v>60</v>
      </c>
      <c r="F1340">
        <v>55.389816283999998</v>
      </c>
      <c r="G1340">
        <v>1390.0805664</v>
      </c>
      <c r="H1340">
        <v>1374.3131103999999</v>
      </c>
      <c r="I1340">
        <v>1287.0917969</v>
      </c>
      <c r="J1340">
        <v>1268.0017089999999</v>
      </c>
      <c r="K1340">
        <v>2750</v>
      </c>
      <c r="L1340">
        <v>0</v>
      </c>
      <c r="M1340">
        <v>0</v>
      </c>
      <c r="N1340">
        <v>2750</v>
      </c>
    </row>
    <row r="1341" spans="1:14" x14ac:dyDescent="0.25">
      <c r="A1341">
        <v>782.43086700000003</v>
      </c>
      <c r="B1341" s="1">
        <f>DATE(2012,6,21) + TIME(10,20,26)</f>
        <v>41081.430856481478</v>
      </c>
      <c r="C1341">
        <v>80</v>
      </c>
      <c r="D1341">
        <v>79.955528259000005</v>
      </c>
      <c r="E1341">
        <v>60</v>
      </c>
      <c r="F1341">
        <v>55.321071625000002</v>
      </c>
      <c r="G1341">
        <v>1390.0195312000001</v>
      </c>
      <c r="H1341">
        <v>1374.262207</v>
      </c>
      <c r="I1341">
        <v>1287.0474853999999</v>
      </c>
      <c r="J1341">
        <v>1267.9434814000001</v>
      </c>
      <c r="K1341">
        <v>2750</v>
      </c>
      <c r="L1341">
        <v>0</v>
      </c>
      <c r="M1341">
        <v>0</v>
      </c>
      <c r="N1341">
        <v>2750</v>
      </c>
    </row>
    <row r="1342" spans="1:14" x14ac:dyDescent="0.25">
      <c r="A1342">
        <v>783.39534400000002</v>
      </c>
      <c r="B1342" s="1">
        <f>DATE(2012,6,22) + TIME(9,29,17)</f>
        <v>41082.395335648151</v>
      </c>
      <c r="C1342">
        <v>80</v>
      </c>
      <c r="D1342">
        <v>79.955535889000004</v>
      </c>
      <c r="E1342">
        <v>60</v>
      </c>
      <c r="F1342">
        <v>55.251914978000002</v>
      </c>
      <c r="G1342">
        <v>1389.9588623</v>
      </c>
      <c r="H1342">
        <v>1374.2114257999999</v>
      </c>
      <c r="I1342">
        <v>1287.0020752</v>
      </c>
      <c r="J1342">
        <v>1267.8836670000001</v>
      </c>
      <c r="K1342">
        <v>2750</v>
      </c>
      <c r="L1342">
        <v>0</v>
      </c>
      <c r="M1342">
        <v>0</v>
      </c>
      <c r="N1342">
        <v>2750</v>
      </c>
    </row>
    <row r="1343" spans="1:14" x14ac:dyDescent="0.25">
      <c r="A1343">
        <v>784.37327000000005</v>
      </c>
      <c r="B1343" s="1">
        <f>DATE(2012,6,23) + TIME(8,57,30)</f>
        <v>41083.373263888891</v>
      </c>
      <c r="C1343">
        <v>80</v>
      </c>
      <c r="D1343">
        <v>79.955551146999994</v>
      </c>
      <c r="E1343">
        <v>60</v>
      </c>
      <c r="F1343">
        <v>55.182197571000003</v>
      </c>
      <c r="G1343">
        <v>1389.8983154</v>
      </c>
      <c r="H1343">
        <v>1374.1608887</v>
      </c>
      <c r="I1343">
        <v>1286.9555664</v>
      </c>
      <c r="J1343">
        <v>1267.8220214999999</v>
      </c>
      <c r="K1343">
        <v>2750</v>
      </c>
      <c r="L1343">
        <v>0</v>
      </c>
      <c r="M1343">
        <v>0</v>
      </c>
      <c r="N1343">
        <v>2750</v>
      </c>
    </row>
    <row r="1344" spans="1:14" x14ac:dyDescent="0.25">
      <c r="A1344">
        <v>785.367434</v>
      </c>
      <c r="B1344" s="1">
        <f>DATE(2012,6,24) + TIME(8,49,6)</f>
        <v>41084.367430555554</v>
      </c>
      <c r="C1344">
        <v>80</v>
      </c>
      <c r="D1344">
        <v>79.955558776999993</v>
      </c>
      <c r="E1344">
        <v>60</v>
      </c>
      <c r="F1344">
        <v>55.111740112</v>
      </c>
      <c r="G1344">
        <v>1389.8377685999999</v>
      </c>
      <c r="H1344">
        <v>1374.1102295000001</v>
      </c>
      <c r="I1344">
        <v>1286.9077147999999</v>
      </c>
      <c r="J1344">
        <v>1267.7585449000001</v>
      </c>
      <c r="K1344">
        <v>2750</v>
      </c>
      <c r="L1344">
        <v>0</v>
      </c>
      <c r="M1344">
        <v>0</v>
      </c>
      <c r="N1344">
        <v>2750</v>
      </c>
    </row>
    <row r="1345" spans="1:14" x14ac:dyDescent="0.25">
      <c r="A1345">
        <v>786.38078599999994</v>
      </c>
      <c r="B1345" s="1">
        <f>DATE(2012,6,25) + TIME(9,8,19)</f>
        <v>41085.38077546296</v>
      </c>
      <c r="C1345">
        <v>80</v>
      </c>
      <c r="D1345">
        <v>79.955566406000003</v>
      </c>
      <c r="E1345">
        <v>60</v>
      </c>
      <c r="F1345">
        <v>55.040351868000002</v>
      </c>
      <c r="G1345">
        <v>1389.7770995999999</v>
      </c>
      <c r="H1345">
        <v>1374.0594481999999</v>
      </c>
      <c r="I1345">
        <v>1286.8583983999999</v>
      </c>
      <c r="J1345">
        <v>1267.692749</v>
      </c>
      <c r="K1345">
        <v>2750</v>
      </c>
      <c r="L1345">
        <v>0</v>
      </c>
      <c r="M1345">
        <v>0</v>
      </c>
      <c r="N1345">
        <v>2750</v>
      </c>
    </row>
    <row r="1346" spans="1:14" x14ac:dyDescent="0.25">
      <c r="A1346">
        <v>787.41652099999999</v>
      </c>
      <c r="B1346" s="1">
        <f>DATE(2012,6,26) + TIME(9,59,47)</f>
        <v>41086.416516203702</v>
      </c>
      <c r="C1346">
        <v>80</v>
      </c>
      <c r="D1346">
        <v>79.955581664999997</v>
      </c>
      <c r="E1346">
        <v>60</v>
      </c>
      <c r="F1346">
        <v>54.967811584000003</v>
      </c>
      <c r="G1346">
        <v>1389.7160644999999</v>
      </c>
      <c r="H1346">
        <v>1374.0084228999999</v>
      </c>
      <c r="I1346">
        <v>1286.807251</v>
      </c>
      <c r="J1346">
        <v>1267.6245117000001</v>
      </c>
      <c r="K1346">
        <v>2750</v>
      </c>
      <c r="L1346">
        <v>0</v>
      </c>
      <c r="M1346">
        <v>0</v>
      </c>
      <c r="N1346">
        <v>2750</v>
      </c>
    </row>
    <row r="1347" spans="1:14" x14ac:dyDescent="0.25">
      <c r="A1347">
        <v>788.47832500000004</v>
      </c>
      <c r="B1347" s="1">
        <f>DATE(2012,6,27) + TIME(11,28,47)</f>
        <v>41087.478321759256</v>
      </c>
      <c r="C1347">
        <v>80</v>
      </c>
      <c r="D1347">
        <v>79.955596924000005</v>
      </c>
      <c r="E1347">
        <v>60</v>
      </c>
      <c r="F1347">
        <v>54.893882751</v>
      </c>
      <c r="G1347">
        <v>1389.6545410000001</v>
      </c>
      <c r="H1347">
        <v>1373.9567870999999</v>
      </c>
      <c r="I1347">
        <v>1286.7542725000001</v>
      </c>
      <c r="J1347">
        <v>1267.5535889</v>
      </c>
      <c r="K1347">
        <v>2750</v>
      </c>
      <c r="L1347">
        <v>0</v>
      </c>
      <c r="M1347">
        <v>0</v>
      </c>
      <c r="N1347">
        <v>2750</v>
      </c>
    </row>
    <row r="1348" spans="1:14" x14ac:dyDescent="0.25">
      <c r="A1348">
        <v>789.54750000000001</v>
      </c>
      <c r="B1348" s="1">
        <f>DATE(2012,6,28) + TIME(13,8,24)</f>
        <v>41088.547500000001</v>
      </c>
      <c r="C1348">
        <v>80</v>
      </c>
      <c r="D1348">
        <v>79.955604553000001</v>
      </c>
      <c r="E1348">
        <v>60</v>
      </c>
      <c r="F1348">
        <v>54.818962096999996</v>
      </c>
      <c r="G1348">
        <v>1389.5924072</v>
      </c>
      <c r="H1348">
        <v>1373.9046631000001</v>
      </c>
      <c r="I1348">
        <v>1286.6989745999999</v>
      </c>
      <c r="J1348">
        <v>1267.4794922000001</v>
      </c>
      <c r="K1348">
        <v>2750</v>
      </c>
      <c r="L1348">
        <v>0</v>
      </c>
      <c r="M1348">
        <v>0</v>
      </c>
      <c r="N1348">
        <v>2750</v>
      </c>
    </row>
    <row r="1349" spans="1:14" x14ac:dyDescent="0.25">
      <c r="A1349">
        <v>790.61886300000003</v>
      </c>
      <c r="B1349" s="1">
        <f>DATE(2012,6,29) + TIME(14,51,9)</f>
        <v>41089.618854166663</v>
      </c>
      <c r="C1349">
        <v>80</v>
      </c>
      <c r="D1349">
        <v>79.955619811999995</v>
      </c>
      <c r="E1349">
        <v>60</v>
      </c>
      <c r="F1349">
        <v>54.743572235000002</v>
      </c>
      <c r="G1349">
        <v>1389.5306396000001</v>
      </c>
      <c r="H1349">
        <v>1373.8526611</v>
      </c>
      <c r="I1349">
        <v>1286.6424560999999</v>
      </c>
      <c r="J1349">
        <v>1267.4034423999999</v>
      </c>
      <c r="K1349">
        <v>2750</v>
      </c>
      <c r="L1349">
        <v>0</v>
      </c>
      <c r="M1349">
        <v>0</v>
      </c>
      <c r="N1349">
        <v>2750</v>
      </c>
    </row>
    <row r="1350" spans="1:14" x14ac:dyDescent="0.25">
      <c r="A1350">
        <v>791.69521799999995</v>
      </c>
      <c r="B1350" s="1">
        <f>DATE(2012,6,30) + TIME(16,41,6)</f>
        <v>41090.695208333331</v>
      </c>
      <c r="C1350">
        <v>80</v>
      </c>
      <c r="D1350">
        <v>79.955635071000003</v>
      </c>
      <c r="E1350">
        <v>60</v>
      </c>
      <c r="F1350">
        <v>54.667903899999999</v>
      </c>
      <c r="G1350">
        <v>1389.4696045000001</v>
      </c>
      <c r="H1350">
        <v>1373.8013916</v>
      </c>
      <c r="I1350">
        <v>1286.5849608999999</v>
      </c>
      <c r="J1350">
        <v>1267.3255615</v>
      </c>
      <c r="K1350">
        <v>2750</v>
      </c>
      <c r="L1350">
        <v>0</v>
      </c>
      <c r="M1350">
        <v>0</v>
      </c>
      <c r="N1350">
        <v>2750</v>
      </c>
    </row>
    <row r="1351" spans="1:14" x14ac:dyDescent="0.25">
      <c r="A1351">
        <v>792</v>
      </c>
      <c r="B1351" s="1">
        <f>DATE(2012,7,1) + TIME(0,0,0)</f>
        <v>41091</v>
      </c>
      <c r="C1351">
        <v>80</v>
      </c>
      <c r="D1351">
        <v>79.955627441000004</v>
      </c>
      <c r="E1351">
        <v>60</v>
      </c>
      <c r="F1351">
        <v>54.631046294999997</v>
      </c>
      <c r="G1351">
        <v>1389.409668</v>
      </c>
      <c r="H1351">
        <v>1373.7508545000001</v>
      </c>
      <c r="I1351">
        <v>1286.5258789</v>
      </c>
      <c r="J1351">
        <v>1267.2554932</v>
      </c>
      <c r="K1351">
        <v>2750</v>
      </c>
      <c r="L1351">
        <v>0</v>
      </c>
      <c r="M1351">
        <v>0</v>
      </c>
      <c r="N1351">
        <v>2750</v>
      </c>
    </row>
    <row r="1352" spans="1:14" x14ac:dyDescent="0.25">
      <c r="A1352">
        <v>793.08421799999996</v>
      </c>
      <c r="B1352" s="1">
        <f>DATE(2012,7,2) + TIME(2,1,16)</f>
        <v>41092.08421296296</v>
      </c>
      <c r="C1352">
        <v>80</v>
      </c>
      <c r="D1352">
        <v>79.955650329999997</v>
      </c>
      <c r="E1352">
        <v>60</v>
      </c>
      <c r="F1352">
        <v>54.564048767000003</v>
      </c>
      <c r="G1352">
        <v>1389.3918457</v>
      </c>
      <c r="H1352">
        <v>1373.7357178</v>
      </c>
      <c r="I1352">
        <v>1286.5085449000001</v>
      </c>
      <c r="J1352">
        <v>1267.2200928</v>
      </c>
      <c r="K1352">
        <v>2750</v>
      </c>
      <c r="L1352">
        <v>0</v>
      </c>
      <c r="M1352">
        <v>0</v>
      </c>
      <c r="N1352">
        <v>2750</v>
      </c>
    </row>
    <row r="1353" spans="1:14" x14ac:dyDescent="0.25">
      <c r="A1353">
        <v>794.18301499999995</v>
      </c>
      <c r="B1353" s="1">
        <f>DATE(2012,7,3) + TIME(4,23,32)</f>
        <v>41093.183009259257</v>
      </c>
      <c r="C1353">
        <v>80</v>
      </c>
      <c r="D1353">
        <v>79.955665588000002</v>
      </c>
      <c r="E1353">
        <v>60</v>
      </c>
      <c r="F1353">
        <v>54.491222381999997</v>
      </c>
      <c r="G1353">
        <v>1389.3322754000001</v>
      </c>
      <c r="H1353">
        <v>1373.6855469</v>
      </c>
      <c r="I1353">
        <v>1286.4487305</v>
      </c>
      <c r="J1353">
        <v>1267.1395264</v>
      </c>
      <c r="K1353">
        <v>2750</v>
      </c>
      <c r="L1353">
        <v>0</v>
      </c>
      <c r="M1353">
        <v>0</v>
      </c>
      <c r="N1353">
        <v>2750</v>
      </c>
    </row>
    <row r="1354" spans="1:14" x14ac:dyDescent="0.25">
      <c r="A1354">
        <v>795.29637600000001</v>
      </c>
      <c r="B1354" s="1">
        <f>DATE(2012,7,4) + TIME(7,6,46)</f>
        <v>41094.296365740738</v>
      </c>
      <c r="C1354">
        <v>80</v>
      </c>
      <c r="D1354">
        <v>79.955680846999996</v>
      </c>
      <c r="E1354">
        <v>60</v>
      </c>
      <c r="F1354">
        <v>54.415412903000004</v>
      </c>
      <c r="G1354">
        <v>1389.2723389</v>
      </c>
      <c r="H1354">
        <v>1373.6350098</v>
      </c>
      <c r="I1354">
        <v>1286.3867187999999</v>
      </c>
      <c r="J1354">
        <v>1267.0551757999999</v>
      </c>
      <c r="K1354">
        <v>2750</v>
      </c>
      <c r="L1354">
        <v>0</v>
      </c>
      <c r="M1354">
        <v>0</v>
      </c>
      <c r="N1354">
        <v>2750</v>
      </c>
    </row>
    <row r="1355" spans="1:14" x14ac:dyDescent="0.25">
      <c r="A1355">
        <v>796.42751999999996</v>
      </c>
      <c r="B1355" s="1">
        <f>DATE(2012,7,5) + TIME(10,15,37)</f>
        <v>41095.427511574075</v>
      </c>
      <c r="C1355">
        <v>80</v>
      </c>
      <c r="D1355">
        <v>79.955703735</v>
      </c>
      <c r="E1355">
        <v>60</v>
      </c>
      <c r="F1355">
        <v>54.337715148999997</v>
      </c>
      <c r="G1355">
        <v>1389.2125243999999</v>
      </c>
      <c r="H1355">
        <v>1373.5843506000001</v>
      </c>
      <c r="I1355">
        <v>1286.3227539</v>
      </c>
      <c r="J1355">
        <v>1266.9676514</v>
      </c>
      <c r="K1355">
        <v>2750</v>
      </c>
      <c r="L1355">
        <v>0</v>
      </c>
      <c r="M1355">
        <v>0</v>
      </c>
      <c r="N1355">
        <v>2750</v>
      </c>
    </row>
    <row r="1356" spans="1:14" x14ac:dyDescent="0.25">
      <c r="A1356">
        <v>797.57983400000001</v>
      </c>
      <c r="B1356" s="1">
        <f>DATE(2012,7,6) + TIME(13,54,57)</f>
        <v>41096.579826388886</v>
      </c>
      <c r="C1356">
        <v>80</v>
      </c>
      <c r="D1356">
        <v>79.955718993999994</v>
      </c>
      <c r="E1356">
        <v>60</v>
      </c>
      <c r="F1356">
        <v>54.258441925</v>
      </c>
      <c r="G1356">
        <v>1389.1523437999999</v>
      </c>
      <c r="H1356">
        <v>1373.5334473</v>
      </c>
      <c r="I1356">
        <v>1286.2567139</v>
      </c>
      <c r="J1356">
        <v>1266.8768310999999</v>
      </c>
      <c r="K1356">
        <v>2750</v>
      </c>
      <c r="L1356">
        <v>0</v>
      </c>
      <c r="M1356">
        <v>0</v>
      </c>
      <c r="N1356">
        <v>2750</v>
      </c>
    </row>
    <row r="1357" spans="1:14" x14ac:dyDescent="0.25">
      <c r="A1357">
        <v>798.75697700000001</v>
      </c>
      <c r="B1357" s="1">
        <f>DATE(2012,7,7) + TIME(18,10,2)</f>
        <v>41097.756967592592</v>
      </c>
      <c r="C1357">
        <v>80</v>
      </c>
      <c r="D1357">
        <v>79.955734253000003</v>
      </c>
      <c r="E1357">
        <v>60</v>
      </c>
      <c r="F1357">
        <v>54.177551270000002</v>
      </c>
      <c r="G1357">
        <v>1389.0919189000001</v>
      </c>
      <c r="H1357">
        <v>1373.4821777</v>
      </c>
      <c r="I1357">
        <v>1286.1883545000001</v>
      </c>
      <c r="J1357">
        <v>1266.7825928</v>
      </c>
      <c r="K1357">
        <v>2750</v>
      </c>
      <c r="L1357">
        <v>0</v>
      </c>
      <c r="M1357">
        <v>0</v>
      </c>
      <c r="N1357">
        <v>2750</v>
      </c>
    </row>
    <row r="1358" spans="1:14" x14ac:dyDescent="0.25">
      <c r="A1358">
        <v>799.95915400000001</v>
      </c>
      <c r="B1358" s="1">
        <f>DATE(2012,7,8) + TIME(23,1,10)</f>
        <v>41098.959143518521</v>
      </c>
      <c r="C1358">
        <v>80</v>
      </c>
      <c r="D1358">
        <v>79.955757141000007</v>
      </c>
      <c r="E1358">
        <v>60</v>
      </c>
      <c r="F1358">
        <v>54.094966888000002</v>
      </c>
      <c r="G1358">
        <v>1389.0310059000001</v>
      </c>
      <c r="H1358">
        <v>1373.4305420000001</v>
      </c>
      <c r="I1358">
        <v>1286.1174315999999</v>
      </c>
      <c r="J1358">
        <v>1266.6843262</v>
      </c>
      <c r="K1358">
        <v>2750</v>
      </c>
      <c r="L1358">
        <v>0</v>
      </c>
      <c r="M1358">
        <v>0</v>
      </c>
      <c r="N1358">
        <v>2750</v>
      </c>
    </row>
    <row r="1359" spans="1:14" x14ac:dyDescent="0.25">
      <c r="A1359">
        <v>801.17747899999995</v>
      </c>
      <c r="B1359" s="1">
        <f>DATE(2012,7,10) + TIME(4,15,34)</f>
        <v>41100.177476851852</v>
      </c>
      <c r="C1359">
        <v>80</v>
      </c>
      <c r="D1359">
        <v>79.955772400000001</v>
      </c>
      <c r="E1359">
        <v>60</v>
      </c>
      <c r="F1359">
        <v>54.010864257999998</v>
      </c>
      <c r="G1359">
        <v>1388.9696045000001</v>
      </c>
      <c r="H1359">
        <v>1373.3782959</v>
      </c>
      <c r="I1359">
        <v>1286.0437012</v>
      </c>
      <c r="J1359">
        <v>1266.5820312000001</v>
      </c>
      <c r="K1359">
        <v>2750</v>
      </c>
      <c r="L1359">
        <v>0</v>
      </c>
      <c r="M1359">
        <v>0</v>
      </c>
      <c r="N1359">
        <v>2750</v>
      </c>
    </row>
    <row r="1360" spans="1:14" x14ac:dyDescent="0.25">
      <c r="A1360">
        <v>802.39830099999995</v>
      </c>
      <c r="B1360" s="1">
        <f>DATE(2012,7,11) + TIME(9,33,33)</f>
        <v>41101.398298611108</v>
      </c>
      <c r="C1360">
        <v>80</v>
      </c>
      <c r="D1360">
        <v>79.955795288000004</v>
      </c>
      <c r="E1360">
        <v>60</v>
      </c>
      <c r="F1360">
        <v>53.925804137999997</v>
      </c>
      <c r="G1360">
        <v>1388.9080810999999</v>
      </c>
      <c r="H1360">
        <v>1373.3260498</v>
      </c>
      <c r="I1360">
        <v>1285.9678954999999</v>
      </c>
      <c r="J1360">
        <v>1266.4764404</v>
      </c>
      <c r="K1360">
        <v>2750</v>
      </c>
      <c r="L1360">
        <v>0</v>
      </c>
      <c r="M1360">
        <v>0</v>
      </c>
      <c r="N1360">
        <v>2750</v>
      </c>
    </row>
    <row r="1361" spans="1:14" x14ac:dyDescent="0.25">
      <c r="A1361">
        <v>803.62474999999995</v>
      </c>
      <c r="B1361" s="1">
        <f>DATE(2012,7,12) + TIME(14,59,38)</f>
        <v>41102.624745370369</v>
      </c>
      <c r="C1361">
        <v>80</v>
      </c>
      <c r="D1361">
        <v>79.955818175999994</v>
      </c>
      <c r="E1361">
        <v>60</v>
      </c>
      <c r="F1361">
        <v>53.840122223000002</v>
      </c>
      <c r="G1361">
        <v>1388.8472899999999</v>
      </c>
      <c r="H1361">
        <v>1373.2742920000001</v>
      </c>
      <c r="I1361">
        <v>1285.8905029</v>
      </c>
      <c r="J1361">
        <v>1266.3682861</v>
      </c>
      <c r="K1361">
        <v>2750</v>
      </c>
      <c r="L1361">
        <v>0</v>
      </c>
      <c r="M1361">
        <v>0</v>
      </c>
      <c r="N1361">
        <v>2750</v>
      </c>
    </row>
    <row r="1362" spans="1:14" x14ac:dyDescent="0.25">
      <c r="A1362">
        <v>804.86014699999998</v>
      </c>
      <c r="B1362" s="1">
        <f>DATE(2012,7,13) + TIME(20,38,36)</f>
        <v>41103.860138888886</v>
      </c>
      <c r="C1362">
        <v>80</v>
      </c>
      <c r="D1362">
        <v>79.955833435000002</v>
      </c>
      <c r="E1362">
        <v>60</v>
      </c>
      <c r="F1362">
        <v>53.753787994</v>
      </c>
      <c r="G1362">
        <v>1388.7868652</v>
      </c>
      <c r="H1362">
        <v>1373.2229004000001</v>
      </c>
      <c r="I1362">
        <v>1285.8116454999999</v>
      </c>
      <c r="J1362">
        <v>1266.2575684000001</v>
      </c>
      <c r="K1362">
        <v>2750</v>
      </c>
      <c r="L1362">
        <v>0</v>
      </c>
      <c r="M1362">
        <v>0</v>
      </c>
      <c r="N1362">
        <v>2750</v>
      </c>
    </row>
    <row r="1363" spans="1:14" x14ac:dyDescent="0.25">
      <c r="A1363">
        <v>806.107843</v>
      </c>
      <c r="B1363" s="1">
        <f>DATE(2012,7,15) + TIME(2,35,17)</f>
        <v>41105.107835648145</v>
      </c>
      <c r="C1363">
        <v>80</v>
      </c>
      <c r="D1363">
        <v>79.955856323000006</v>
      </c>
      <c r="E1363">
        <v>60</v>
      </c>
      <c r="F1363">
        <v>53.666633605999998</v>
      </c>
      <c r="G1363">
        <v>1388.7269286999999</v>
      </c>
      <c r="H1363">
        <v>1373.1716309000001</v>
      </c>
      <c r="I1363">
        <v>1285.7308350000001</v>
      </c>
      <c r="J1363">
        <v>1266.1436768000001</v>
      </c>
      <c r="K1363">
        <v>2750</v>
      </c>
      <c r="L1363">
        <v>0</v>
      </c>
      <c r="M1363">
        <v>0</v>
      </c>
      <c r="N1363">
        <v>2750</v>
      </c>
    </row>
    <row r="1364" spans="1:14" x14ac:dyDescent="0.25">
      <c r="A1364">
        <v>807.37128499999994</v>
      </c>
      <c r="B1364" s="1">
        <f>DATE(2012,7,16) + TIME(8,54,39)</f>
        <v>41106.37128472222</v>
      </c>
      <c r="C1364">
        <v>80</v>
      </c>
      <c r="D1364">
        <v>79.955879210999996</v>
      </c>
      <c r="E1364">
        <v>60</v>
      </c>
      <c r="F1364">
        <v>53.578422545999999</v>
      </c>
      <c r="G1364">
        <v>1388.6669922000001</v>
      </c>
      <c r="H1364">
        <v>1373.1204834</v>
      </c>
      <c r="I1364">
        <v>1285.6479492000001</v>
      </c>
      <c r="J1364">
        <v>1266.0266113</v>
      </c>
      <c r="K1364">
        <v>2750</v>
      </c>
      <c r="L1364">
        <v>0</v>
      </c>
      <c r="M1364">
        <v>0</v>
      </c>
      <c r="N1364">
        <v>2750</v>
      </c>
    </row>
    <row r="1365" spans="1:14" x14ac:dyDescent="0.25">
      <c r="A1365">
        <v>808.65409899999997</v>
      </c>
      <c r="B1365" s="1">
        <f>DATE(2012,7,17) + TIME(15,41,54)</f>
        <v>41107.654097222221</v>
      </c>
      <c r="C1365">
        <v>80</v>
      </c>
      <c r="D1365">
        <v>79.955902100000003</v>
      </c>
      <c r="E1365">
        <v>60</v>
      </c>
      <c r="F1365">
        <v>53.488887787000003</v>
      </c>
      <c r="G1365">
        <v>1388.6070557</v>
      </c>
      <c r="H1365">
        <v>1373.0692139</v>
      </c>
      <c r="I1365">
        <v>1285.5627440999999</v>
      </c>
      <c r="J1365">
        <v>1265.9057617000001</v>
      </c>
      <c r="K1365">
        <v>2750</v>
      </c>
      <c r="L1365">
        <v>0</v>
      </c>
      <c r="M1365">
        <v>0</v>
      </c>
      <c r="N1365">
        <v>2750</v>
      </c>
    </row>
    <row r="1366" spans="1:14" x14ac:dyDescent="0.25">
      <c r="A1366">
        <v>809.96013900000003</v>
      </c>
      <c r="B1366" s="1">
        <f>DATE(2012,7,18) + TIME(23,2,36)</f>
        <v>41108.960138888891</v>
      </c>
      <c r="C1366">
        <v>80</v>
      </c>
      <c r="D1366">
        <v>79.955924988000007</v>
      </c>
      <c r="E1366">
        <v>60</v>
      </c>
      <c r="F1366">
        <v>53.397747039999999</v>
      </c>
      <c r="G1366">
        <v>1388.5469971</v>
      </c>
      <c r="H1366">
        <v>1373.0178223</v>
      </c>
      <c r="I1366">
        <v>1285.4748535000001</v>
      </c>
      <c r="J1366">
        <v>1265.7808838000001</v>
      </c>
      <c r="K1366">
        <v>2750</v>
      </c>
      <c r="L1366">
        <v>0</v>
      </c>
      <c r="M1366">
        <v>0</v>
      </c>
      <c r="N1366">
        <v>2750</v>
      </c>
    </row>
    <row r="1367" spans="1:14" x14ac:dyDescent="0.25">
      <c r="A1367">
        <v>811.282015</v>
      </c>
      <c r="B1367" s="1">
        <f>DATE(2012,7,20) + TIME(6,46,6)</f>
        <v>41110.282013888886</v>
      </c>
      <c r="C1367">
        <v>80</v>
      </c>
      <c r="D1367">
        <v>79.955947875999996</v>
      </c>
      <c r="E1367">
        <v>60</v>
      </c>
      <c r="F1367">
        <v>53.304977417000003</v>
      </c>
      <c r="G1367">
        <v>1388.4865723</v>
      </c>
      <c r="H1367">
        <v>1372.9659423999999</v>
      </c>
      <c r="I1367">
        <v>1285.3841553</v>
      </c>
      <c r="J1367">
        <v>1265.6513672000001</v>
      </c>
      <c r="K1367">
        <v>2750</v>
      </c>
      <c r="L1367">
        <v>0</v>
      </c>
      <c r="M1367">
        <v>0</v>
      </c>
      <c r="N1367">
        <v>2750</v>
      </c>
    </row>
    <row r="1368" spans="1:14" x14ac:dyDescent="0.25">
      <c r="A1368">
        <v>812.62334799999996</v>
      </c>
      <c r="B1368" s="1">
        <f>DATE(2012,7,21) + TIME(14,57,37)</f>
        <v>41111.623344907406</v>
      </c>
      <c r="C1368">
        <v>80</v>
      </c>
      <c r="D1368">
        <v>79.955970764</v>
      </c>
      <c r="E1368">
        <v>60</v>
      </c>
      <c r="F1368">
        <v>53.210601807000003</v>
      </c>
      <c r="G1368">
        <v>1388.4261475000001</v>
      </c>
      <c r="H1368">
        <v>1372.9140625</v>
      </c>
      <c r="I1368">
        <v>1285.2908935999999</v>
      </c>
      <c r="J1368">
        <v>1265.5178223</v>
      </c>
      <c r="K1368">
        <v>2750</v>
      </c>
      <c r="L1368">
        <v>0</v>
      </c>
      <c r="M1368">
        <v>0</v>
      </c>
      <c r="N1368">
        <v>2750</v>
      </c>
    </row>
    <row r="1369" spans="1:14" x14ac:dyDescent="0.25">
      <c r="A1369">
        <v>813.98792000000003</v>
      </c>
      <c r="B1369" s="1">
        <f>DATE(2012,7,22) + TIME(23,42,36)</f>
        <v>41112.987916666665</v>
      </c>
      <c r="C1369">
        <v>80</v>
      </c>
      <c r="D1369">
        <v>79.956001282000003</v>
      </c>
      <c r="E1369">
        <v>60</v>
      </c>
      <c r="F1369">
        <v>53.114421843999999</v>
      </c>
      <c r="G1369">
        <v>1388.3654785000001</v>
      </c>
      <c r="H1369">
        <v>1372.8619385</v>
      </c>
      <c r="I1369">
        <v>1285.1947021000001</v>
      </c>
      <c r="J1369">
        <v>1265.3797606999999</v>
      </c>
      <c r="K1369">
        <v>2750</v>
      </c>
      <c r="L1369">
        <v>0</v>
      </c>
      <c r="M1369">
        <v>0</v>
      </c>
      <c r="N1369">
        <v>2750</v>
      </c>
    </row>
    <row r="1370" spans="1:14" x14ac:dyDescent="0.25">
      <c r="A1370">
        <v>815.37361899999996</v>
      </c>
      <c r="B1370" s="1">
        <f>DATE(2012,7,24) + TIME(8,58,0)</f>
        <v>41114.373611111114</v>
      </c>
      <c r="C1370">
        <v>80</v>
      </c>
      <c r="D1370">
        <v>79.956024170000006</v>
      </c>
      <c r="E1370">
        <v>60</v>
      </c>
      <c r="F1370">
        <v>53.016326904000003</v>
      </c>
      <c r="G1370">
        <v>1388.3045654</v>
      </c>
      <c r="H1370">
        <v>1372.8094481999999</v>
      </c>
      <c r="I1370">
        <v>1285.0955810999999</v>
      </c>
      <c r="J1370">
        <v>1265.2368164</v>
      </c>
      <c r="K1370">
        <v>2750</v>
      </c>
      <c r="L1370">
        <v>0</v>
      </c>
      <c r="M1370">
        <v>0</v>
      </c>
      <c r="N1370">
        <v>2750</v>
      </c>
    </row>
    <row r="1371" spans="1:14" x14ac:dyDescent="0.25">
      <c r="A1371">
        <v>816.76566300000002</v>
      </c>
      <c r="B1371" s="1">
        <f>DATE(2012,7,25) + TIME(18,22,33)</f>
        <v>41115.765659722223</v>
      </c>
      <c r="C1371">
        <v>80</v>
      </c>
      <c r="D1371">
        <v>79.956054687999995</v>
      </c>
      <c r="E1371">
        <v>60</v>
      </c>
      <c r="F1371">
        <v>52.916652679000002</v>
      </c>
      <c r="G1371">
        <v>1388.2432861</v>
      </c>
      <c r="H1371">
        <v>1372.7567139</v>
      </c>
      <c r="I1371">
        <v>1284.9934082</v>
      </c>
      <c r="J1371">
        <v>1265.0891113</v>
      </c>
      <c r="K1371">
        <v>2750</v>
      </c>
      <c r="L1371">
        <v>0</v>
      </c>
      <c r="M1371">
        <v>0</v>
      </c>
      <c r="N1371">
        <v>2750</v>
      </c>
    </row>
    <row r="1372" spans="1:14" x14ac:dyDescent="0.25">
      <c r="A1372">
        <v>818.16788099999997</v>
      </c>
      <c r="B1372" s="1">
        <f>DATE(2012,7,27) + TIME(4,1,44)</f>
        <v>41117.167870370373</v>
      </c>
      <c r="C1372">
        <v>80</v>
      </c>
      <c r="D1372">
        <v>79.956077575999998</v>
      </c>
      <c r="E1372">
        <v>60</v>
      </c>
      <c r="F1372">
        <v>52.815715789999999</v>
      </c>
      <c r="G1372">
        <v>1388.1826172000001</v>
      </c>
      <c r="H1372">
        <v>1372.7043457</v>
      </c>
      <c r="I1372">
        <v>1284.8891602000001</v>
      </c>
      <c r="J1372">
        <v>1264.9378661999999</v>
      </c>
      <c r="K1372">
        <v>2750</v>
      </c>
      <c r="L1372">
        <v>0</v>
      </c>
      <c r="M1372">
        <v>0</v>
      </c>
      <c r="N1372">
        <v>2750</v>
      </c>
    </row>
    <row r="1373" spans="1:14" x14ac:dyDescent="0.25">
      <c r="A1373">
        <v>819.58417399999996</v>
      </c>
      <c r="B1373" s="1">
        <f>DATE(2012,7,28) + TIME(14,1,12)</f>
        <v>41118.584166666667</v>
      </c>
      <c r="C1373">
        <v>80</v>
      </c>
      <c r="D1373">
        <v>79.956108092999997</v>
      </c>
      <c r="E1373">
        <v>60</v>
      </c>
      <c r="F1373">
        <v>52.713420868</v>
      </c>
      <c r="G1373">
        <v>1388.1220702999999</v>
      </c>
      <c r="H1373">
        <v>1372.6520995999999</v>
      </c>
      <c r="I1373">
        <v>1284.7827147999999</v>
      </c>
      <c r="J1373">
        <v>1264.7829589999999</v>
      </c>
      <c r="K1373">
        <v>2750</v>
      </c>
      <c r="L1373">
        <v>0</v>
      </c>
      <c r="M1373">
        <v>0</v>
      </c>
      <c r="N1373">
        <v>2750</v>
      </c>
    </row>
    <row r="1374" spans="1:14" x14ac:dyDescent="0.25">
      <c r="A1374">
        <v>821.01853100000005</v>
      </c>
      <c r="B1374" s="1">
        <f>DATE(2012,7,30) + TIME(0,26,41)</f>
        <v>41120.018530092595</v>
      </c>
      <c r="C1374">
        <v>80</v>
      </c>
      <c r="D1374">
        <v>79.956138611</v>
      </c>
      <c r="E1374">
        <v>60</v>
      </c>
      <c r="F1374">
        <v>52.609527587999999</v>
      </c>
      <c r="G1374">
        <v>1388.0616454999999</v>
      </c>
      <c r="H1374">
        <v>1372.5998535000001</v>
      </c>
      <c r="I1374">
        <v>1284.6738281</v>
      </c>
      <c r="J1374">
        <v>1264.6236572</v>
      </c>
      <c r="K1374">
        <v>2750</v>
      </c>
      <c r="L1374">
        <v>0</v>
      </c>
      <c r="M1374">
        <v>0</v>
      </c>
      <c r="N1374">
        <v>2750</v>
      </c>
    </row>
    <row r="1375" spans="1:14" x14ac:dyDescent="0.25">
      <c r="A1375">
        <v>822.46639700000003</v>
      </c>
      <c r="B1375" s="1">
        <f>DATE(2012,7,31) + TIME(11,11,36)</f>
        <v>41121.46638888889</v>
      </c>
      <c r="C1375">
        <v>80</v>
      </c>
      <c r="D1375">
        <v>79.956161499000004</v>
      </c>
      <c r="E1375">
        <v>60</v>
      </c>
      <c r="F1375">
        <v>52.503952026</v>
      </c>
      <c r="G1375">
        <v>1388.0012207</v>
      </c>
      <c r="H1375">
        <v>1372.5474853999999</v>
      </c>
      <c r="I1375">
        <v>1284.5620117000001</v>
      </c>
      <c r="J1375">
        <v>1264.4598389</v>
      </c>
      <c r="K1375">
        <v>2750</v>
      </c>
      <c r="L1375">
        <v>0</v>
      </c>
      <c r="M1375">
        <v>0</v>
      </c>
      <c r="N1375">
        <v>2750</v>
      </c>
    </row>
    <row r="1376" spans="1:14" x14ac:dyDescent="0.25">
      <c r="A1376">
        <v>823</v>
      </c>
      <c r="B1376" s="1">
        <f>DATE(2012,8,1) + TIME(0,0,0)</f>
        <v>41122</v>
      </c>
      <c r="C1376">
        <v>80</v>
      </c>
      <c r="D1376">
        <v>79.956169127999999</v>
      </c>
      <c r="E1376">
        <v>60</v>
      </c>
      <c r="F1376">
        <v>52.436820984000001</v>
      </c>
      <c r="G1376">
        <v>1387.940918</v>
      </c>
      <c r="H1376">
        <v>1372.4952393000001</v>
      </c>
      <c r="I1376">
        <v>1284.4512939000001</v>
      </c>
      <c r="J1376">
        <v>1264.3099365</v>
      </c>
      <c r="K1376">
        <v>2750</v>
      </c>
      <c r="L1376">
        <v>0</v>
      </c>
      <c r="M1376">
        <v>0</v>
      </c>
      <c r="N1376">
        <v>2750</v>
      </c>
    </row>
    <row r="1377" spans="1:14" x14ac:dyDescent="0.25">
      <c r="A1377">
        <v>824.46255299999996</v>
      </c>
      <c r="B1377" s="1">
        <f>DATE(2012,8,2) + TIME(11,6,4)</f>
        <v>41123.462546296294</v>
      </c>
      <c r="C1377">
        <v>80</v>
      </c>
      <c r="D1377">
        <v>79.956207274999997</v>
      </c>
      <c r="E1377">
        <v>60</v>
      </c>
      <c r="F1377">
        <v>52.347454071000001</v>
      </c>
      <c r="G1377">
        <v>1387.918457</v>
      </c>
      <c r="H1377">
        <v>1372.4757079999999</v>
      </c>
      <c r="I1377">
        <v>1284.4018555</v>
      </c>
      <c r="J1377">
        <v>1264.2204589999999</v>
      </c>
      <c r="K1377">
        <v>2750</v>
      </c>
      <c r="L1377">
        <v>0</v>
      </c>
      <c r="M1377">
        <v>0</v>
      </c>
      <c r="N1377">
        <v>2750</v>
      </c>
    </row>
    <row r="1378" spans="1:14" x14ac:dyDescent="0.25">
      <c r="A1378">
        <v>825.951865</v>
      </c>
      <c r="B1378" s="1">
        <f>DATE(2012,8,3) + TIME(22,50,41)</f>
        <v>41124.951863425929</v>
      </c>
      <c r="C1378">
        <v>80</v>
      </c>
      <c r="D1378">
        <v>79.956237793</v>
      </c>
      <c r="E1378">
        <v>60</v>
      </c>
      <c r="F1378">
        <v>52.244197845000002</v>
      </c>
      <c r="G1378">
        <v>1387.8586425999999</v>
      </c>
      <c r="H1378">
        <v>1372.4237060999999</v>
      </c>
      <c r="I1378">
        <v>1284.2866211</v>
      </c>
      <c r="J1378">
        <v>1264.0524902</v>
      </c>
      <c r="K1378">
        <v>2750</v>
      </c>
      <c r="L1378">
        <v>0</v>
      </c>
      <c r="M1378">
        <v>0</v>
      </c>
      <c r="N1378">
        <v>2750</v>
      </c>
    </row>
    <row r="1379" spans="1:14" x14ac:dyDescent="0.25">
      <c r="A1379">
        <v>827.46532500000001</v>
      </c>
      <c r="B1379" s="1">
        <f>DATE(2012,8,5) + TIME(11,10,4)</f>
        <v>41126.465324074074</v>
      </c>
      <c r="C1379">
        <v>80</v>
      </c>
      <c r="D1379">
        <v>79.956268311000002</v>
      </c>
      <c r="E1379">
        <v>60</v>
      </c>
      <c r="F1379">
        <v>52.134445190000001</v>
      </c>
      <c r="G1379">
        <v>1387.7980957</v>
      </c>
      <c r="H1379">
        <v>1372.3710937999999</v>
      </c>
      <c r="I1379">
        <v>1284.1665039</v>
      </c>
      <c r="J1379">
        <v>1263.875</v>
      </c>
      <c r="K1379">
        <v>2750</v>
      </c>
      <c r="L1379">
        <v>0</v>
      </c>
      <c r="M1379">
        <v>0</v>
      </c>
      <c r="N1379">
        <v>2750</v>
      </c>
    </row>
    <row r="1380" spans="1:14" x14ac:dyDescent="0.25">
      <c r="A1380">
        <v>829.00749599999995</v>
      </c>
      <c r="B1380" s="1">
        <f>DATE(2012,8,7) + TIME(0,10,47)</f>
        <v>41128.007488425923</v>
      </c>
      <c r="C1380">
        <v>80</v>
      </c>
      <c r="D1380">
        <v>79.956298828000001</v>
      </c>
      <c r="E1380">
        <v>60</v>
      </c>
      <c r="F1380">
        <v>52.020698547000002</v>
      </c>
      <c r="G1380">
        <v>1387.7371826000001</v>
      </c>
      <c r="H1380">
        <v>1372.3181152</v>
      </c>
      <c r="I1380">
        <v>1284.0423584</v>
      </c>
      <c r="J1380">
        <v>1263.6906738</v>
      </c>
      <c r="K1380">
        <v>2750</v>
      </c>
      <c r="L1380">
        <v>0</v>
      </c>
      <c r="M1380">
        <v>0</v>
      </c>
      <c r="N1380">
        <v>2750</v>
      </c>
    </row>
    <row r="1381" spans="1:14" x14ac:dyDescent="0.25">
      <c r="A1381">
        <v>830.57627300000001</v>
      </c>
      <c r="B1381" s="1">
        <f>DATE(2012,8,8) + TIME(13,49,49)</f>
        <v>41129.576261574075</v>
      </c>
      <c r="C1381">
        <v>80</v>
      </c>
      <c r="D1381">
        <v>79.956329346000004</v>
      </c>
      <c r="E1381">
        <v>60</v>
      </c>
      <c r="F1381">
        <v>51.903720856</v>
      </c>
      <c r="G1381">
        <v>1387.6759033000001</v>
      </c>
      <c r="H1381">
        <v>1372.2646483999999</v>
      </c>
      <c r="I1381">
        <v>1283.9144286999999</v>
      </c>
      <c r="J1381">
        <v>1263.4997559000001</v>
      </c>
      <c r="K1381">
        <v>2750</v>
      </c>
      <c r="L1381">
        <v>0</v>
      </c>
      <c r="M1381">
        <v>0</v>
      </c>
      <c r="N1381">
        <v>2750</v>
      </c>
    </row>
    <row r="1382" spans="1:14" x14ac:dyDescent="0.25">
      <c r="A1382">
        <v>832.15860799999996</v>
      </c>
      <c r="B1382" s="1">
        <f>DATE(2012,8,10) + TIME(3,48,23)</f>
        <v>41131.158599537041</v>
      </c>
      <c r="C1382">
        <v>80</v>
      </c>
      <c r="D1382">
        <v>79.956367493000002</v>
      </c>
      <c r="E1382">
        <v>60</v>
      </c>
      <c r="F1382">
        <v>51.784122467000003</v>
      </c>
      <c r="G1382">
        <v>1387.6141356999999</v>
      </c>
      <c r="H1382">
        <v>1372.2106934000001</v>
      </c>
      <c r="I1382">
        <v>1283.7829589999999</v>
      </c>
      <c r="J1382">
        <v>1263.3027344</v>
      </c>
      <c r="K1382">
        <v>2750</v>
      </c>
      <c r="L1382">
        <v>0</v>
      </c>
      <c r="M1382">
        <v>0</v>
      </c>
      <c r="N1382">
        <v>2750</v>
      </c>
    </row>
    <row r="1383" spans="1:14" x14ac:dyDescent="0.25">
      <c r="A1383">
        <v>833.75541799999996</v>
      </c>
      <c r="B1383" s="1">
        <f>DATE(2012,8,11) + TIME(18,7,48)</f>
        <v>41132.755416666667</v>
      </c>
      <c r="C1383">
        <v>80</v>
      </c>
      <c r="D1383">
        <v>79.956398010000001</v>
      </c>
      <c r="E1383">
        <v>60</v>
      </c>
      <c r="F1383">
        <v>51.662425995</v>
      </c>
      <c r="G1383">
        <v>1387.5524902</v>
      </c>
      <c r="H1383">
        <v>1372.1567382999999</v>
      </c>
      <c r="I1383">
        <v>1283.6488036999999</v>
      </c>
      <c r="J1383">
        <v>1263.1011963000001</v>
      </c>
      <c r="K1383">
        <v>2750</v>
      </c>
      <c r="L1383">
        <v>0</v>
      </c>
      <c r="M1383">
        <v>0</v>
      </c>
      <c r="N1383">
        <v>2750</v>
      </c>
    </row>
    <row r="1384" spans="1:14" x14ac:dyDescent="0.25">
      <c r="A1384">
        <v>835.36090799999999</v>
      </c>
      <c r="B1384" s="1">
        <f>DATE(2012,8,13) + TIME(8,39,42)</f>
        <v>41134.360902777778</v>
      </c>
      <c r="C1384">
        <v>80</v>
      </c>
      <c r="D1384">
        <v>79.956436156999999</v>
      </c>
      <c r="E1384">
        <v>60</v>
      </c>
      <c r="F1384">
        <v>51.538917542</v>
      </c>
      <c r="G1384">
        <v>1387.4908447</v>
      </c>
      <c r="H1384">
        <v>1372.1029053</v>
      </c>
      <c r="I1384">
        <v>1283.512207</v>
      </c>
      <c r="J1384">
        <v>1262.8950195</v>
      </c>
      <c r="K1384">
        <v>2750</v>
      </c>
      <c r="L1384">
        <v>0</v>
      </c>
      <c r="M1384">
        <v>0</v>
      </c>
      <c r="N1384">
        <v>2750</v>
      </c>
    </row>
    <row r="1385" spans="1:14" x14ac:dyDescent="0.25">
      <c r="A1385">
        <v>836.97707000000003</v>
      </c>
      <c r="B1385" s="1">
        <f>DATE(2012,8,14) + TIME(23,26,58)</f>
        <v>41135.977060185185</v>
      </c>
      <c r="C1385">
        <v>80</v>
      </c>
      <c r="D1385">
        <v>79.956466675000001</v>
      </c>
      <c r="E1385">
        <v>60</v>
      </c>
      <c r="F1385">
        <v>51.413803100999999</v>
      </c>
      <c r="G1385">
        <v>1387.4295654</v>
      </c>
      <c r="H1385">
        <v>1372.0491943</v>
      </c>
      <c r="I1385">
        <v>1283.3735352000001</v>
      </c>
      <c r="J1385">
        <v>1262.6850586</v>
      </c>
      <c r="K1385">
        <v>2750</v>
      </c>
      <c r="L1385">
        <v>0</v>
      </c>
      <c r="M1385">
        <v>0</v>
      </c>
      <c r="N1385">
        <v>2750</v>
      </c>
    </row>
    <row r="1386" spans="1:14" x14ac:dyDescent="0.25">
      <c r="A1386">
        <v>838.60855200000003</v>
      </c>
      <c r="B1386" s="1">
        <f>DATE(2012,8,16) + TIME(14,36,18)</f>
        <v>41137.608541666668</v>
      </c>
      <c r="C1386">
        <v>80</v>
      </c>
      <c r="D1386">
        <v>79.956504821999999</v>
      </c>
      <c r="E1386">
        <v>60</v>
      </c>
      <c r="F1386">
        <v>51.286998748999999</v>
      </c>
      <c r="G1386">
        <v>1387.3685303</v>
      </c>
      <c r="H1386">
        <v>1371.9954834</v>
      </c>
      <c r="I1386">
        <v>1283.2329102000001</v>
      </c>
      <c r="J1386">
        <v>1262.4711914</v>
      </c>
      <c r="K1386">
        <v>2750</v>
      </c>
      <c r="L1386">
        <v>0</v>
      </c>
      <c r="M1386">
        <v>0</v>
      </c>
      <c r="N1386">
        <v>2750</v>
      </c>
    </row>
    <row r="1387" spans="1:14" x14ac:dyDescent="0.25">
      <c r="A1387">
        <v>840.25971200000004</v>
      </c>
      <c r="B1387" s="1">
        <f>DATE(2012,8,18) + TIME(6,13,59)</f>
        <v>41139.259710648148</v>
      </c>
      <c r="C1387">
        <v>80</v>
      </c>
      <c r="D1387">
        <v>79.956542968999997</v>
      </c>
      <c r="E1387">
        <v>60</v>
      </c>
      <c r="F1387">
        <v>51.158260345000002</v>
      </c>
      <c r="G1387">
        <v>1387.3073730000001</v>
      </c>
      <c r="H1387">
        <v>1371.9418945</v>
      </c>
      <c r="I1387">
        <v>1283.0898437999999</v>
      </c>
      <c r="J1387">
        <v>1262.2530518000001</v>
      </c>
      <c r="K1387">
        <v>2750</v>
      </c>
      <c r="L1387">
        <v>0</v>
      </c>
      <c r="M1387">
        <v>0</v>
      </c>
      <c r="N1387">
        <v>2750</v>
      </c>
    </row>
    <row r="1388" spans="1:14" x14ac:dyDescent="0.25">
      <c r="A1388">
        <v>841.93512199999998</v>
      </c>
      <c r="B1388" s="1">
        <f>DATE(2012,8,19) + TIME(22,26,34)</f>
        <v>41140.935115740744</v>
      </c>
      <c r="C1388">
        <v>80</v>
      </c>
      <c r="D1388">
        <v>79.956581115999995</v>
      </c>
      <c r="E1388">
        <v>60</v>
      </c>
      <c r="F1388">
        <v>51.027286529999998</v>
      </c>
      <c r="G1388">
        <v>1387.2462158000001</v>
      </c>
      <c r="H1388">
        <v>1371.8880615</v>
      </c>
      <c r="I1388">
        <v>1282.9440918</v>
      </c>
      <c r="J1388">
        <v>1262.0299072</v>
      </c>
      <c r="K1388">
        <v>2750</v>
      </c>
      <c r="L1388">
        <v>0</v>
      </c>
      <c r="M1388">
        <v>0</v>
      </c>
      <c r="N1388">
        <v>2750</v>
      </c>
    </row>
    <row r="1389" spans="1:14" x14ac:dyDescent="0.25">
      <c r="A1389">
        <v>843.63969199999997</v>
      </c>
      <c r="B1389" s="1">
        <f>DATE(2012,8,21) + TIME(15,21,9)</f>
        <v>41142.639687499999</v>
      </c>
      <c r="C1389">
        <v>80</v>
      </c>
      <c r="D1389">
        <v>79.956611632999994</v>
      </c>
      <c r="E1389">
        <v>60</v>
      </c>
      <c r="F1389">
        <v>50.893775939999998</v>
      </c>
      <c r="G1389">
        <v>1387.1846923999999</v>
      </c>
      <c r="H1389">
        <v>1371.8337402</v>
      </c>
      <c r="I1389">
        <v>1282.7954102000001</v>
      </c>
      <c r="J1389">
        <v>1261.8015137</v>
      </c>
      <c r="K1389">
        <v>2750</v>
      </c>
      <c r="L1389">
        <v>0</v>
      </c>
      <c r="M1389">
        <v>0</v>
      </c>
      <c r="N1389">
        <v>2750</v>
      </c>
    </row>
    <row r="1390" spans="1:14" x14ac:dyDescent="0.25">
      <c r="A1390">
        <v>845.36889399999995</v>
      </c>
      <c r="B1390" s="1">
        <f>DATE(2012,8,23) + TIME(8,51,12)</f>
        <v>41144.368888888886</v>
      </c>
      <c r="C1390">
        <v>80</v>
      </c>
      <c r="D1390">
        <v>79.956649780000006</v>
      </c>
      <c r="E1390">
        <v>60</v>
      </c>
      <c r="F1390">
        <v>50.757637023999997</v>
      </c>
      <c r="G1390">
        <v>1387.1226807</v>
      </c>
      <c r="H1390">
        <v>1371.7790527</v>
      </c>
      <c r="I1390">
        <v>1282.6434326000001</v>
      </c>
      <c r="J1390">
        <v>1261.5671387</v>
      </c>
      <c r="K1390">
        <v>2750</v>
      </c>
      <c r="L1390">
        <v>0</v>
      </c>
      <c r="M1390">
        <v>0</v>
      </c>
      <c r="N1390">
        <v>2750</v>
      </c>
    </row>
    <row r="1391" spans="1:14" x14ac:dyDescent="0.25">
      <c r="A1391">
        <v>847.10911699999997</v>
      </c>
      <c r="B1391" s="1">
        <f>DATE(2012,8,25) + TIME(2,37,7)</f>
        <v>41146.1091087963</v>
      </c>
      <c r="C1391">
        <v>80</v>
      </c>
      <c r="D1391">
        <v>79.956695557000003</v>
      </c>
      <c r="E1391">
        <v>60</v>
      </c>
      <c r="F1391">
        <v>50.619335175000003</v>
      </c>
      <c r="G1391">
        <v>1387.0603027</v>
      </c>
      <c r="H1391">
        <v>1371.723999</v>
      </c>
      <c r="I1391">
        <v>1282.4886475000001</v>
      </c>
      <c r="J1391">
        <v>1261.3277588000001</v>
      </c>
      <c r="K1391">
        <v>2750</v>
      </c>
      <c r="L1391">
        <v>0</v>
      </c>
      <c r="M1391">
        <v>0</v>
      </c>
      <c r="N1391">
        <v>2750</v>
      </c>
    </row>
    <row r="1392" spans="1:14" x14ac:dyDescent="0.25">
      <c r="A1392">
        <v>848.85984299999996</v>
      </c>
      <c r="B1392" s="1">
        <f>DATE(2012,8,26) + TIME(20,38,10)</f>
        <v>41147.859837962962</v>
      </c>
      <c r="C1392">
        <v>80</v>
      </c>
      <c r="D1392">
        <v>79.956733704000001</v>
      </c>
      <c r="E1392">
        <v>60</v>
      </c>
      <c r="F1392">
        <v>50.479537964000002</v>
      </c>
      <c r="G1392">
        <v>1386.9981689000001</v>
      </c>
      <c r="H1392">
        <v>1371.6689452999999</v>
      </c>
      <c r="I1392">
        <v>1282.3322754000001</v>
      </c>
      <c r="J1392">
        <v>1261.0848389</v>
      </c>
      <c r="K1392">
        <v>2750</v>
      </c>
      <c r="L1392">
        <v>0</v>
      </c>
      <c r="M1392">
        <v>0</v>
      </c>
      <c r="N1392">
        <v>2750</v>
      </c>
    </row>
    <row r="1393" spans="1:14" x14ac:dyDescent="0.25">
      <c r="A1393">
        <v>850.62679300000002</v>
      </c>
      <c r="B1393" s="1">
        <f>DATE(2012,8,28) + TIME(15,2,34)</f>
        <v>41149.626782407409</v>
      </c>
      <c r="C1393">
        <v>80</v>
      </c>
      <c r="D1393">
        <v>79.956771850999999</v>
      </c>
      <c r="E1393">
        <v>60</v>
      </c>
      <c r="F1393">
        <v>50.338451384999999</v>
      </c>
      <c r="G1393">
        <v>1386.9361572</v>
      </c>
      <c r="H1393">
        <v>1371.6140137</v>
      </c>
      <c r="I1393">
        <v>1282.1744385</v>
      </c>
      <c r="J1393">
        <v>1260.8388672000001</v>
      </c>
      <c r="K1393">
        <v>2750</v>
      </c>
      <c r="L1393">
        <v>0</v>
      </c>
      <c r="M1393">
        <v>0</v>
      </c>
      <c r="N1393">
        <v>2750</v>
      </c>
    </row>
    <row r="1394" spans="1:14" x14ac:dyDescent="0.25">
      <c r="A1394">
        <v>852.41580699999997</v>
      </c>
      <c r="B1394" s="1">
        <f>DATE(2012,8,30) + TIME(9,58,45)</f>
        <v>41151.415798611109</v>
      </c>
      <c r="C1394">
        <v>80</v>
      </c>
      <c r="D1394">
        <v>79.956809997999997</v>
      </c>
      <c r="E1394">
        <v>60</v>
      </c>
      <c r="F1394">
        <v>50.195899963000002</v>
      </c>
      <c r="G1394">
        <v>1386.8741454999999</v>
      </c>
      <c r="H1394">
        <v>1371.559082</v>
      </c>
      <c r="I1394">
        <v>1282.0151367000001</v>
      </c>
      <c r="J1394">
        <v>1260.5893555</v>
      </c>
      <c r="K1394">
        <v>2750</v>
      </c>
      <c r="L1394">
        <v>0</v>
      </c>
      <c r="M1394">
        <v>0</v>
      </c>
      <c r="N1394">
        <v>2750</v>
      </c>
    </row>
    <row r="1395" spans="1:14" x14ac:dyDescent="0.25">
      <c r="A1395">
        <v>854</v>
      </c>
      <c r="B1395" s="1">
        <f>DATE(2012,9,1) + TIME(0,0,0)</f>
        <v>41153</v>
      </c>
      <c r="C1395">
        <v>80</v>
      </c>
      <c r="D1395">
        <v>79.956848144999995</v>
      </c>
      <c r="E1395">
        <v>60</v>
      </c>
      <c r="F1395">
        <v>50.057601929</v>
      </c>
      <c r="G1395">
        <v>1386.8118896000001</v>
      </c>
      <c r="H1395">
        <v>1371.5036620999999</v>
      </c>
      <c r="I1395">
        <v>1281.8546143000001</v>
      </c>
      <c r="J1395">
        <v>1260.3392334</v>
      </c>
      <c r="K1395">
        <v>2750</v>
      </c>
      <c r="L1395">
        <v>0</v>
      </c>
      <c r="M1395">
        <v>0</v>
      </c>
      <c r="N1395">
        <v>2750</v>
      </c>
    </row>
    <row r="1396" spans="1:14" x14ac:dyDescent="0.25">
      <c r="A1396">
        <v>855.81711600000006</v>
      </c>
      <c r="B1396" s="1">
        <f>DATE(2012,9,2) + TIME(19,36,38)</f>
        <v>41154.817106481481</v>
      </c>
      <c r="C1396">
        <v>80</v>
      </c>
      <c r="D1396">
        <v>79.956886291999993</v>
      </c>
      <c r="E1396">
        <v>60</v>
      </c>
      <c r="F1396">
        <v>49.921207428000002</v>
      </c>
      <c r="G1396">
        <v>1386.7570800999999</v>
      </c>
      <c r="H1396">
        <v>1371.4549560999999</v>
      </c>
      <c r="I1396">
        <v>1281.7094727000001</v>
      </c>
      <c r="J1396">
        <v>1260.1070557</v>
      </c>
      <c r="K1396">
        <v>2750</v>
      </c>
      <c r="L1396">
        <v>0</v>
      </c>
      <c r="M1396">
        <v>0</v>
      </c>
      <c r="N1396">
        <v>2750</v>
      </c>
    </row>
    <row r="1397" spans="1:14" x14ac:dyDescent="0.25">
      <c r="A1397">
        <v>857.67580899999996</v>
      </c>
      <c r="B1397" s="1">
        <f>DATE(2012,9,4) + TIME(16,13,9)</f>
        <v>41156.675798611112</v>
      </c>
      <c r="C1397">
        <v>80</v>
      </c>
      <c r="D1397">
        <v>79.956932068</v>
      </c>
      <c r="E1397">
        <v>60</v>
      </c>
      <c r="F1397">
        <v>49.777511597</v>
      </c>
      <c r="G1397">
        <v>1386.6949463000001</v>
      </c>
      <c r="H1397">
        <v>1371.3995361</v>
      </c>
      <c r="I1397">
        <v>1281.5472411999999</v>
      </c>
      <c r="J1397">
        <v>1259.8510742000001</v>
      </c>
      <c r="K1397">
        <v>2750</v>
      </c>
      <c r="L1397">
        <v>0</v>
      </c>
      <c r="M1397">
        <v>0</v>
      </c>
      <c r="N1397">
        <v>2750</v>
      </c>
    </row>
    <row r="1398" spans="1:14" x14ac:dyDescent="0.25">
      <c r="A1398">
        <v>859.55798300000004</v>
      </c>
      <c r="B1398" s="1">
        <f>DATE(2012,9,6) + TIME(13,23,29)</f>
        <v>41158.557974537034</v>
      </c>
      <c r="C1398">
        <v>80</v>
      </c>
      <c r="D1398">
        <v>79.956970214999998</v>
      </c>
      <c r="E1398">
        <v>60</v>
      </c>
      <c r="F1398">
        <v>49.630439758000001</v>
      </c>
      <c r="G1398">
        <v>1386.6317139</v>
      </c>
      <c r="H1398">
        <v>1371.3431396000001</v>
      </c>
      <c r="I1398">
        <v>1281.3812256000001</v>
      </c>
      <c r="J1398">
        <v>1259.5878906</v>
      </c>
      <c r="K1398">
        <v>2750</v>
      </c>
      <c r="L1398">
        <v>0</v>
      </c>
      <c r="M1398">
        <v>0</v>
      </c>
      <c r="N1398">
        <v>2750</v>
      </c>
    </row>
    <row r="1399" spans="1:14" x14ac:dyDescent="0.25">
      <c r="A1399">
        <v>861.45824500000003</v>
      </c>
      <c r="B1399" s="1">
        <f>DATE(2012,9,8) + TIME(10,59,52)</f>
        <v>41160.458240740743</v>
      </c>
      <c r="C1399">
        <v>80</v>
      </c>
      <c r="D1399">
        <v>79.957015991000006</v>
      </c>
      <c r="E1399">
        <v>60</v>
      </c>
      <c r="F1399">
        <v>49.482166290000002</v>
      </c>
      <c r="G1399">
        <v>1386.5681152</v>
      </c>
      <c r="H1399">
        <v>1371.2863769999999</v>
      </c>
      <c r="I1399">
        <v>1281.2136230000001</v>
      </c>
      <c r="J1399">
        <v>1259.3210449000001</v>
      </c>
      <c r="K1399">
        <v>2750</v>
      </c>
      <c r="L1399">
        <v>0</v>
      </c>
      <c r="M1399">
        <v>0</v>
      </c>
      <c r="N1399">
        <v>2750</v>
      </c>
    </row>
    <row r="1400" spans="1:14" x14ac:dyDescent="0.25">
      <c r="A1400">
        <v>863.37102100000004</v>
      </c>
      <c r="B1400" s="1">
        <f>DATE(2012,9,10) + TIME(8,54,16)</f>
        <v>41162.371018518519</v>
      </c>
      <c r="C1400">
        <v>80</v>
      </c>
      <c r="D1400">
        <v>79.957061768000003</v>
      </c>
      <c r="E1400">
        <v>60</v>
      </c>
      <c r="F1400">
        <v>49.333923339999998</v>
      </c>
      <c r="G1400">
        <v>1386.5045166</v>
      </c>
      <c r="H1400">
        <v>1371.2294922000001</v>
      </c>
      <c r="I1400">
        <v>1281.0455322</v>
      </c>
      <c r="J1400">
        <v>1259.0520019999999</v>
      </c>
      <c r="K1400">
        <v>2750</v>
      </c>
      <c r="L1400">
        <v>0</v>
      </c>
      <c r="M1400">
        <v>0</v>
      </c>
      <c r="N1400">
        <v>2750</v>
      </c>
    </row>
    <row r="1401" spans="1:14" x14ac:dyDescent="0.25">
      <c r="A1401">
        <v>865.30118900000002</v>
      </c>
      <c r="B1401" s="1">
        <f>DATE(2012,9,12) + TIME(7,13,42)</f>
        <v>41164.301180555558</v>
      </c>
      <c r="C1401">
        <v>80</v>
      </c>
      <c r="D1401">
        <v>79.957107543999996</v>
      </c>
      <c r="E1401">
        <v>60</v>
      </c>
      <c r="F1401">
        <v>49.186489105</v>
      </c>
      <c r="G1401">
        <v>1386.440918</v>
      </c>
      <c r="H1401">
        <v>1371.1724853999999</v>
      </c>
      <c r="I1401">
        <v>1280.8774414</v>
      </c>
      <c r="J1401">
        <v>1258.7822266000001</v>
      </c>
      <c r="K1401">
        <v>2750</v>
      </c>
      <c r="L1401">
        <v>0</v>
      </c>
      <c r="M1401">
        <v>0</v>
      </c>
      <c r="N1401">
        <v>2750</v>
      </c>
    </row>
    <row r="1402" spans="1:14" x14ac:dyDescent="0.25">
      <c r="A1402">
        <v>867.25383399999998</v>
      </c>
      <c r="B1402" s="1">
        <f>DATE(2012,9,14) + TIME(6,5,31)</f>
        <v>41166.253831018519</v>
      </c>
      <c r="C1402">
        <v>80</v>
      </c>
      <c r="D1402">
        <v>79.957153320000003</v>
      </c>
      <c r="E1402">
        <v>60</v>
      </c>
      <c r="F1402">
        <v>49.040168762</v>
      </c>
      <c r="G1402">
        <v>1386.3773193</v>
      </c>
      <c r="H1402">
        <v>1371.1153564000001</v>
      </c>
      <c r="I1402">
        <v>1280.7094727000001</v>
      </c>
      <c r="J1402">
        <v>1258.5117187999999</v>
      </c>
      <c r="K1402">
        <v>2750</v>
      </c>
      <c r="L1402">
        <v>0</v>
      </c>
      <c r="M1402">
        <v>0</v>
      </c>
      <c r="N1402">
        <v>2750</v>
      </c>
    </row>
    <row r="1403" spans="1:14" x14ac:dyDescent="0.25">
      <c r="A1403">
        <v>869.21503600000005</v>
      </c>
      <c r="B1403" s="1">
        <f>DATE(2012,9,16) + TIME(5,9,39)</f>
        <v>41168.21503472222</v>
      </c>
      <c r="C1403">
        <v>80</v>
      </c>
      <c r="D1403">
        <v>79.957191467000001</v>
      </c>
      <c r="E1403">
        <v>60</v>
      </c>
      <c r="F1403">
        <v>48.895545959000003</v>
      </c>
      <c r="G1403">
        <v>1386.3132324000001</v>
      </c>
      <c r="H1403">
        <v>1371.0578613</v>
      </c>
      <c r="I1403">
        <v>1280.541626</v>
      </c>
      <c r="J1403">
        <v>1258.2406006000001</v>
      </c>
      <c r="K1403">
        <v>2750</v>
      </c>
      <c r="L1403">
        <v>0</v>
      </c>
      <c r="M1403">
        <v>0</v>
      </c>
      <c r="N1403">
        <v>2750</v>
      </c>
    </row>
    <row r="1404" spans="1:14" x14ac:dyDescent="0.25">
      <c r="A1404">
        <v>871.17998699999998</v>
      </c>
      <c r="B1404" s="1">
        <f>DATE(2012,9,18) + TIME(4,19,10)</f>
        <v>41170.179976851854</v>
      </c>
      <c r="C1404">
        <v>80</v>
      </c>
      <c r="D1404">
        <v>79.957237243999998</v>
      </c>
      <c r="E1404">
        <v>60</v>
      </c>
      <c r="F1404">
        <v>48.753772736000002</v>
      </c>
      <c r="G1404">
        <v>1386.2495117000001</v>
      </c>
      <c r="H1404">
        <v>1371.0004882999999</v>
      </c>
      <c r="I1404">
        <v>1280.3751221</v>
      </c>
      <c r="J1404">
        <v>1257.9708252</v>
      </c>
      <c r="K1404">
        <v>2750</v>
      </c>
      <c r="L1404">
        <v>0</v>
      </c>
      <c r="M1404">
        <v>0</v>
      </c>
      <c r="N1404">
        <v>2750</v>
      </c>
    </row>
    <row r="1405" spans="1:14" x14ac:dyDescent="0.25">
      <c r="A1405">
        <v>873.15334199999995</v>
      </c>
      <c r="B1405" s="1">
        <f>DATE(2012,9,20) + TIME(3,40,48)</f>
        <v>41172.153333333335</v>
      </c>
      <c r="C1405">
        <v>80</v>
      </c>
      <c r="D1405">
        <v>79.957283020000006</v>
      </c>
      <c r="E1405">
        <v>60</v>
      </c>
      <c r="F1405">
        <v>48.615631104000002</v>
      </c>
      <c r="G1405">
        <v>1386.1859131000001</v>
      </c>
      <c r="H1405">
        <v>1370.9432373</v>
      </c>
      <c r="I1405">
        <v>1280.2108154</v>
      </c>
      <c r="J1405">
        <v>1257.7037353999999</v>
      </c>
      <c r="K1405">
        <v>2750</v>
      </c>
      <c r="L1405">
        <v>0</v>
      </c>
      <c r="M1405">
        <v>0</v>
      </c>
      <c r="N1405">
        <v>2750</v>
      </c>
    </row>
    <row r="1406" spans="1:14" x14ac:dyDescent="0.25">
      <c r="A1406">
        <v>875.14330800000005</v>
      </c>
      <c r="B1406" s="1">
        <f>DATE(2012,9,22) + TIME(3,26,21)</f>
        <v>41174.14329861111</v>
      </c>
      <c r="C1406">
        <v>80</v>
      </c>
      <c r="D1406">
        <v>79.957328795999999</v>
      </c>
      <c r="E1406">
        <v>60</v>
      </c>
      <c r="F1406">
        <v>48.481449126999998</v>
      </c>
      <c r="G1406">
        <v>1386.1225586</v>
      </c>
      <c r="H1406">
        <v>1370.8859863</v>
      </c>
      <c r="I1406">
        <v>1280.0485839999999</v>
      </c>
      <c r="J1406">
        <v>1257.4393310999999</v>
      </c>
      <c r="K1406">
        <v>2750</v>
      </c>
      <c r="L1406">
        <v>0</v>
      </c>
      <c r="M1406">
        <v>0</v>
      </c>
      <c r="N1406">
        <v>2750</v>
      </c>
    </row>
    <row r="1407" spans="1:14" x14ac:dyDescent="0.25">
      <c r="A1407">
        <v>877.16670699999997</v>
      </c>
      <c r="B1407" s="1">
        <f>DATE(2012,9,24) + TIME(4,0,3)</f>
        <v>41176.166701388887</v>
      </c>
      <c r="C1407">
        <v>80</v>
      </c>
      <c r="D1407">
        <v>79.957382202000005</v>
      </c>
      <c r="E1407">
        <v>60</v>
      </c>
      <c r="F1407">
        <v>48.351257324000002</v>
      </c>
      <c r="G1407">
        <v>1386.059082</v>
      </c>
      <c r="H1407">
        <v>1370.8287353999999</v>
      </c>
      <c r="I1407">
        <v>1279.8880615</v>
      </c>
      <c r="J1407">
        <v>1257.1770019999999</v>
      </c>
      <c r="K1407">
        <v>2750</v>
      </c>
      <c r="L1407">
        <v>0</v>
      </c>
      <c r="M1407">
        <v>0</v>
      </c>
      <c r="N1407">
        <v>2750</v>
      </c>
    </row>
    <row r="1408" spans="1:14" x14ac:dyDescent="0.25">
      <c r="A1408">
        <v>879.22928000000002</v>
      </c>
      <c r="B1408" s="1">
        <f>DATE(2012,9,26) + TIME(5,30,9)</f>
        <v>41178.229270833333</v>
      </c>
      <c r="C1408">
        <v>80</v>
      </c>
      <c r="D1408">
        <v>79.957427979000002</v>
      </c>
      <c r="E1408">
        <v>60</v>
      </c>
      <c r="F1408">
        <v>48.225059508999998</v>
      </c>
      <c r="G1408">
        <v>1385.9949951000001</v>
      </c>
      <c r="H1408">
        <v>1370.7706298999999</v>
      </c>
      <c r="I1408">
        <v>1279.7282714999999</v>
      </c>
      <c r="J1408">
        <v>1256.9157714999999</v>
      </c>
      <c r="K1408">
        <v>2750</v>
      </c>
      <c r="L1408">
        <v>0</v>
      </c>
      <c r="M1408">
        <v>0</v>
      </c>
      <c r="N1408">
        <v>2750</v>
      </c>
    </row>
    <row r="1409" spans="1:14" x14ac:dyDescent="0.25">
      <c r="A1409">
        <v>881.32215499999995</v>
      </c>
      <c r="B1409" s="1">
        <f>DATE(2012,9,28) + TIME(7,43,54)</f>
        <v>41180.322152777779</v>
      </c>
      <c r="C1409">
        <v>80</v>
      </c>
      <c r="D1409">
        <v>79.957473754999995</v>
      </c>
      <c r="E1409">
        <v>60</v>
      </c>
      <c r="F1409">
        <v>48.103511810000001</v>
      </c>
      <c r="G1409">
        <v>1385.9300536999999</v>
      </c>
      <c r="H1409">
        <v>1370.7117920000001</v>
      </c>
      <c r="I1409">
        <v>1279.5693358999999</v>
      </c>
      <c r="J1409">
        <v>1256.6555175999999</v>
      </c>
      <c r="K1409">
        <v>2750</v>
      </c>
      <c r="L1409">
        <v>0</v>
      </c>
      <c r="M1409">
        <v>0</v>
      </c>
      <c r="N1409">
        <v>2750</v>
      </c>
    </row>
    <row r="1410" spans="1:14" x14ac:dyDescent="0.25">
      <c r="A1410">
        <v>883.43541300000004</v>
      </c>
      <c r="B1410" s="1">
        <f>DATE(2012,9,30) + TIME(10,26,59)</f>
        <v>41182.43540509259</v>
      </c>
      <c r="C1410">
        <v>80</v>
      </c>
      <c r="D1410">
        <v>79.957527161000002</v>
      </c>
      <c r="E1410">
        <v>60</v>
      </c>
      <c r="F1410">
        <v>47.987888335999997</v>
      </c>
      <c r="G1410">
        <v>1385.864624</v>
      </c>
      <c r="H1410">
        <v>1370.6524658000001</v>
      </c>
      <c r="I1410">
        <v>1279.4121094</v>
      </c>
      <c r="J1410">
        <v>1256.3979492000001</v>
      </c>
      <c r="K1410">
        <v>2750</v>
      </c>
      <c r="L1410">
        <v>0</v>
      </c>
      <c r="M1410">
        <v>0</v>
      </c>
      <c r="N1410">
        <v>2750</v>
      </c>
    </row>
    <row r="1411" spans="1:14" x14ac:dyDescent="0.25">
      <c r="A1411">
        <v>884</v>
      </c>
      <c r="B1411" s="1">
        <f>DATE(2012,10,1) + TIME(0,0,0)</f>
        <v>41183</v>
      </c>
      <c r="C1411">
        <v>80</v>
      </c>
      <c r="D1411">
        <v>79.957527161000002</v>
      </c>
      <c r="E1411">
        <v>60</v>
      </c>
      <c r="F1411">
        <v>47.924182891999997</v>
      </c>
      <c r="G1411">
        <v>1385.7995605000001</v>
      </c>
      <c r="H1411">
        <v>1370.5933838000001</v>
      </c>
      <c r="I1411">
        <v>1279.2707519999999</v>
      </c>
      <c r="J1411">
        <v>1256.184082</v>
      </c>
      <c r="K1411">
        <v>2750</v>
      </c>
      <c r="L1411">
        <v>0</v>
      </c>
      <c r="M1411">
        <v>0</v>
      </c>
      <c r="N1411">
        <v>2750</v>
      </c>
    </row>
    <row r="1412" spans="1:14" x14ac:dyDescent="0.25">
      <c r="A1412">
        <v>886.13921900000003</v>
      </c>
      <c r="B1412" s="1">
        <f>DATE(2012,10,3) + TIME(3,20,28)</f>
        <v>41185.13921296296</v>
      </c>
      <c r="C1412">
        <v>80</v>
      </c>
      <c r="D1412">
        <v>79.957588196000003</v>
      </c>
      <c r="E1412">
        <v>60</v>
      </c>
      <c r="F1412">
        <v>47.843990325999997</v>
      </c>
      <c r="G1412">
        <v>1385.78125</v>
      </c>
      <c r="H1412">
        <v>1370.5766602000001</v>
      </c>
      <c r="I1412">
        <v>1279.2113036999999</v>
      </c>
      <c r="J1412">
        <v>1256.0651855000001</v>
      </c>
      <c r="K1412">
        <v>2750</v>
      </c>
      <c r="L1412">
        <v>0</v>
      </c>
      <c r="M1412">
        <v>0</v>
      </c>
      <c r="N1412">
        <v>2750</v>
      </c>
    </row>
    <row r="1413" spans="1:14" x14ac:dyDescent="0.25">
      <c r="A1413">
        <v>888.30050200000005</v>
      </c>
      <c r="B1413" s="1">
        <f>DATE(2012,10,5) + TIME(7,12,43)</f>
        <v>41187.300497685188</v>
      </c>
      <c r="C1413">
        <v>80</v>
      </c>
      <c r="D1413">
        <v>79.957633971999996</v>
      </c>
      <c r="E1413">
        <v>60</v>
      </c>
      <c r="F1413">
        <v>47.75258255</v>
      </c>
      <c r="G1413">
        <v>1385.7155762</v>
      </c>
      <c r="H1413">
        <v>1370.5169678</v>
      </c>
      <c r="I1413">
        <v>1279.0656738</v>
      </c>
      <c r="J1413">
        <v>1255.8295897999999</v>
      </c>
      <c r="K1413">
        <v>2750</v>
      </c>
      <c r="L1413">
        <v>0</v>
      </c>
      <c r="M1413">
        <v>0</v>
      </c>
      <c r="N1413">
        <v>2750</v>
      </c>
    </row>
    <row r="1414" spans="1:14" x14ac:dyDescent="0.25">
      <c r="A1414">
        <v>890.48657200000002</v>
      </c>
      <c r="B1414" s="1">
        <f>DATE(2012,10,7) + TIME(11,40,39)</f>
        <v>41189.486562500002</v>
      </c>
      <c r="C1414">
        <v>80</v>
      </c>
      <c r="D1414">
        <v>79.957687378000003</v>
      </c>
      <c r="E1414">
        <v>60</v>
      </c>
      <c r="F1414">
        <v>47.665370940999999</v>
      </c>
      <c r="G1414">
        <v>1385.6495361</v>
      </c>
      <c r="H1414">
        <v>1370.4567870999999</v>
      </c>
      <c r="I1414">
        <v>1278.9200439000001</v>
      </c>
      <c r="J1414">
        <v>1255.5920410000001</v>
      </c>
      <c r="K1414">
        <v>2750</v>
      </c>
      <c r="L1414">
        <v>0</v>
      </c>
      <c r="M1414">
        <v>0</v>
      </c>
      <c r="N1414">
        <v>2750</v>
      </c>
    </row>
    <row r="1415" spans="1:14" x14ac:dyDescent="0.25">
      <c r="A1415">
        <v>891.58516599999996</v>
      </c>
      <c r="B1415" s="1">
        <f>DATE(2012,10,8) + TIME(14,2,38)</f>
        <v>41190.585162037038</v>
      </c>
      <c r="C1415">
        <v>80</v>
      </c>
      <c r="D1415">
        <v>79.957710266000007</v>
      </c>
      <c r="E1415">
        <v>60</v>
      </c>
      <c r="F1415">
        <v>47.602409363</v>
      </c>
      <c r="G1415">
        <v>1385.5831298999999</v>
      </c>
      <c r="H1415">
        <v>1370.3961182</v>
      </c>
      <c r="I1415">
        <v>1278.7838135</v>
      </c>
      <c r="J1415">
        <v>1255.3767089999999</v>
      </c>
      <c r="K1415">
        <v>2750</v>
      </c>
      <c r="L1415">
        <v>0</v>
      </c>
      <c r="M1415">
        <v>0</v>
      </c>
      <c r="N1415">
        <v>2750</v>
      </c>
    </row>
    <row r="1416" spans="1:14" x14ac:dyDescent="0.25">
      <c r="A1416">
        <v>892.68375900000001</v>
      </c>
      <c r="B1416" s="1">
        <f>DATE(2012,10,9) + TIME(16,24,36)</f>
        <v>41191.683749999997</v>
      </c>
      <c r="C1416">
        <v>80</v>
      </c>
      <c r="D1416">
        <v>79.957733153999996</v>
      </c>
      <c r="E1416">
        <v>60</v>
      </c>
      <c r="F1416">
        <v>47.557987212999997</v>
      </c>
      <c r="G1416">
        <v>1385.5495605000001</v>
      </c>
      <c r="H1416">
        <v>1370.3654785000001</v>
      </c>
      <c r="I1416">
        <v>1278.7073975000001</v>
      </c>
      <c r="J1416">
        <v>1255.2484131000001</v>
      </c>
      <c r="K1416">
        <v>2750</v>
      </c>
      <c r="L1416">
        <v>0</v>
      </c>
      <c r="M1416">
        <v>0</v>
      </c>
      <c r="N1416">
        <v>2750</v>
      </c>
    </row>
    <row r="1417" spans="1:14" x14ac:dyDescent="0.25">
      <c r="A1417">
        <v>893.78235299999994</v>
      </c>
      <c r="B1417" s="1">
        <f>DATE(2012,10,10) + TIME(18,46,35)</f>
        <v>41192.782349537039</v>
      </c>
      <c r="C1417">
        <v>80</v>
      </c>
      <c r="D1417">
        <v>79.957756042</v>
      </c>
      <c r="E1417">
        <v>60</v>
      </c>
      <c r="F1417">
        <v>47.522644043</v>
      </c>
      <c r="G1417">
        <v>1385.5164795000001</v>
      </c>
      <c r="H1417">
        <v>1370.3352050999999</v>
      </c>
      <c r="I1417">
        <v>1278.6367187999999</v>
      </c>
      <c r="J1417">
        <v>1255.1319579999999</v>
      </c>
      <c r="K1417">
        <v>2750</v>
      </c>
      <c r="L1417">
        <v>0</v>
      </c>
      <c r="M1417">
        <v>0</v>
      </c>
      <c r="N1417">
        <v>2750</v>
      </c>
    </row>
    <row r="1418" spans="1:14" x14ac:dyDescent="0.25">
      <c r="A1418">
        <v>894.88094599999999</v>
      </c>
      <c r="B1418" s="1">
        <f>DATE(2012,10,11) + TIME(21,8,33)</f>
        <v>41193.880937499998</v>
      </c>
      <c r="C1418">
        <v>80</v>
      </c>
      <c r="D1418">
        <v>79.957786560000002</v>
      </c>
      <c r="E1418">
        <v>60</v>
      </c>
      <c r="F1418">
        <v>47.492668152</v>
      </c>
      <c r="G1418">
        <v>1385.4835204999999</v>
      </c>
      <c r="H1418">
        <v>1370.3051757999999</v>
      </c>
      <c r="I1418">
        <v>1278.5690918</v>
      </c>
      <c r="J1418">
        <v>1255.0219727000001</v>
      </c>
      <c r="K1418">
        <v>2750</v>
      </c>
      <c r="L1418">
        <v>0</v>
      </c>
      <c r="M1418">
        <v>0</v>
      </c>
      <c r="N1418">
        <v>2750</v>
      </c>
    </row>
    <row r="1419" spans="1:14" x14ac:dyDescent="0.25">
      <c r="A1419">
        <v>895.97954000000004</v>
      </c>
      <c r="B1419" s="1">
        <f>DATE(2012,10,12) + TIME(23,30,32)</f>
        <v>41194.979537037034</v>
      </c>
      <c r="C1419">
        <v>80</v>
      </c>
      <c r="D1419">
        <v>79.957809448000006</v>
      </c>
      <c r="E1419">
        <v>60</v>
      </c>
      <c r="F1419">
        <v>47.466609955000003</v>
      </c>
      <c r="G1419">
        <v>1385.4508057</v>
      </c>
      <c r="H1419">
        <v>1370.2751464999999</v>
      </c>
      <c r="I1419">
        <v>1278.503418</v>
      </c>
      <c r="J1419">
        <v>1254.9158935999999</v>
      </c>
      <c r="K1419">
        <v>2750</v>
      </c>
      <c r="L1419">
        <v>0</v>
      </c>
      <c r="M1419">
        <v>0</v>
      </c>
      <c r="N1419">
        <v>2750</v>
      </c>
    </row>
    <row r="1420" spans="1:14" x14ac:dyDescent="0.25">
      <c r="A1420">
        <v>897.07813399999998</v>
      </c>
      <c r="B1420" s="1">
        <f>DATE(2012,10,14) + TIME(1,52,30)</f>
        <v>41196.078125</v>
      </c>
      <c r="C1420">
        <v>80</v>
      </c>
      <c r="D1420">
        <v>79.957832335999996</v>
      </c>
      <c r="E1420">
        <v>60</v>
      </c>
      <c r="F1420">
        <v>47.443893433</v>
      </c>
      <c r="G1420">
        <v>1385.4182129000001</v>
      </c>
      <c r="H1420">
        <v>1370.2452393000001</v>
      </c>
      <c r="I1420">
        <v>1278.4393310999999</v>
      </c>
      <c r="J1420">
        <v>1254.8128661999999</v>
      </c>
      <c r="K1420">
        <v>2750</v>
      </c>
      <c r="L1420">
        <v>0</v>
      </c>
      <c r="M1420">
        <v>0</v>
      </c>
      <c r="N1420">
        <v>2750</v>
      </c>
    </row>
    <row r="1421" spans="1:14" x14ac:dyDescent="0.25">
      <c r="A1421">
        <v>899.27532099999996</v>
      </c>
      <c r="B1421" s="1">
        <f>DATE(2012,10,16) + TIME(6,36,27)</f>
        <v>41198.275312500002</v>
      </c>
      <c r="C1421">
        <v>80</v>
      </c>
      <c r="D1421">
        <v>79.957893372000001</v>
      </c>
      <c r="E1421">
        <v>60</v>
      </c>
      <c r="F1421">
        <v>47.419460297000001</v>
      </c>
      <c r="G1421">
        <v>1385.3858643000001</v>
      </c>
      <c r="H1421">
        <v>1370.2155762</v>
      </c>
      <c r="I1421">
        <v>1278.3724365</v>
      </c>
      <c r="J1421">
        <v>1254.7032471</v>
      </c>
      <c r="K1421">
        <v>2750</v>
      </c>
      <c r="L1421">
        <v>0</v>
      </c>
      <c r="M1421">
        <v>0</v>
      </c>
      <c r="N1421">
        <v>2750</v>
      </c>
    </row>
    <row r="1422" spans="1:14" x14ac:dyDescent="0.25">
      <c r="A1422">
        <v>901.47421699999995</v>
      </c>
      <c r="B1422" s="1">
        <f>DATE(2012,10,18) + TIME(11,22,52)</f>
        <v>41200.474212962959</v>
      </c>
      <c r="C1422">
        <v>80</v>
      </c>
      <c r="D1422">
        <v>79.957946777000004</v>
      </c>
      <c r="E1422">
        <v>60</v>
      </c>
      <c r="F1422">
        <v>47.391689301</v>
      </c>
      <c r="G1422">
        <v>1385.3214111</v>
      </c>
      <c r="H1422">
        <v>1370.1566161999999</v>
      </c>
      <c r="I1422">
        <v>1278.2563477000001</v>
      </c>
      <c r="J1422">
        <v>1254.5205077999999</v>
      </c>
      <c r="K1422">
        <v>2750</v>
      </c>
      <c r="L1422">
        <v>0</v>
      </c>
      <c r="M1422">
        <v>0</v>
      </c>
      <c r="N1422">
        <v>2750</v>
      </c>
    </row>
    <row r="1423" spans="1:14" x14ac:dyDescent="0.25">
      <c r="A1423">
        <v>903.71306400000003</v>
      </c>
      <c r="B1423" s="1">
        <f>DATE(2012,10,20) + TIME(17,6,48)</f>
        <v>41202.713055555556</v>
      </c>
      <c r="C1423">
        <v>80</v>
      </c>
      <c r="D1423">
        <v>79.958000182999996</v>
      </c>
      <c r="E1423">
        <v>60</v>
      </c>
      <c r="F1423">
        <v>47.371986389</v>
      </c>
      <c r="G1423">
        <v>1385.2572021000001</v>
      </c>
      <c r="H1423">
        <v>1370.0977783000001</v>
      </c>
      <c r="I1423">
        <v>1278.1405029</v>
      </c>
      <c r="J1423">
        <v>1254.3378906</v>
      </c>
      <c r="K1423">
        <v>2750</v>
      </c>
      <c r="L1423">
        <v>0</v>
      </c>
      <c r="M1423">
        <v>0</v>
      </c>
      <c r="N1423">
        <v>2750</v>
      </c>
    </row>
    <row r="1424" spans="1:14" x14ac:dyDescent="0.25">
      <c r="A1424">
        <v>905.99789899999996</v>
      </c>
      <c r="B1424" s="1">
        <f>DATE(2012,10,22) + TIME(23,56,58)</f>
        <v>41204.997893518521</v>
      </c>
      <c r="C1424">
        <v>80</v>
      </c>
      <c r="D1424">
        <v>79.958053589000002</v>
      </c>
      <c r="E1424">
        <v>60</v>
      </c>
      <c r="F1424">
        <v>47.362983704000001</v>
      </c>
      <c r="G1424">
        <v>1385.1925048999999</v>
      </c>
      <c r="H1424">
        <v>1370.0383300999999</v>
      </c>
      <c r="I1424">
        <v>1278.0267334</v>
      </c>
      <c r="J1424">
        <v>1254.1600341999999</v>
      </c>
      <c r="K1424">
        <v>2750</v>
      </c>
      <c r="L1424">
        <v>0</v>
      </c>
      <c r="M1424">
        <v>0</v>
      </c>
      <c r="N1424">
        <v>2750</v>
      </c>
    </row>
    <row r="1425" spans="1:14" x14ac:dyDescent="0.25">
      <c r="A1425">
        <v>908.33529899999996</v>
      </c>
      <c r="B1425" s="1">
        <f>DATE(2012,10,25) + TIME(8,2,49)</f>
        <v>41207.335289351853</v>
      </c>
      <c r="C1425">
        <v>80</v>
      </c>
      <c r="D1425">
        <v>79.958106994999994</v>
      </c>
      <c r="E1425">
        <v>60</v>
      </c>
      <c r="F1425">
        <v>47.365516663000001</v>
      </c>
      <c r="G1425">
        <v>1385.1270752</v>
      </c>
      <c r="H1425">
        <v>1369.9782714999999</v>
      </c>
      <c r="I1425">
        <v>1277.9156493999999</v>
      </c>
      <c r="J1425">
        <v>1253.9882812000001</v>
      </c>
      <c r="K1425">
        <v>2750</v>
      </c>
      <c r="L1425">
        <v>0</v>
      </c>
      <c r="M1425">
        <v>0</v>
      </c>
      <c r="N1425">
        <v>2750</v>
      </c>
    </row>
    <row r="1426" spans="1:14" x14ac:dyDescent="0.25">
      <c r="A1426">
        <v>910.72269000000006</v>
      </c>
      <c r="B1426" s="1">
        <f>DATE(2012,10,27) + TIME(17,20,40)</f>
        <v>41209.722685185188</v>
      </c>
      <c r="C1426">
        <v>80</v>
      </c>
      <c r="D1426">
        <v>79.958160399999997</v>
      </c>
      <c r="E1426">
        <v>60</v>
      </c>
      <c r="F1426">
        <v>47.379917145</v>
      </c>
      <c r="G1426">
        <v>1385.0607910000001</v>
      </c>
      <c r="H1426">
        <v>1369.9173584</v>
      </c>
      <c r="I1426">
        <v>1277.8073730000001</v>
      </c>
      <c r="J1426">
        <v>1253.8231201000001</v>
      </c>
      <c r="K1426">
        <v>2750</v>
      </c>
      <c r="L1426">
        <v>0</v>
      </c>
      <c r="M1426">
        <v>0</v>
      </c>
      <c r="N1426">
        <v>2750</v>
      </c>
    </row>
    <row r="1427" spans="1:14" x14ac:dyDescent="0.25">
      <c r="A1427">
        <v>913.11171899999999</v>
      </c>
      <c r="B1427" s="1">
        <f>DATE(2012,10,30) + TIME(2,40,52)</f>
        <v>41212.111712962964</v>
      </c>
      <c r="C1427">
        <v>80</v>
      </c>
      <c r="D1427">
        <v>79.958213806000003</v>
      </c>
      <c r="E1427">
        <v>60</v>
      </c>
      <c r="F1427">
        <v>47.406158447000003</v>
      </c>
      <c r="G1427">
        <v>1384.9938964999999</v>
      </c>
      <c r="H1427">
        <v>1369.8557129000001</v>
      </c>
      <c r="I1427">
        <v>1277.7023925999999</v>
      </c>
      <c r="J1427">
        <v>1253.6651611</v>
      </c>
      <c r="K1427">
        <v>2750</v>
      </c>
      <c r="L1427">
        <v>0</v>
      </c>
      <c r="M1427">
        <v>0</v>
      </c>
      <c r="N1427">
        <v>2750</v>
      </c>
    </row>
    <row r="1428" spans="1:14" x14ac:dyDescent="0.25">
      <c r="A1428">
        <v>915</v>
      </c>
      <c r="B1428" s="1">
        <f>DATE(2012,11,1) + TIME(0,0,0)</f>
        <v>41214</v>
      </c>
      <c r="C1428">
        <v>80</v>
      </c>
      <c r="D1428">
        <v>79.958259583</v>
      </c>
      <c r="E1428">
        <v>60</v>
      </c>
      <c r="F1428">
        <v>47.441314697000003</v>
      </c>
      <c r="G1428">
        <v>1384.9276123</v>
      </c>
      <c r="H1428">
        <v>1369.7946777</v>
      </c>
      <c r="I1428">
        <v>1277.6047363</v>
      </c>
      <c r="J1428">
        <v>1253.5202637</v>
      </c>
      <c r="K1428">
        <v>2750</v>
      </c>
      <c r="L1428">
        <v>0</v>
      </c>
      <c r="M1428">
        <v>0</v>
      </c>
      <c r="N1428">
        <v>2750</v>
      </c>
    </row>
    <row r="1429" spans="1:14" x14ac:dyDescent="0.25">
      <c r="A1429">
        <v>915.000001</v>
      </c>
      <c r="B1429" s="1">
        <f>DATE(2012,11,1) + TIME(0,0,0)</f>
        <v>41214</v>
      </c>
      <c r="C1429">
        <v>80</v>
      </c>
      <c r="D1429">
        <v>79.958114624000004</v>
      </c>
      <c r="E1429">
        <v>60</v>
      </c>
      <c r="F1429">
        <v>47.441463470000002</v>
      </c>
      <c r="G1429">
        <v>1368.7956543</v>
      </c>
      <c r="H1429">
        <v>1354.9230957</v>
      </c>
      <c r="I1429">
        <v>1302.7875977000001</v>
      </c>
      <c r="J1429">
        <v>1278.6616211</v>
      </c>
      <c r="K1429">
        <v>0</v>
      </c>
      <c r="L1429">
        <v>2750</v>
      </c>
      <c r="M1429">
        <v>2750</v>
      </c>
      <c r="N1429">
        <v>0</v>
      </c>
    </row>
    <row r="1430" spans="1:14" x14ac:dyDescent="0.25">
      <c r="A1430">
        <v>915.00000399999999</v>
      </c>
      <c r="B1430" s="1">
        <f>DATE(2012,11,1) + TIME(0,0,0)</f>
        <v>41214</v>
      </c>
      <c r="C1430">
        <v>80</v>
      </c>
      <c r="D1430">
        <v>79.957756042</v>
      </c>
      <c r="E1430">
        <v>60</v>
      </c>
      <c r="F1430">
        <v>47.441871642999999</v>
      </c>
      <c r="G1430">
        <v>1366.2718506000001</v>
      </c>
      <c r="H1430">
        <v>1352.3986815999999</v>
      </c>
      <c r="I1430">
        <v>1305.5186768000001</v>
      </c>
      <c r="J1430">
        <v>1281.4924315999999</v>
      </c>
      <c r="K1430">
        <v>0</v>
      </c>
      <c r="L1430">
        <v>2750</v>
      </c>
      <c r="M1430">
        <v>2750</v>
      </c>
      <c r="N1430">
        <v>0</v>
      </c>
    </row>
    <row r="1431" spans="1:14" x14ac:dyDescent="0.25">
      <c r="A1431">
        <v>915.00001299999997</v>
      </c>
      <c r="B1431" s="1">
        <f>DATE(2012,11,1) + TIME(0,0,1)</f>
        <v>41214.000011574077</v>
      </c>
      <c r="C1431">
        <v>80</v>
      </c>
      <c r="D1431">
        <v>79.95703125</v>
      </c>
      <c r="E1431">
        <v>60</v>
      </c>
      <c r="F1431">
        <v>47.442829132</v>
      </c>
      <c r="G1431">
        <v>1361.1773682</v>
      </c>
      <c r="H1431">
        <v>1347.3035889</v>
      </c>
      <c r="I1431">
        <v>1311.7661132999999</v>
      </c>
      <c r="J1431">
        <v>1287.901001</v>
      </c>
      <c r="K1431">
        <v>0</v>
      </c>
      <c r="L1431">
        <v>2750</v>
      </c>
      <c r="M1431">
        <v>2750</v>
      </c>
      <c r="N1431">
        <v>0</v>
      </c>
    </row>
    <row r="1432" spans="1:14" x14ac:dyDescent="0.25">
      <c r="A1432">
        <v>915.00004000000001</v>
      </c>
      <c r="B1432" s="1">
        <f>DATE(2012,11,1) + TIME(0,0,3)</f>
        <v>41214.000034722223</v>
      </c>
      <c r="C1432">
        <v>80</v>
      </c>
      <c r="D1432">
        <v>79.955970764</v>
      </c>
      <c r="E1432">
        <v>60</v>
      </c>
      <c r="F1432">
        <v>47.444660186999997</v>
      </c>
      <c r="G1432">
        <v>1353.7344971</v>
      </c>
      <c r="H1432">
        <v>1339.8630370999999</v>
      </c>
      <c r="I1432">
        <v>1322.4870605000001</v>
      </c>
      <c r="J1432">
        <v>1298.7276611</v>
      </c>
      <c r="K1432">
        <v>0</v>
      </c>
      <c r="L1432">
        <v>2750</v>
      </c>
      <c r="M1432">
        <v>2750</v>
      </c>
      <c r="N1432">
        <v>0</v>
      </c>
    </row>
    <row r="1433" spans="1:14" x14ac:dyDescent="0.25">
      <c r="A1433">
        <v>915.00012100000004</v>
      </c>
      <c r="B1433" s="1">
        <f>DATE(2012,11,1) + TIME(0,0,10)</f>
        <v>41214.000115740739</v>
      </c>
      <c r="C1433">
        <v>80</v>
      </c>
      <c r="D1433">
        <v>79.954772949000002</v>
      </c>
      <c r="E1433">
        <v>60</v>
      </c>
      <c r="F1433">
        <v>47.447772980000003</v>
      </c>
      <c r="G1433">
        <v>1345.4521483999999</v>
      </c>
      <c r="H1433">
        <v>1331.5864257999999</v>
      </c>
      <c r="I1433">
        <v>1335.9232178</v>
      </c>
      <c r="J1433">
        <v>1312.1583252</v>
      </c>
      <c r="K1433">
        <v>0</v>
      </c>
      <c r="L1433">
        <v>2750</v>
      </c>
      <c r="M1433">
        <v>2750</v>
      </c>
      <c r="N1433">
        <v>0</v>
      </c>
    </row>
    <row r="1434" spans="1:14" x14ac:dyDescent="0.25">
      <c r="A1434">
        <v>915.00036399999999</v>
      </c>
      <c r="B1434" s="1">
        <f>DATE(2012,11,1) + TIME(0,0,31)</f>
        <v>41214.000358796293</v>
      </c>
      <c r="C1434">
        <v>80</v>
      </c>
      <c r="D1434">
        <v>79.953544617000006</v>
      </c>
      <c r="E1434">
        <v>60</v>
      </c>
      <c r="F1434">
        <v>47.453853606999999</v>
      </c>
      <c r="G1434">
        <v>1337.1275635</v>
      </c>
      <c r="H1434">
        <v>1323.2698975000001</v>
      </c>
      <c r="I1434">
        <v>1350.0277100000001</v>
      </c>
      <c r="J1434">
        <v>1326.2330322</v>
      </c>
      <c r="K1434">
        <v>0</v>
      </c>
      <c r="L1434">
        <v>2750</v>
      </c>
      <c r="M1434">
        <v>2750</v>
      </c>
      <c r="N1434">
        <v>0</v>
      </c>
    </row>
    <row r="1435" spans="1:14" x14ac:dyDescent="0.25">
      <c r="A1435">
        <v>915.00109299999997</v>
      </c>
      <c r="B1435" s="1">
        <f>DATE(2012,11,1) + TIME(0,1,34)</f>
        <v>41214.001087962963</v>
      </c>
      <c r="C1435">
        <v>80</v>
      </c>
      <c r="D1435">
        <v>79.952194214000002</v>
      </c>
      <c r="E1435">
        <v>60</v>
      </c>
      <c r="F1435">
        <v>47.468635558999999</v>
      </c>
      <c r="G1435">
        <v>1328.7650146000001</v>
      </c>
      <c r="H1435">
        <v>1314.8933105000001</v>
      </c>
      <c r="I1435">
        <v>1364.4392089999999</v>
      </c>
      <c r="J1435">
        <v>1340.5991211</v>
      </c>
      <c r="K1435">
        <v>0</v>
      </c>
      <c r="L1435">
        <v>2750</v>
      </c>
      <c r="M1435">
        <v>2750</v>
      </c>
      <c r="N1435">
        <v>0</v>
      </c>
    </row>
    <row r="1436" spans="1:14" x14ac:dyDescent="0.25">
      <c r="A1436">
        <v>915.00328000000002</v>
      </c>
      <c r="B1436" s="1">
        <f>DATE(2012,11,1) + TIME(0,4,43)</f>
        <v>41214.003275462965</v>
      </c>
      <c r="C1436">
        <v>80</v>
      </c>
      <c r="D1436">
        <v>79.950469971000004</v>
      </c>
      <c r="E1436">
        <v>60</v>
      </c>
      <c r="F1436">
        <v>47.509513855000002</v>
      </c>
      <c r="G1436">
        <v>1320.0920410000001</v>
      </c>
      <c r="H1436">
        <v>1306.1187743999999</v>
      </c>
      <c r="I1436">
        <v>1379.276001</v>
      </c>
      <c r="J1436">
        <v>1355.3359375</v>
      </c>
      <c r="K1436">
        <v>0</v>
      </c>
      <c r="L1436">
        <v>2750</v>
      </c>
      <c r="M1436">
        <v>2750</v>
      </c>
      <c r="N1436">
        <v>0</v>
      </c>
    </row>
    <row r="1437" spans="1:14" x14ac:dyDescent="0.25">
      <c r="A1437">
        <v>915.00984100000005</v>
      </c>
      <c r="B1437" s="1">
        <f>DATE(2012,11,1) + TIME(0,14,10)</f>
        <v>41214.009837962964</v>
      </c>
      <c r="C1437">
        <v>80</v>
      </c>
      <c r="D1437">
        <v>79.947731017999999</v>
      </c>
      <c r="E1437">
        <v>60</v>
      </c>
      <c r="F1437">
        <v>47.628124237000002</v>
      </c>
      <c r="G1437">
        <v>1311.1885986</v>
      </c>
      <c r="H1437">
        <v>1297.0705565999999</v>
      </c>
      <c r="I1437">
        <v>1393.4415283000001</v>
      </c>
      <c r="J1437">
        <v>1369.3743896000001</v>
      </c>
      <c r="K1437">
        <v>0</v>
      </c>
      <c r="L1437">
        <v>2750</v>
      </c>
      <c r="M1437">
        <v>2750</v>
      </c>
      <c r="N1437">
        <v>0</v>
      </c>
    </row>
    <row r="1438" spans="1:14" x14ac:dyDescent="0.25">
      <c r="A1438">
        <v>915.02952400000004</v>
      </c>
      <c r="B1438" s="1">
        <f>DATE(2012,11,1) + TIME(0,42,30)</f>
        <v>41214.029513888891</v>
      </c>
      <c r="C1438">
        <v>80</v>
      </c>
      <c r="D1438">
        <v>79.942314147999994</v>
      </c>
      <c r="E1438">
        <v>60</v>
      </c>
      <c r="F1438">
        <v>47.972354889000002</v>
      </c>
      <c r="G1438">
        <v>1303.6627197</v>
      </c>
      <c r="H1438">
        <v>1289.4648437999999</v>
      </c>
      <c r="I1438">
        <v>1403.7459716999999</v>
      </c>
      <c r="J1438">
        <v>1379.6696777</v>
      </c>
      <c r="K1438">
        <v>0</v>
      </c>
      <c r="L1438">
        <v>2750</v>
      </c>
      <c r="M1438">
        <v>2750</v>
      </c>
      <c r="N1438">
        <v>0</v>
      </c>
    </row>
    <row r="1439" spans="1:14" x14ac:dyDescent="0.25">
      <c r="A1439">
        <v>915.06420100000003</v>
      </c>
      <c r="B1439" s="1">
        <f>DATE(2012,11,1) + TIME(1,32,26)</f>
        <v>41214.064189814817</v>
      </c>
      <c r="C1439">
        <v>80</v>
      </c>
      <c r="D1439">
        <v>79.934326171999999</v>
      </c>
      <c r="E1439">
        <v>60</v>
      </c>
      <c r="F1439">
        <v>48.549705504999999</v>
      </c>
      <c r="G1439">
        <v>1300.1800536999999</v>
      </c>
      <c r="H1439">
        <v>1285.9598389</v>
      </c>
      <c r="I1439">
        <v>1407.3983154</v>
      </c>
      <c r="J1439">
        <v>1383.4887695</v>
      </c>
      <c r="K1439">
        <v>0</v>
      </c>
      <c r="L1439">
        <v>2750</v>
      </c>
      <c r="M1439">
        <v>2750</v>
      </c>
      <c r="N1439">
        <v>0</v>
      </c>
    </row>
    <row r="1440" spans="1:14" x14ac:dyDescent="0.25">
      <c r="A1440">
        <v>915.10017700000003</v>
      </c>
      <c r="B1440" s="1">
        <f>DATE(2012,11,1) + TIME(2,24,15)</f>
        <v>41214.100173611114</v>
      </c>
      <c r="C1440">
        <v>80</v>
      </c>
      <c r="D1440">
        <v>79.926498413000004</v>
      </c>
      <c r="E1440">
        <v>60</v>
      </c>
      <c r="F1440">
        <v>49.119430542000003</v>
      </c>
      <c r="G1440">
        <v>1299.0739745999999</v>
      </c>
      <c r="H1440">
        <v>1284.8482666</v>
      </c>
      <c r="I1440">
        <v>1408.0169678</v>
      </c>
      <c r="J1440">
        <v>1384.3015137</v>
      </c>
      <c r="K1440">
        <v>0</v>
      </c>
      <c r="L1440">
        <v>2750</v>
      </c>
      <c r="M1440">
        <v>2750</v>
      </c>
      <c r="N1440">
        <v>0</v>
      </c>
    </row>
    <row r="1441" spans="1:14" x14ac:dyDescent="0.25">
      <c r="A1441">
        <v>915.13739699999996</v>
      </c>
      <c r="B1441" s="1">
        <f>DATE(2012,11,1) + TIME(3,17,51)</f>
        <v>41214.137395833335</v>
      </c>
      <c r="C1441">
        <v>80</v>
      </c>
      <c r="D1441">
        <v>79.918617248999993</v>
      </c>
      <c r="E1441">
        <v>60</v>
      </c>
      <c r="F1441">
        <v>49.679096221999998</v>
      </c>
      <c r="G1441">
        <v>1298.6898193</v>
      </c>
      <c r="H1441">
        <v>1284.4621582</v>
      </c>
      <c r="I1441">
        <v>1407.8874512</v>
      </c>
      <c r="J1441">
        <v>1384.3699951000001</v>
      </c>
      <c r="K1441">
        <v>0</v>
      </c>
      <c r="L1441">
        <v>2750</v>
      </c>
      <c r="M1441">
        <v>2750</v>
      </c>
      <c r="N1441">
        <v>0</v>
      </c>
    </row>
    <row r="1442" spans="1:14" x14ac:dyDescent="0.25">
      <c r="A1442">
        <v>915.17592200000001</v>
      </c>
      <c r="B1442" s="1">
        <f>DATE(2012,11,1) + TIME(4,13,19)</f>
        <v>41214.17591435185</v>
      </c>
      <c r="C1442">
        <v>80</v>
      </c>
      <c r="D1442">
        <v>79.910621642999999</v>
      </c>
      <c r="E1442">
        <v>60</v>
      </c>
      <c r="F1442">
        <v>50.228004456000001</v>
      </c>
      <c r="G1442">
        <v>1298.5454102000001</v>
      </c>
      <c r="H1442">
        <v>1284.3167725000001</v>
      </c>
      <c r="I1442">
        <v>1407.5872803</v>
      </c>
      <c r="J1442">
        <v>1384.2635498</v>
      </c>
      <c r="K1442">
        <v>0</v>
      </c>
      <c r="L1442">
        <v>2750</v>
      </c>
      <c r="M1442">
        <v>2750</v>
      </c>
      <c r="N1442">
        <v>0</v>
      </c>
    </row>
    <row r="1443" spans="1:14" x14ac:dyDescent="0.25">
      <c r="A1443">
        <v>915.21585400000004</v>
      </c>
      <c r="B1443" s="1">
        <f>DATE(2012,11,1) + TIME(5,10,49)</f>
        <v>41214.215844907405</v>
      </c>
      <c r="C1443">
        <v>80</v>
      </c>
      <c r="D1443">
        <v>79.902465820000003</v>
      </c>
      <c r="E1443">
        <v>60</v>
      </c>
      <c r="F1443">
        <v>50.765949249000002</v>
      </c>
      <c r="G1443">
        <v>1298.4868164</v>
      </c>
      <c r="H1443">
        <v>1284.2575684000001</v>
      </c>
      <c r="I1443">
        <v>1407.2624512</v>
      </c>
      <c r="J1443">
        <v>1384.1263428</v>
      </c>
      <c r="K1443">
        <v>0</v>
      </c>
      <c r="L1443">
        <v>2750</v>
      </c>
      <c r="M1443">
        <v>2750</v>
      </c>
      <c r="N1443">
        <v>0</v>
      </c>
    </row>
    <row r="1444" spans="1:14" x14ac:dyDescent="0.25">
      <c r="A1444">
        <v>915.25731499999995</v>
      </c>
      <c r="B1444" s="1">
        <f>DATE(2012,11,1) + TIME(6,10,32)</f>
        <v>41214.257314814815</v>
      </c>
      <c r="C1444">
        <v>80</v>
      </c>
      <c r="D1444">
        <v>79.894134520999998</v>
      </c>
      <c r="E1444">
        <v>60</v>
      </c>
      <c r="F1444">
        <v>51.293033600000001</v>
      </c>
      <c r="G1444">
        <v>1298.4610596</v>
      </c>
      <c r="H1444">
        <v>1284.2313231999999</v>
      </c>
      <c r="I1444">
        <v>1406.9459228999999</v>
      </c>
      <c r="J1444">
        <v>1383.9912108999999</v>
      </c>
      <c r="K1444">
        <v>0</v>
      </c>
      <c r="L1444">
        <v>2750</v>
      </c>
      <c r="M1444">
        <v>2750</v>
      </c>
      <c r="N1444">
        <v>0</v>
      </c>
    </row>
    <row r="1445" spans="1:14" x14ac:dyDescent="0.25">
      <c r="A1445">
        <v>915.30044499999997</v>
      </c>
      <c r="B1445" s="1">
        <f>DATE(2012,11,1) + TIME(7,12,38)</f>
        <v>41214.300439814811</v>
      </c>
      <c r="C1445">
        <v>80</v>
      </c>
      <c r="D1445">
        <v>79.885597228999998</v>
      </c>
      <c r="E1445">
        <v>60</v>
      </c>
      <c r="F1445">
        <v>51.809207915999998</v>
      </c>
      <c r="G1445">
        <v>1298.4487305</v>
      </c>
      <c r="H1445">
        <v>1284.2186279</v>
      </c>
      <c r="I1445">
        <v>1406.6424560999999</v>
      </c>
      <c r="J1445">
        <v>1383.8626709</v>
      </c>
      <c r="K1445">
        <v>0</v>
      </c>
      <c r="L1445">
        <v>2750</v>
      </c>
      <c r="M1445">
        <v>2750</v>
      </c>
      <c r="N1445">
        <v>0</v>
      </c>
    </row>
    <row r="1446" spans="1:14" x14ac:dyDescent="0.25">
      <c r="A1446">
        <v>915.34540300000003</v>
      </c>
      <c r="B1446" s="1">
        <f>DATE(2012,11,1) + TIME(8,17,22)</f>
        <v>41214.345393518517</v>
      </c>
      <c r="C1446">
        <v>80</v>
      </c>
      <c r="D1446">
        <v>79.876838684000006</v>
      </c>
      <c r="E1446">
        <v>60</v>
      </c>
      <c r="F1446">
        <v>52.314430237000003</v>
      </c>
      <c r="G1446">
        <v>1298.4422606999999</v>
      </c>
      <c r="H1446">
        <v>1284.2116699000001</v>
      </c>
      <c r="I1446">
        <v>1406.3508300999999</v>
      </c>
      <c r="J1446">
        <v>1383.7397461</v>
      </c>
      <c r="K1446">
        <v>0</v>
      </c>
      <c r="L1446">
        <v>2750</v>
      </c>
      <c r="M1446">
        <v>2750</v>
      </c>
      <c r="N1446">
        <v>0</v>
      </c>
    </row>
    <row r="1447" spans="1:14" x14ac:dyDescent="0.25">
      <c r="A1447">
        <v>915.39236400000004</v>
      </c>
      <c r="B1447" s="1">
        <f>DATE(2012,11,1) + TIME(9,25,0)</f>
        <v>41214.392361111109</v>
      </c>
      <c r="C1447">
        <v>80</v>
      </c>
      <c r="D1447">
        <v>79.867835998999993</v>
      </c>
      <c r="E1447">
        <v>60</v>
      </c>
      <c r="F1447">
        <v>52.808528899999999</v>
      </c>
      <c r="G1447">
        <v>1298.4382324000001</v>
      </c>
      <c r="H1447">
        <v>1284.2071533000001</v>
      </c>
      <c r="I1447">
        <v>1406.0693358999999</v>
      </c>
      <c r="J1447">
        <v>1383.6210937999999</v>
      </c>
      <c r="K1447">
        <v>0</v>
      </c>
      <c r="L1447">
        <v>2750</v>
      </c>
      <c r="M1447">
        <v>2750</v>
      </c>
      <c r="N1447">
        <v>0</v>
      </c>
    </row>
    <row r="1448" spans="1:14" x14ac:dyDescent="0.25">
      <c r="A1448">
        <v>915.44154200000003</v>
      </c>
      <c r="B1448" s="1">
        <f>DATE(2012,11,1) + TIME(10,35,49)</f>
        <v>41214.44153935185</v>
      </c>
      <c r="C1448">
        <v>80</v>
      </c>
      <c r="D1448">
        <v>79.858558654999996</v>
      </c>
      <c r="E1448">
        <v>60</v>
      </c>
      <c r="F1448">
        <v>53.291473388999997</v>
      </c>
      <c r="G1448">
        <v>1298.4353027</v>
      </c>
      <c r="H1448">
        <v>1284.2037353999999</v>
      </c>
      <c r="I1448">
        <v>1405.7965088000001</v>
      </c>
      <c r="J1448">
        <v>1383.5053711</v>
      </c>
      <c r="K1448">
        <v>0</v>
      </c>
      <c r="L1448">
        <v>2750</v>
      </c>
      <c r="M1448">
        <v>2750</v>
      </c>
      <c r="N1448">
        <v>0</v>
      </c>
    </row>
    <row r="1449" spans="1:14" x14ac:dyDescent="0.25">
      <c r="A1449">
        <v>915.49318200000005</v>
      </c>
      <c r="B1449" s="1">
        <f>DATE(2012,11,1) + TIME(11,50,10)</f>
        <v>41214.493171296293</v>
      </c>
      <c r="C1449">
        <v>80</v>
      </c>
      <c r="D1449">
        <v>79.848968506000006</v>
      </c>
      <c r="E1449">
        <v>60</v>
      </c>
      <c r="F1449">
        <v>53.763149261000002</v>
      </c>
      <c r="G1449">
        <v>1298.4327393000001</v>
      </c>
      <c r="H1449">
        <v>1284.2006836</v>
      </c>
      <c r="I1449">
        <v>1405.5314940999999</v>
      </c>
      <c r="J1449">
        <v>1383.3919678</v>
      </c>
      <c r="K1449">
        <v>0</v>
      </c>
      <c r="L1449">
        <v>2750</v>
      </c>
      <c r="M1449">
        <v>2750</v>
      </c>
      <c r="N1449">
        <v>0</v>
      </c>
    </row>
    <row r="1450" spans="1:14" x14ac:dyDescent="0.25">
      <c r="A1450">
        <v>915.54756699999996</v>
      </c>
      <c r="B1450" s="1">
        <f>DATE(2012,11,1) + TIME(13,8,29)</f>
        <v>41214.54755787037</v>
      </c>
      <c r="C1450">
        <v>80</v>
      </c>
      <c r="D1450">
        <v>79.839027404999996</v>
      </c>
      <c r="E1450">
        <v>60</v>
      </c>
      <c r="F1450">
        <v>54.223400116000001</v>
      </c>
      <c r="G1450">
        <v>1298.4302978999999</v>
      </c>
      <c r="H1450">
        <v>1284.1977539</v>
      </c>
      <c r="I1450">
        <v>1405.2736815999999</v>
      </c>
      <c r="J1450">
        <v>1383.2803954999999</v>
      </c>
      <c r="K1450">
        <v>0</v>
      </c>
      <c r="L1450">
        <v>2750</v>
      </c>
      <c r="M1450">
        <v>2750</v>
      </c>
      <c r="N1450">
        <v>0</v>
      </c>
    </row>
    <row r="1451" spans="1:14" x14ac:dyDescent="0.25">
      <c r="A1451">
        <v>915.60502799999995</v>
      </c>
      <c r="B1451" s="1">
        <f>DATE(2012,11,1) + TIME(14,31,14)</f>
        <v>41214.605023148149</v>
      </c>
      <c r="C1451">
        <v>80</v>
      </c>
      <c r="D1451">
        <v>79.828704834000007</v>
      </c>
      <c r="E1451">
        <v>60</v>
      </c>
      <c r="F1451">
        <v>54.672019958</v>
      </c>
      <c r="G1451">
        <v>1298.4277344</v>
      </c>
      <c r="H1451">
        <v>1284.1947021000001</v>
      </c>
      <c r="I1451">
        <v>1405.0224608999999</v>
      </c>
      <c r="J1451">
        <v>1383.1701660000001</v>
      </c>
      <c r="K1451">
        <v>0</v>
      </c>
      <c r="L1451">
        <v>2750</v>
      </c>
      <c r="M1451">
        <v>2750</v>
      </c>
      <c r="N1451">
        <v>0</v>
      </c>
    </row>
    <row r="1452" spans="1:14" x14ac:dyDescent="0.25">
      <c r="A1452">
        <v>915.66595800000005</v>
      </c>
      <c r="B1452" s="1">
        <f>DATE(2012,11,1) + TIME(15,58,58)</f>
        <v>41214.665949074071</v>
      </c>
      <c r="C1452">
        <v>80</v>
      </c>
      <c r="D1452">
        <v>79.817939757999994</v>
      </c>
      <c r="E1452">
        <v>60</v>
      </c>
      <c r="F1452">
        <v>55.108768462999997</v>
      </c>
      <c r="G1452">
        <v>1298.4250488</v>
      </c>
      <c r="H1452">
        <v>1284.1915283000001</v>
      </c>
      <c r="I1452">
        <v>1404.7774658000001</v>
      </c>
      <c r="J1452">
        <v>1383.0611572</v>
      </c>
      <c r="K1452">
        <v>0</v>
      </c>
      <c r="L1452">
        <v>2750</v>
      </c>
      <c r="M1452">
        <v>2750</v>
      </c>
      <c r="N1452">
        <v>0</v>
      </c>
    </row>
    <row r="1453" spans="1:14" x14ac:dyDescent="0.25">
      <c r="A1453">
        <v>915.73082899999997</v>
      </c>
      <c r="B1453" s="1">
        <f>DATE(2012,11,1) + TIME(17,32,23)</f>
        <v>41214.730821759258</v>
      </c>
      <c r="C1453">
        <v>80</v>
      </c>
      <c r="D1453">
        <v>79.806671143000003</v>
      </c>
      <c r="E1453">
        <v>60</v>
      </c>
      <c r="F1453">
        <v>55.533367157000001</v>
      </c>
      <c r="G1453">
        <v>1298.4222411999999</v>
      </c>
      <c r="H1453">
        <v>1284.1881103999999</v>
      </c>
      <c r="I1453">
        <v>1404.5383300999999</v>
      </c>
      <c r="J1453">
        <v>1382.9528809000001</v>
      </c>
      <c r="K1453">
        <v>0</v>
      </c>
      <c r="L1453">
        <v>2750</v>
      </c>
      <c r="M1453">
        <v>2750</v>
      </c>
      <c r="N1453">
        <v>0</v>
      </c>
    </row>
    <row r="1454" spans="1:14" x14ac:dyDescent="0.25">
      <c r="A1454">
        <v>915.80020999999999</v>
      </c>
      <c r="B1454" s="1">
        <f>DATE(2012,11,1) + TIME(19,12,18)</f>
        <v>41214.800208333334</v>
      </c>
      <c r="C1454">
        <v>80</v>
      </c>
      <c r="D1454">
        <v>79.794830321999996</v>
      </c>
      <c r="E1454">
        <v>60</v>
      </c>
      <c r="F1454">
        <v>55.945465087999999</v>
      </c>
      <c r="G1454">
        <v>1298.4193115</v>
      </c>
      <c r="H1454">
        <v>1284.1845702999999</v>
      </c>
      <c r="I1454">
        <v>1404.3046875</v>
      </c>
      <c r="J1454">
        <v>1382.8452147999999</v>
      </c>
      <c r="K1454">
        <v>0</v>
      </c>
      <c r="L1454">
        <v>2750</v>
      </c>
      <c r="M1454">
        <v>2750</v>
      </c>
      <c r="N1454">
        <v>0</v>
      </c>
    </row>
    <row r="1455" spans="1:14" x14ac:dyDescent="0.25">
      <c r="A1455">
        <v>915.87479699999994</v>
      </c>
      <c r="B1455" s="1">
        <f>DATE(2012,11,1) + TIME(20,59,42)</f>
        <v>41214.874791666669</v>
      </c>
      <c r="C1455">
        <v>80</v>
      </c>
      <c r="D1455">
        <v>79.782333374000004</v>
      </c>
      <c r="E1455">
        <v>60</v>
      </c>
      <c r="F1455">
        <v>56.344665526999997</v>
      </c>
      <c r="G1455">
        <v>1298.4160156</v>
      </c>
      <c r="H1455">
        <v>1284.1806641000001</v>
      </c>
      <c r="I1455">
        <v>1404.0759277</v>
      </c>
      <c r="J1455">
        <v>1382.7376709</v>
      </c>
      <c r="K1455">
        <v>0</v>
      </c>
      <c r="L1455">
        <v>2750</v>
      </c>
      <c r="M1455">
        <v>2750</v>
      </c>
      <c r="N1455">
        <v>0</v>
      </c>
    </row>
    <row r="1456" spans="1:14" x14ac:dyDescent="0.25">
      <c r="A1456">
        <v>915.95545600000003</v>
      </c>
      <c r="B1456" s="1">
        <f>DATE(2012,11,1) + TIME(22,55,51)</f>
        <v>41214.955451388887</v>
      </c>
      <c r="C1456">
        <v>80</v>
      </c>
      <c r="D1456">
        <v>79.769065857000001</v>
      </c>
      <c r="E1456">
        <v>60</v>
      </c>
      <c r="F1456">
        <v>56.730484009000001</v>
      </c>
      <c r="G1456">
        <v>1298.4125977000001</v>
      </c>
      <c r="H1456">
        <v>1284.1765137</v>
      </c>
      <c r="I1456">
        <v>1403.8518065999999</v>
      </c>
      <c r="J1456">
        <v>1382.6301269999999</v>
      </c>
      <c r="K1456">
        <v>0</v>
      </c>
      <c r="L1456">
        <v>2750</v>
      </c>
      <c r="M1456">
        <v>2750</v>
      </c>
      <c r="N1456">
        <v>0</v>
      </c>
    </row>
    <row r="1457" spans="1:14" x14ac:dyDescent="0.25">
      <c r="A1457">
        <v>916.04328399999997</v>
      </c>
      <c r="B1457" s="1">
        <f>DATE(2012,11,2) + TIME(1,2,19)</f>
        <v>41215.043275462966</v>
      </c>
      <c r="C1457">
        <v>80</v>
      </c>
      <c r="D1457">
        <v>79.754898071</v>
      </c>
      <c r="E1457">
        <v>60</v>
      </c>
      <c r="F1457">
        <v>57.102375031000001</v>
      </c>
      <c r="G1457">
        <v>1298.4088135</v>
      </c>
      <c r="H1457">
        <v>1284.1721190999999</v>
      </c>
      <c r="I1457">
        <v>1403.6318358999999</v>
      </c>
      <c r="J1457">
        <v>1382.5219727000001</v>
      </c>
      <c r="K1457">
        <v>0</v>
      </c>
      <c r="L1457">
        <v>2750</v>
      </c>
      <c r="M1457">
        <v>2750</v>
      </c>
      <c r="N1457">
        <v>0</v>
      </c>
    </row>
    <row r="1458" spans="1:14" x14ac:dyDescent="0.25">
      <c r="A1458">
        <v>916.139724</v>
      </c>
      <c r="B1458" s="1">
        <f>DATE(2012,11,2) + TIME(3,21,12)</f>
        <v>41215.139722222222</v>
      </c>
      <c r="C1458">
        <v>80</v>
      </c>
      <c r="D1458">
        <v>79.739654540999993</v>
      </c>
      <c r="E1458">
        <v>60</v>
      </c>
      <c r="F1458">
        <v>57.459766387999998</v>
      </c>
      <c r="G1458">
        <v>1298.4047852000001</v>
      </c>
      <c r="H1458">
        <v>1284.1672363</v>
      </c>
      <c r="I1458">
        <v>1403.4154053</v>
      </c>
      <c r="J1458">
        <v>1382.4128418</v>
      </c>
      <c r="K1458">
        <v>0</v>
      </c>
      <c r="L1458">
        <v>2750</v>
      </c>
      <c r="M1458">
        <v>2750</v>
      </c>
      <c r="N1458">
        <v>0</v>
      </c>
    </row>
    <row r="1459" spans="1:14" x14ac:dyDescent="0.25">
      <c r="A1459">
        <v>916.24658599999998</v>
      </c>
      <c r="B1459" s="1">
        <f>DATE(2012,11,2) + TIME(5,55,5)</f>
        <v>41215.24658564815</v>
      </c>
      <c r="C1459">
        <v>80</v>
      </c>
      <c r="D1459">
        <v>79.723129271999994</v>
      </c>
      <c r="E1459">
        <v>60</v>
      </c>
      <c r="F1459">
        <v>57.801700592000003</v>
      </c>
      <c r="G1459">
        <v>1298.4002685999999</v>
      </c>
      <c r="H1459">
        <v>1284.1619873</v>
      </c>
      <c r="I1459">
        <v>1403.2021483999999</v>
      </c>
      <c r="J1459">
        <v>1382.3022461</v>
      </c>
      <c r="K1459">
        <v>0</v>
      </c>
      <c r="L1459">
        <v>2750</v>
      </c>
      <c r="M1459">
        <v>2750</v>
      </c>
      <c r="N1459">
        <v>0</v>
      </c>
    </row>
    <row r="1460" spans="1:14" x14ac:dyDescent="0.25">
      <c r="A1460">
        <v>916.36635100000001</v>
      </c>
      <c r="B1460" s="1">
        <f>DATE(2012,11,2) + TIME(8,47,32)</f>
        <v>41215.366342592592</v>
      </c>
      <c r="C1460">
        <v>80</v>
      </c>
      <c r="D1460">
        <v>79.705024718999994</v>
      </c>
      <c r="E1460">
        <v>60</v>
      </c>
      <c r="F1460">
        <v>58.127162933000001</v>
      </c>
      <c r="G1460">
        <v>1298.3953856999999</v>
      </c>
      <c r="H1460">
        <v>1284.1561279</v>
      </c>
      <c r="I1460">
        <v>1402.9913329999999</v>
      </c>
      <c r="J1460">
        <v>1382.1894531</v>
      </c>
      <c r="K1460">
        <v>0</v>
      </c>
      <c r="L1460">
        <v>2750</v>
      </c>
      <c r="M1460">
        <v>2750</v>
      </c>
      <c r="N1460">
        <v>0</v>
      </c>
    </row>
    <row r="1461" spans="1:14" x14ac:dyDescent="0.25">
      <c r="A1461">
        <v>916.50245500000005</v>
      </c>
      <c r="B1461" s="1">
        <f>DATE(2012,11,2) + TIME(12,3,32)</f>
        <v>41215.502453703702</v>
      </c>
      <c r="C1461">
        <v>80</v>
      </c>
      <c r="D1461">
        <v>79.684967040999993</v>
      </c>
      <c r="E1461">
        <v>60</v>
      </c>
      <c r="F1461">
        <v>58.434913635000001</v>
      </c>
      <c r="G1461">
        <v>1298.3898925999999</v>
      </c>
      <c r="H1461">
        <v>1284.1496582</v>
      </c>
      <c r="I1461">
        <v>1402.7823486</v>
      </c>
      <c r="J1461">
        <v>1382.0736084</v>
      </c>
      <c r="K1461">
        <v>0</v>
      </c>
      <c r="L1461">
        <v>2750</v>
      </c>
      <c r="M1461">
        <v>2750</v>
      </c>
      <c r="N1461">
        <v>0</v>
      </c>
    </row>
    <row r="1462" spans="1:14" x14ac:dyDescent="0.25">
      <c r="A1462">
        <v>916.64147800000001</v>
      </c>
      <c r="B1462" s="1">
        <f>DATE(2012,11,2) + TIME(15,23,43)</f>
        <v>41215.641469907408</v>
      </c>
      <c r="C1462">
        <v>80</v>
      </c>
      <c r="D1462">
        <v>79.664627074999999</v>
      </c>
      <c r="E1462">
        <v>60</v>
      </c>
      <c r="F1462">
        <v>58.695526123</v>
      </c>
      <c r="G1462">
        <v>1298.3835449000001</v>
      </c>
      <c r="H1462">
        <v>1284.1424560999999</v>
      </c>
      <c r="I1462">
        <v>1402.5914307</v>
      </c>
      <c r="J1462">
        <v>1381.9614257999999</v>
      </c>
      <c r="K1462">
        <v>0</v>
      </c>
      <c r="L1462">
        <v>2750</v>
      </c>
      <c r="M1462">
        <v>2750</v>
      </c>
      <c r="N1462">
        <v>0</v>
      </c>
    </row>
    <row r="1463" spans="1:14" x14ac:dyDescent="0.25">
      <c r="A1463">
        <v>916.78169300000002</v>
      </c>
      <c r="B1463" s="1">
        <f>DATE(2012,11,2) + TIME(18,45,38)</f>
        <v>41215.781689814816</v>
      </c>
      <c r="C1463">
        <v>80</v>
      </c>
      <c r="D1463">
        <v>79.644203185999999</v>
      </c>
      <c r="E1463">
        <v>60</v>
      </c>
      <c r="F1463">
        <v>58.913105010999999</v>
      </c>
      <c r="G1463">
        <v>1298.3770752</v>
      </c>
      <c r="H1463">
        <v>1284.1351318</v>
      </c>
      <c r="I1463">
        <v>1402.4199219</v>
      </c>
      <c r="J1463">
        <v>1381.8568115</v>
      </c>
      <c r="K1463">
        <v>0</v>
      </c>
      <c r="L1463">
        <v>2750</v>
      </c>
      <c r="M1463">
        <v>2750</v>
      </c>
      <c r="N1463">
        <v>0</v>
      </c>
    </row>
    <row r="1464" spans="1:14" x14ac:dyDescent="0.25">
      <c r="A1464">
        <v>916.92415100000005</v>
      </c>
      <c r="B1464" s="1">
        <f>DATE(2012,11,2) + TIME(22,10,46)</f>
        <v>41215.924143518518</v>
      </c>
      <c r="C1464">
        <v>80</v>
      </c>
      <c r="D1464">
        <v>79.623588561999995</v>
      </c>
      <c r="E1464">
        <v>60</v>
      </c>
      <c r="F1464">
        <v>59.095588683999999</v>
      </c>
      <c r="G1464">
        <v>1298.3706055</v>
      </c>
      <c r="H1464">
        <v>1284.1276855000001</v>
      </c>
      <c r="I1464">
        <v>1402.2647704999999</v>
      </c>
      <c r="J1464">
        <v>1381.7587891000001</v>
      </c>
      <c r="K1464">
        <v>0</v>
      </c>
      <c r="L1464">
        <v>2750</v>
      </c>
      <c r="M1464">
        <v>2750</v>
      </c>
      <c r="N1464">
        <v>0</v>
      </c>
    </row>
    <row r="1465" spans="1:14" x14ac:dyDescent="0.25">
      <c r="A1465">
        <v>917.06969600000002</v>
      </c>
      <c r="B1465" s="1">
        <f>DATE(2012,11,3) + TIME(1,40,21)</f>
        <v>41216.069687499999</v>
      </c>
      <c r="C1465">
        <v>80</v>
      </c>
      <c r="D1465">
        <v>79.602668761999993</v>
      </c>
      <c r="E1465">
        <v>60</v>
      </c>
      <c r="F1465">
        <v>59.248916626000003</v>
      </c>
      <c r="G1465">
        <v>1298.3640137</v>
      </c>
      <c r="H1465">
        <v>1284.1201172000001</v>
      </c>
      <c r="I1465">
        <v>1402.1229248</v>
      </c>
      <c r="J1465">
        <v>1381.6662598</v>
      </c>
      <c r="K1465">
        <v>0</v>
      </c>
      <c r="L1465">
        <v>2750</v>
      </c>
      <c r="M1465">
        <v>2750</v>
      </c>
      <c r="N1465">
        <v>0</v>
      </c>
    </row>
    <row r="1466" spans="1:14" x14ac:dyDescent="0.25">
      <c r="A1466">
        <v>917.219202</v>
      </c>
      <c r="B1466" s="1">
        <f>DATE(2012,11,3) + TIME(5,15,39)</f>
        <v>41216.219201388885</v>
      </c>
      <c r="C1466">
        <v>80</v>
      </c>
      <c r="D1466">
        <v>79.581359863000003</v>
      </c>
      <c r="E1466">
        <v>60</v>
      </c>
      <c r="F1466">
        <v>59.377834319999998</v>
      </c>
      <c r="G1466">
        <v>1298.3572998</v>
      </c>
      <c r="H1466">
        <v>1284.1124268000001</v>
      </c>
      <c r="I1466">
        <v>1401.9921875</v>
      </c>
      <c r="J1466">
        <v>1381.578125</v>
      </c>
      <c r="K1466">
        <v>0</v>
      </c>
      <c r="L1466">
        <v>2750</v>
      </c>
      <c r="M1466">
        <v>2750</v>
      </c>
      <c r="N1466">
        <v>0</v>
      </c>
    </row>
    <row r="1467" spans="1:14" x14ac:dyDescent="0.25">
      <c r="A1467">
        <v>917.373561</v>
      </c>
      <c r="B1467" s="1">
        <f>DATE(2012,11,3) + TIME(8,57,55)</f>
        <v>41216.373553240737</v>
      </c>
      <c r="C1467">
        <v>80</v>
      </c>
      <c r="D1467">
        <v>79.559539795000006</v>
      </c>
      <c r="E1467">
        <v>60</v>
      </c>
      <c r="F1467">
        <v>59.486160278</v>
      </c>
      <c r="G1467">
        <v>1298.3504639</v>
      </c>
      <c r="H1467">
        <v>1284.1046143000001</v>
      </c>
      <c r="I1467">
        <v>1401.8706055</v>
      </c>
      <c r="J1467">
        <v>1381.4937743999999</v>
      </c>
      <c r="K1467">
        <v>0</v>
      </c>
      <c r="L1467">
        <v>2750</v>
      </c>
      <c r="M1467">
        <v>2750</v>
      </c>
      <c r="N1467">
        <v>0</v>
      </c>
    </row>
    <row r="1468" spans="1:14" x14ac:dyDescent="0.25">
      <c r="A1468">
        <v>917.53373399999998</v>
      </c>
      <c r="B1468" s="1">
        <f>DATE(2012,11,3) + TIME(12,48,34)</f>
        <v>41216.533726851849</v>
      </c>
      <c r="C1468">
        <v>80</v>
      </c>
      <c r="D1468">
        <v>79.537101746000005</v>
      </c>
      <c r="E1468">
        <v>60</v>
      </c>
      <c r="F1468">
        <v>59.577026367000002</v>
      </c>
      <c r="G1468">
        <v>1298.3433838000001</v>
      </c>
      <c r="H1468">
        <v>1284.0964355000001</v>
      </c>
      <c r="I1468">
        <v>1401.7567139</v>
      </c>
      <c r="J1468">
        <v>1381.4122314000001</v>
      </c>
      <c r="K1468">
        <v>0</v>
      </c>
      <c r="L1468">
        <v>2750</v>
      </c>
      <c r="M1468">
        <v>2750</v>
      </c>
      <c r="N1468">
        <v>0</v>
      </c>
    </row>
    <row r="1469" spans="1:14" x14ac:dyDescent="0.25">
      <c r="A1469">
        <v>917.70079099999998</v>
      </c>
      <c r="B1469" s="1">
        <f>DATE(2012,11,3) + TIME(16,49,8)</f>
        <v>41216.700787037036</v>
      </c>
      <c r="C1469">
        <v>80</v>
      </c>
      <c r="D1469">
        <v>79.513931274000001</v>
      </c>
      <c r="E1469">
        <v>60</v>
      </c>
      <c r="F1469">
        <v>59.653022765999999</v>
      </c>
      <c r="G1469">
        <v>1298.3360596</v>
      </c>
      <c r="H1469">
        <v>1284.0881348</v>
      </c>
      <c r="I1469">
        <v>1401.6489257999999</v>
      </c>
      <c r="J1469">
        <v>1381.3331298999999</v>
      </c>
      <c r="K1469">
        <v>0</v>
      </c>
      <c r="L1469">
        <v>2750</v>
      </c>
      <c r="M1469">
        <v>2750</v>
      </c>
      <c r="N1469">
        <v>0</v>
      </c>
    </row>
    <row r="1470" spans="1:14" x14ac:dyDescent="0.25">
      <c r="A1470">
        <v>917.87594100000001</v>
      </c>
      <c r="B1470" s="1">
        <f>DATE(2012,11,3) + TIME(21,1,21)</f>
        <v>41216.875937500001</v>
      </c>
      <c r="C1470">
        <v>80</v>
      </c>
      <c r="D1470">
        <v>79.489883422999995</v>
      </c>
      <c r="E1470">
        <v>60</v>
      </c>
      <c r="F1470">
        <v>59.716339111000003</v>
      </c>
      <c r="G1470">
        <v>1298.3284911999999</v>
      </c>
      <c r="H1470">
        <v>1284.0793457</v>
      </c>
      <c r="I1470">
        <v>1401.5463867000001</v>
      </c>
      <c r="J1470">
        <v>1381.2557373</v>
      </c>
      <c r="K1470">
        <v>0</v>
      </c>
      <c r="L1470">
        <v>2750</v>
      </c>
      <c r="M1470">
        <v>2750</v>
      </c>
      <c r="N1470">
        <v>0</v>
      </c>
    </row>
    <row r="1471" spans="1:14" x14ac:dyDescent="0.25">
      <c r="A1471">
        <v>918.06059500000003</v>
      </c>
      <c r="B1471" s="1">
        <f>DATE(2012,11,4) + TIME(1,27,15)</f>
        <v>41217.060590277775</v>
      </c>
      <c r="C1471">
        <v>80</v>
      </c>
      <c r="D1471">
        <v>79.464805603000002</v>
      </c>
      <c r="E1471">
        <v>60</v>
      </c>
      <c r="F1471">
        <v>59.768814087000003</v>
      </c>
      <c r="G1471">
        <v>1298.3205565999999</v>
      </c>
      <c r="H1471">
        <v>1284.0703125</v>
      </c>
      <c r="I1471">
        <v>1401.447876</v>
      </c>
      <c r="J1471">
        <v>1381.1796875</v>
      </c>
      <c r="K1471">
        <v>0</v>
      </c>
      <c r="L1471">
        <v>2750</v>
      </c>
      <c r="M1471">
        <v>2750</v>
      </c>
      <c r="N1471">
        <v>0</v>
      </c>
    </row>
    <row r="1472" spans="1:14" x14ac:dyDescent="0.25">
      <c r="A1472">
        <v>918.25642000000005</v>
      </c>
      <c r="B1472" s="1">
        <f>DATE(2012,11,4) + TIME(6,9,14)</f>
        <v>41217.256412037037</v>
      </c>
      <c r="C1472">
        <v>80</v>
      </c>
      <c r="D1472">
        <v>79.438522339000002</v>
      </c>
      <c r="E1472">
        <v>60</v>
      </c>
      <c r="F1472">
        <v>59.812034607000001</v>
      </c>
      <c r="G1472">
        <v>1298.3122559000001</v>
      </c>
      <c r="H1472">
        <v>1284.0606689000001</v>
      </c>
      <c r="I1472">
        <v>1401.3524170000001</v>
      </c>
      <c r="J1472">
        <v>1381.1044922000001</v>
      </c>
      <c r="K1472">
        <v>0</v>
      </c>
      <c r="L1472">
        <v>2750</v>
      </c>
      <c r="M1472">
        <v>2750</v>
      </c>
      <c r="N1472">
        <v>0</v>
      </c>
    </row>
    <row r="1473" spans="1:14" x14ac:dyDescent="0.25">
      <c r="A1473">
        <v>918.46474499999999</v>
      </c>
      <c r="B1473" s="1">
        <f>DATE(2012,11,4) + TIME(11,9,13)</f>
        <v>41217.464733796296</v>
      </c>
      <c r="C1473">
        <v>80</v>
      </c>
      <c r="D1473">
        <v>79.410873413000004</v>
      </c>
      <c r="E1473">
        <v>60</v>
      </c>
      <c r="F1473">
        <v>59.847267150999997</v>
      </c>
      <c r="G1473">
        <v>1298.3034668</v>
      </c>
      <c r="H1473">
        <v>1284.0505370999999</v>
      </c>
      <c r="I1473">
        <v>1401.2591553</v>
      </c>
      <c r="J1473">
        <v>1381.0294189000001</v>
      </c>
      <c r="K1473">
        <v>0</v>
      </c>
      <c r="L1473">
        <v>2750</v>
      </c>
      <c r="M1473">
        <v>2750</v>
      </c>
      <c r="N1473">
        <v>0</v>
      </c>
    </row>
    <row r="1474" spans="1:14" x14ac:dyDescent="0.25">
      <c r="A1474">
        <v>918.684619</v>
      </c>
      <c r="B1474" s="1">
        <f>DATE(2012,11,4) + TIME(16,25,51)</f>
        <v>41217.684618055559</v>
      </c>
      <c r="C1474">
        <v>80</v>
      </c>
      <c r="D1474">
        <v>79.381958007999998</v>
      </c>
      <c r="E1474">
        <v>60</v>
      </c>
      <c r="F1474">
        <v>59.875423431000002</v>
      </c>
      <c r="G1474">
        <v>1298.2940673999999</v>
      </c>
      <c r="H1474">
        <v>1284.0399170000001</v>
      </c>
      <c r="I1474">
        <v>1401.1678466999999</v>
      </c>
      <c r="J1474">
        <v>1380.9545897999999</v>
      </c>
      <c r="K1474">
        <v>0</v>
      </c>
      <c r="L1474">
        <v>2750</v>
      </c>
      <c r="M1474">
        <v>2750</v>
      </c>
      <c r="N1474">
        <v>0</v>
      </c>
    </row>
    <row r="1475" spans="1:14" x14ac:dyDescent="0.25">
      <c r="A1475">
        <v>918.91813200000001</v>
      </c>
      <c r="B1475" s="1">
        <f>DATE(2012,11,4) + TIME(22,2,6)</f>
        <v>41217.918124999997</v>
      </c>
      <c r="C1475">
        <v>80</v>
      </c>
      <c r="D1475">
        <v>79.3515625</v>
      </c>
      <c r="E1475">
        <v>60</v>
      </c>
      <c r="F1475">
        <v>59.897754669000001</v>
      </c>
      <c r="G1475">
        <v>1298.2841797000001</v>
      </c>
      <c r="H1475">
        <v>1284.0285644999999</v>
      </c>
      <c r="I1475">
        <v>1401.0783690999999</v>
      </c>
      <c r="J1475">
        <v>1380.880249</v>
      </c>
      <c r="K1475">
        <v>0</v>
      </c>
      <c r="L1475">
        <v>2750</v>
      </c>
      <c r="M1475">
        <v>2750</v>
      </c>
      <c r="N1475">
        <v>0</v>
      </c>
    </row>
    <row r="1476" spans="1:14" x14ac:dyDescent="0.25">
      <c r="A1476">
        <v>919.16757700000005</v>
      </c>
      <c r="B1476" s="1">
        <f>DATE(2012,11,5) + TIME(4,1,18)</f>
        <v>41218.167569444442</v>
      </c>
      <c r="C1476">
        <v>80</v>
      </c>
      <c r="D1476">
        <v>79.319450377999999</v>
      </c>
      <c r="E1476">
        <v>60</v>
      </c>
      <c r="F1476">
        <v>59.915294647000003</v>
      </c>
      <c r="G1476">
        <v>1298.2738036999999</v>
      </c>
      <c r="H1476">
        <v>1284.0166016000001</v>
      </c>
      <c r="I1476">
        <v>1400.9899902</v>
      </c>
      <c r="J1476">
        <v>1380.8057861</v>
      </c>
      <c r="K1476">
        <v>0</v>
      </c>
      <c r="L1476">
        <v>2750</v>
      </c>
      <c r="M1476">
        <v>2750</v>
      </c>
      <c r="N1476">
        <v>0</v>
      </c>
    </row>
    <row r="1477" spans="1:14" x14ac:dyDescent="0.25">
      <c r="A1477">
        <v>919.435789</v>
      </c>
      <c r="B1477" s="1">
        <f>DATE(2012,11,5) + TIME(10,27,32)</f>
        <v>41218.435787037037</v>
      </c>
      <c r="C1477">
        <v>80</v>
      </c>
      <c r="D1477">
        <v>79.285346985000004</v>
      </c>
      <c r="E1477">
        <v>60</v>
      </c>
      <c r="F1477">
        <v>59.928920746000003</v>
      </c>
      <c r="G1477">
        <v>1298.2625731999999</v>
      </c>
      <c r="H1477">
        <v>1284.0037841999999</v>
      </c>
      <c r="I1477">
        <v>1400.9018555</v>
      </c>
      <c r="J1477">
        <v>1380.7308350000001</v>
      </c>
      <c r="K1477">
        <v>0</v>
      </c>
      <c r="L1477">
        <v>2750</v>
      </c>
      <c r="M1477">
        <v>2750</v>
      </c>
      <c r="N1477">
        <v>0</v>
      </c>
    </row>
    <row r="1478" spans="1:14" x14ac:dyDescent="0.25">
      <c r="A1478">
        <v>919.72497799999996</v>
      </c>
      <c r="B1478" s="1">
        <f>DATE(2012,11,5) + TIME(17,23,58)</f>
        <v>41218.724976851852</v>
      </c>
      <c r="C1478">
        <v>80</v>
      </c>
      <c r="D1478">
        <v>79.249015807999996</v>
      </c>
      <c r="E1478">
        <v>60</v>
      </c>
      <c r="F1478">
        <v>59.939338683999999</v>
      </c>
      <c r="G1478">
        <v>1298.2507324000001</v>
      </c>
      <c r="H1478">
        <v>1283.9901123</v>
      </c>
      <c r="I1478">
        <v>1400.8133545000001</v>
      </c>
      <c r="J1478">
        <v>1380.6549072</v>
      </c>
      <c r="K1478">
        <v>0</v>
      </c>
      <c r="L1478">
        <v>2750</v>
      </c>
      <c r="M1478">
        <v>2750</v>
      </c>
      <c r="N1478">
        <v>0</v>
      </c>
    </row>
    <row r="1479" spans="1:14" x14ac:dyDescent="0.25">
      <c r="A1479">
        <v>920.01716599999997</v>
      </c>
      <c r="B1479" s="1">
        <f>DATE(2012,11,6) + TIME(0,24,43)</f>
        <v>41219.017164351855</v>
      </c>
      <c r="C1479">
        <v>80</v>
      </c>
      <c r="D1479">
        <v>79.212028502999999</v>
      </c>
      <c r="E1479">
        <v>60</v>
      </c>
      <c r="F1479">
        <v>59.946804047000001</v>
      </c>
      <c r="G1479">
        <v>1298.237793</v>
      </c>
      <c r="H1479">
        <v>1283.9754639</v>
      </c>
      <c r="I1479">
        <v>1400.7242432</v>
      </c>
      <c r="J1479">
        <v>1380.5778809000001</v>
      </c>
      <c r="K1479">
        <v>0</v>
      </c>
      <c r="L1479">
        <v>2750</v>
      </c>
      <c r="M1479">
        <v>2750</v>
      </c>
      <c r="N1479">
        <v>0</v>
      </c>
    </row>
    <row r="1480" spans="1:14" x14ac:dyDescent="0.25">
      <c r="A1480">
        <v>920.31472199999996</v>
      </c>
      <c r="B1480" s="1">
        <f>DATE(2012,11,6) + TIME(7,33,11)</f>
        <v>41219.314710648148</v>
      </c>
      <c r="C1480">
        <v>80</v>
      </c>
      <c r="D1480">
        <v>79.174308776999993</v>
      </c>
      <c r="E1480">
        <v>60</v>
      </c>
      <c r="F1480">
        <v>59.952186584000003</v>
      </c>
      <c r="G1480">
        <v>1298.2247314000001</v>
      </c>
      <c r="H1480">
        <v>1283.9606934000001</v>
      </c>
      <c r="I1480">
        <v>1400.6394043</v>
      </c>
      <c r="J1480">
        <v>1380.5043945</v>
      </c>
      <c r="K1480">
        <v>0</v>
      </c>
      <c r="L1480">
        <v>2750</v>
      </c>
      <c r="M1480">
        <v>2750</v>
      </c>
      <c r="N1480">
        <v>0</v>
      </c>
    </row>
    <row r="1481" spans="1:14" x14ac:dyDescent="0.25">
      <c r="A1481">
        <v>920.61988499999995</v>
      </c>
      <c r="B1481" s="1">
        <f>DATE(2012,11,6) + TIME(14,52,38)</f>
        <v>41219.619884259257</v>
      </c>
      <c r="C1481">
        <v>80</v>
      </c>
      <c r="D1481">
        <v>79.135749817000004</v>
      </c>
      <c r="E1481">
        <v>60</v>
      </c>
      <c r="F1481">
        <v>59.95608902</v>
      </c>
      <c r="G1481">
        <v>1298.2114257999999</v>
      </c>
      <c r="H1481">
        <v>1283.9456786999999</v>
      </c>
      <c r="I1481">
        <v>1400.5578613</v>
      </c>
      <c r="J1481">
        <v>1380.4335937999999</v>
      </c>
      <c r="K1481">
        <v>0</v>
      </c>
      <c r="L1481">
        <v>2750</v>
      </c>
      <c r="M1481">
        <v>2750</v>
      </c>
      <c r="N1481">
        <v>0</v>
      </c>
    </row>
    <row r="1482" spans="1:14" x14ac:dyDescent="0.25">
      <c r="A1482">
        <v>920.93493999999998</v>
      </c>
      <c r="B1482" s="1">
        <f>DATE(2012,11,6) + TIME(22,26,18)</f>
        <v>41219.934930555559</v>
      </c>
      <c r="C1482">
        <v>80</v>
      </c>
      <c r="D1482">
        <v>79.096199036000002</v>
      </c>
      <c r="E1482">
        <v>60</v>
      </c>
      <c r="F1482">
        <v>59.958927154999998</v>
      </c>
      <c r="G1482">
        <v>1298.197876</v>
      </c>
      <c r="H1482">
        <v>1283.9301757999999</v>
      </c>
      <c r="I1482">
        <v>1400.4785156</v>
      </c>
      <c r="J1482">
        <v>1380.364624</v>
      </c>
      <c r="K1482">
        <v>0</v>
      </c>
      <c r="L1482">
        <v>2750</v>
      </c>
      <c r="M1482">
        <v>2750</v>
      </c>
      <c r="N1482">
        <v>0</v>
      </c>
    </row>
    <row r="1483" spans="1:14" x14ac:dyDescent="0.25">
      <c r="A1483">
        <v>921.258872</v>
      </c>
      <c r="B1483" s="1">
        <f>DATE(2012,11,7) + TIME(6,12,46)</f>
        <v>41220.25886574074</v>
      </c>
      <c r="C1483">
        <v>80</v>
      </c>
      <c r="D1483">
        <v>79.055755614999995</v>
      </c>
      <c r="E1483">
        <v>60</v>
      </c>
      <c r="F1483">
        <v>59.960979461999997</v>
      </c>
      <c r="G1483">
        <v>1298.1839600000001</v>
      </c>
      <c r="H1483">
        <v>1283.9141846</v>
      </c>
      <c r="I1483">
        <v>1400.4007568</v>
      </c>
      <c r="J1483">
        <v>1380.2971190999999</v>
      </c>
      <c r="K1483">
        <v>0</v>
      </c>
      <c r="L1483">
        <v>2750</v>
      </c>
      <c r="M1483">
        <v>2750</v>
      </c>
      <c r="N1483">
        <v>0</v>
      </c>
    </row>
    <row r="1484" spans="1:14" x14ac:dyDescent="0.25">
      <c r="A1484">
        <v>921.591003</v>
      </c>
      <c r="B1484" s="1">
        <f>DATE(2012,11,7) + TIME(14,11,2)</f>
        <v>41220.590995370374</v>
      </c>
      <c r="C1484">
        <v>80</v>
      </c>
      <c r="D1484">
        <v>79.014488220000004</v>
      </c>
      <c r="E1484">
        <v>60</v>
      </c>
      <c r="F1484">
        <v>59.962459564</v>
      </c>
      <c r="G1484">
        <v>1298.1696777</v>
      </c>
      <c r="H1484">
        <v>1283.8978271000001</v>
      </c>
      <c r="I1484">
        <v>1400.324707</v>
      </c>
      <c r="J1484">
        <v>1380.2310791</v>
      </c>
      <c r="K1484">
        <v>0</v>
      </c>
      <c r="L1484">
        <v>2750</v>
      </c>
      <c r="M1484">
        <v>2750</v>
      </c>
      <c r="N1484">
        <v>0</v>
      </c>
    </row>
    <row r="1485" spans="1:14" x14ac:dyDescent="0.25">
      <c r="A1485">
        <v>921.93331899999998</v>
      </c>
      <c r="B1485" s="1">
        <f>DATE(2012,11,7) + TIME(22,23,58)</f>
        <v>41220.933310185188</v>
      </c>
      <c r="C1485">
        <v>80</v>
      </c>
      <c r="D1485">
        <v>78.972267150999997</v>
      </c>
      <c r="E1485">
        <v>60</v>
      </c>
      <c r="F1485">
        <v>59.963535309000001</v>
      </c>
      <c r="G1485">
        <v>1298.1549072</v>
      </c>
      <c r="H1485">
        <v>1283.8811035000001</v>
      </c>
      <c r="I1485">
        <v>1400.2504882999999</v>
      </c>
      <c r="J1485">
        <v>1380.1665039</v>
      </c>
      <c r="K1485">
        <v>0</v>
      </c>
      <c r="L1485">
        <v>2750</v>
      </c>
      <c r="M1485">
        <v>2750</v>
      </c>
      <c r="N1485">
        <v>0</v>
      </c>
    </row>
    <row r="1486" spans="1:14" x14ac:dyDescent="0.25">
      <c r="A1486">
        <v>922.287914</v>
      </c>
      <c r="B1486" s="1">
        <f>DATE(2012,11,8) + TIME(6,54,35)</f>
        <v>41221.287905092591</v>
      </c>
      <c r="C1486">
        <v>80</v>
      </c>
      <c r="D1486">
        <v>78.928916931000003</v>
      </c>
      <c r="E1486">
        <v>60</v>
      </c>
      <c r="F1486">
        <v>59.964324951000002</v>
      </c>
      <c r="G1486">
        <v>1298.1398925999999</v>
      </c>
      <c r="H1486">
        <v>1283.8638916</v>
      </c>
      <c r="I1486">
        <v>1400.1773682</v>
      </c>
      <c r="J1486">
        <v>1380.1031493999999</v>
      </c>
      <c r="K1486">
        <v>0</v>
      </c>
      <c r="L1486">
        <v>2750</v>
      </c>
      <c r="M1486">
        <v>2750</v>
      </c>
      <c r="N1486">
        <v>0</v>
      </c>
    </row>
    <row r="1487" spans="1:14" x14ac:dyDescent="0.25">
      <c r="A1487">
        <v>922.65712900000005</v>
      </c>
      <c r="B1487" s="1">
        <f>DATE(2012,11,8) + TIME(15,46,15)</f>
        <v>41221.657118055555</v>
      </c>
      <c r="C1487">
        <v>80</v>
      </c>
      <c r="D1487">
        <v>78.884239196999999</v>
      </c>
      <c r="E1487">
        <v>60</v>
      </c>
      <c r="F1487">
        <v>59.964904785000002</v>
      </c>
      <c r="G1487">
        <v>1298.1242675999999</v>
      </c>
      <c r="H1487">
        <v>1283.8459473</v>
      </c>
      <c r="I1487">
        <v>1400.1049805</v>
      </c>
      <c r="J1487">
        <v>1380.0405272999999</v>
      </c>
      <c r="K1487">
        <v>0</v>
      </c>
      <c r="L1487">
        <v>2750</v>
      </c>
      <c r="M1487">
        <v>2750</v>
      </c>
      <c r="N1487">
        <v>0</v>
      </c>
    </row>
    <row r="1488" spans="1:14" x14ac:dyDescent="0.25">
      <c r="A1488">
        <v>923.04364899999996</v>
      </c>
      <c r="B1488" s="1">
        <f>DATE(2012,11,9) + TIME(1,2,51)</f>
        <v>41222.043645833335</v>
      </c>
      <c r="C1488">
        <v>80</v>
      </c>
      <c r="D1488">
        <v>78.837974548000005</v>
      </c>
      <c r="E1488">
        <v>60</v>
      </c>
      <c r="F1488">
        <v>59.965339661000002</v>
      </c>
      <c r="G1488">
        <v>1298.1080322</v>
      </c>
      <c r="H1488">
        <v>1283.8273925999999</v>
      </c>
      <c r="I1488">
        <v>1400.0329589999999</v>
      </c>
      <c r="J1488">
        <v>1379.9782714999999</v>
      </c>
      <c r="K1488">
        <v>0</v>
      </c>
      <c r="L1488">
        <v>2750</v>
      </c>
      <c r="M1488">
        <v>2750</v>
      </c>
      <c r="N1488">
        <v>0</v>
      </c>
    </row>
    <row r="1489" spans="1:14" x14ac:dyDescent="0.25">
      <c r="A1489">
        <v>923.45062299999995</v>
      </c>
      <c r="B1489" s="1">
        <f>DATE(2012,11,9) + TIME(10,48,53)</f>
        <v>41222.450613425928</v>
      </c>
      <c r="C1489">
        <v>80</v>
      </c>
      <c r="D1489">
        <v>78.789855957</v>
      </c>
      <c r="E1489">
        <v>60</v>
      </c>
      <c r="F1489">
        <v>59.965663910000004</v>
      </c>
      <c r="G1489">
        <v>1298.0910644999999</v>
      </c>
      <c r="H1489">
        <v>1283.8079834</v>
      </c>
      <c r="I1489">
        <v>1399.9608154</v>
      </c>
      <c r="J1489">
        <v>1379.9160156</v>
      </c>
      <c r="K1489">
        <v>0</v>
      </c>
      <c r="L1489">
        <v>2750</v>
      </c>
      <c r="M1489">
        <v>2750</v>
      </c>
      <c r="N1489">
        <v>0</v>
      </c>
    </row>
    <row r="1490" spans="1:14" x14ac:dyDescent="0.25">
      <c r="A1490">
        <v>923.88183400000003</v>
      </c>
      <c r="B1490" s="1">
        <f>DATE(2012,11,9) + TIME(21,9,50)</f>
        <v>41222.881828703707</v>
      </c>
      <c r="C1490">
        <v>80</v>
      </c>
      <c r="D1490">
        <v>78.739517211999996</v>
      </c>
      <c r="E1490">
        <v>60</v>
      </c>
      <c r="F1490">
        <v>59.965908051</v>
      </c>
      <c r="G1490">
        <v>1298.0732422000001</v>
      </c>
      <c r="H1490">
        <v>1283.7874756000001</v>
      </c>
      <c r="I1490">
        <v>1399.8880615</v>
      </c>
      <c r="J1490">
        <v>1379.8532714999999</v>
      </c>
      <c r="K1490">
        <v>0</v>
      </c>
      <c r="L1490">
        <v>2750</v>
      </c>
      <c r="M1490">
        <v>2750</v>
      </c>
      <c r="N1490">
        <v>0</v>
      </c>
    </row>
    <row r="1491" spans="1:14" x14ac:dyDescent="0.25">
      <c r="A1491">
        <v>924.33594000000005</v>
      </c>
      <c r="B1491" s="1">
        <f>DATE(2012,11,10) + TIME(8,3,45)</f>
        <v>41223.3359375</v>
      </c>
      <c r="C1491">
        <v>80</v>
      </c>
      <c r="D1491">
        <v>78.686973571999999</v>
      </c>
      <c r="E1491">
        <v>60</v>
      </c>
      <c r="F1491">
        <v>59.966094970999997</v>
      </c>
      <c r="G1491">
        <v>1298.0541992000001</v>
      </c>
      <c r="H1491">
        <v>1283.7658690999999</v>
      </c>
      <c r="I1491">
        <v>1399.8144531</v>
      </c>
      <c r="J1491">
        <v>1379.7899170000001</v>
      </c>
      <c r="K1491">
        <v>0</v>
      </c>
      <c r="L1491">
        <v>2750</v>
      </c>
      <c r="M1491">
        <v>2750</v>
      </c>
      <c r="N1491">
        <v>0</v>
      </c>
    </row>
    <row r="1492" spans="1:14" x14ac:dyDescent="0.25">
      <c r="A1492">
        <v>924.79565700000001</v>
      </c>
      <c r="B1492" s="1">
        <f>DATE(2012,11,10) + TIME(19,5,44)</f>
        <v>41223.795648148145</v>
      </c>
      <c r="C1492">
        <v>80</v>
      </c>
      <c r="D1492">
        <v>78.633422851999995</v>
      </c>
      <c r="E1492">
        <v>60</v>
      </c>
      <c r="F1492">
        <v>59.966232300000001</v>
      </c>
      <c r="G1492">
        <v>1298.0341797000001</v>
      </c>
      <c r="H1492">
        <v>1283.7430420000001</v>
      </c>
      <c r="I1492">
        <v>1399.7401123</v>
      </c>
      <c r="J1492">
        <v>1379.7261963000001</v>
      </c>
      <c r="K1492">
        <v>0</v>
      </c>
      <c r="L1492">
        <v>2750</v>
      </c>
      <c r="M1492">
        <v>2750</v>
      </c>
      <c r="N1492">
        <v>0</v>
      </c>
    </row>
    <row r="1493" spans="1:14" x14ac:dyDescent="0.25">
      <c r="A1493">
        <v>925.26433299999997</v>
      </c>
      <c r="B1493" s="1">
        <f>DATE(2012,11,11) + TIME(6,20,38)</f>
        <v>41224.264328703706</v>
      </c>
      <c r="C1493">
        <v>80</v>
      </c>
      <c r="D1493">
        <v>78.578910828000005</v>
      </c>
      <c r="E1493">
        <v>60</v>
      </c>
      <c r="F1493">
        <v>59.966335297000001</v>
      </c>
      <c r="G1493">
        <v>1298.0139160000001</v>
      </c>
      <c r="H1493">
        <v>1283.7198486</v>
      </c>
      <c r="I1493">
        <v>1399.6682129000001</v>
      </c>
      <c r="J1493">
        <v>1379.6644286999999</v>
      </c>
      <c r="K1493">
        <v>0</v>
      </c>
      <c r="L1493">
        <v>2750</v>
      </c>
      <c r="M1493">
        <v>2750</v>
      </c>
      <c r="N1493">
        <v>0</v>
      </c>
    </row>
    <row r="1494" spans="1:14" x14ac:dyDescent="0.25">
      <c r="A1494">
        <v>925.74523099999999</v>
      </c>
      <c r="B1494" s="1">
        <f>DATE(2012,11,11) + TIME(17,53,7)</f>
        <v>41224.745219907411</v>
      </c>
      <c r="C1494">
        <v>80</v>
      </c>
      <c r="D1494">
        <v>78.523338318</v>
      </c>
      <c r="E1494">
        <v>60</v>
      </c>
      <c r="F1494">
        <v>59.966415404999999</v>
      </c>
      <c r="G1494">
        <v>1297.9932861</v>
      </c>
      <c r="H1494">
        <v>1283.6962891000001</v>
      </c>
      <c r="I1494">
        <v>1399.5979004000001</v>
      </c>
      <c r="J1494">
        <v>1379.6043701000001</v>
      </c>
      <c r="K1494">
        <v>0</v>
      </c>
      <c r="L1494">
        <v>2750</v>
      </c>
      <c r="M1494">
        <v>2750</v>
      </c>
      <c r="N1494">
        <v>0</v>
      </c>
    </row>
    <row r="1495" spans="1:14" x14ac:dyDescent="0.25">
      <c r="A1495">
        <v>926.24178400000005</v>
      </c>
      <c r="B1495" s="1">
        <f>DATE(2012,11,12) + TIME(5,48,10)</f>
        <v>41225.241782407407</v>
      </c>
      <c r="C1495">
        <v>80</v>
      </c>
      <c r="D1495">
        <v>78.466491699000002</v>
      </c>
      <c r="E1495">
        <v>60</v>
      </c>
      <c r="F1495">
        <v>59.966476440000001</v>
      </c>
      <c r="G1495">
        <v>1297.9720459</v>
      </c>
      <c r="H1495">
        <v>1283.6719971</v>
      </c>
      <c r="I1495">
        <v>1399.5286865</v>
      </c>
      <c r="J1495">
        <v>1379.5452881000001</v>
      </c>
      <c r="K1495">
        <v>0</v>
      </c>
      <c r="L1495">
        <v>2750</v>
      </c>
      <c r="M1495">
        <v>2750</v>
      </c>
      <c r="N1495">
        <v>0</v>
      </c>
    </row>
    <row r="1496" spans="1:14" x14ac:dyDescent="0.25">
      <c r="A1496">
        <v>926.75777300000004</v>
      </c>
      <c r="B1496" s="1">
        <f>DATE(2012,11,12) + TIME(18,11,11)</f>
        <v>41225.7577662037</v>
      </c>
      <c r="C1496">
        <v>80</v>
      </c>
      <c r="D1496">
        <v>78.408103943</v>
      </c>
      <c r="E1496">
        <v>60</v>
      </c>
      <c r="F1496">
        <v>59.966526031000001</v>
      </c>
      <c r="G1496">
        <v>1297.9501952999999</v>
      </c>
      <c r="H1496">
        <v>1283.6468506000001</v>
      </c>
      <c r="I1496">
        <v>1399.4600829999999</v>
      </c>
      <c r="J1496">
        <v>1379.4866943</v>
      </c>
      <c r="K1496">
        <v>0</v>
      </c>
      <c r="L1496">
        <v>2750</v>
      </c>
      <c r="M1496">
        <v>2750</v>
      </c>
      <c r="N1496">
        <v>0</v>
      </c>
    </row>
    <row r="1497" spans="1:14" x14ac:dyDescent="0.25">
      <c r="A1497">
        <v>927.28567999999996</v>
      </c>
      <c r="B1497" s="1">
        <f>DATE(2012,11,13) + TIME(6,51,22)</f>
        <v>41226.285671296297</v>
      </c>
      <c r="C1497">
        <v>80</v>
      </c>
      <c r="D1497">
        <v>78.348571777000004</v>
      </c>
      <c r="E1497">
        <v>60</v>
      </c>
      <c r="F1497">
        <v>59.966560364000003</v>
      </c>
      <c r="G1497">
        <v>1297.9273682</v>
      </c>
      <c r="H1497">
        <v>1283.6208495999999</v>
      </c>
      <c r="I1497">
        <v>1399.3914795000001</v>
      </c>
      <c r="J1497">
        <v>1379.4284668</v>
      </c>
      <c r="K1497">
        <v>0</v>
      </c>
      <c r="L1497">
        <v>2750</v>
      </c>
      <c r="M1497">
        <v>2750</v>
      </c>
      <c r="N1497">
        <v>0</v>
      </c>
    </row>
    <row r="1498" spans="1:14" x14ac:dyDescent="0.25">
      <c r="A1498">
        <v>927.82552799999996</v>
      </c>
      <c r="B1498" s="1">
        <f>DATE(2012,11,13) + TIME(19,48,45)</f>
        <v>41226.825520833336</v>
      </c>
      <c r="C1498">
        <v>80</v>
      </c>
      <c r="D1498">
        <v>78.288017272999994</v>
      </c>
      <c r="E1498">
        <v>60</v>
      </c>
      <c r="F1498">
        <v>59.966590881000002</v>
      </c>
      <c r="G1498">
        <v>1297.9040527</v>
      </c>
      <c r="H1498">
        <v>1283.5939940999999</v>
      </c>
      <c r="I1498">
        <v>1399.3242187999999</v>
      </c>
      <c r="J1498">
        <v>1379.3710937999999</v>
      </c>
      <c r="K1498">
        <v>0</v>
      </c>
      <c r="L1498">
        <v>2750</v>
      </c>
      <c r="M1498">
        <v>2750</v>
      </c>
      <c r="N1498">
        <v>0</v>
      </c>
    </row>
    <row r="1499" spans="1:14" x14ac:dyDescent="0.25">
      <c r="A1499">
        <v>928.38054999999997</v>
      </c>
      <c r="B1499" s="1">
        <f>DATE(2012,11,14) + TIME(9,7,59)</f>
        <v>41227.380543981482</v>
      </c>
      <c r="C1499">
        <v>80</v>
      </c>
      <c r="D1499">
        <v>78.226287842000005</v>
      </c>
      <c r="E1499">
        <v>60</v>
      </c>
      <c r="F1499">
        <v>59.966613770000002</v>
      </c>
      <c r="G1499">
        <v>1297.8801269999999</v>
      </c>
      <c r="H1499">
        <v>1283.5665283000001</v>
      </c>
      <c r="I1499">
        <v>1399.2579346</v>
      </c>
      <c r="J1499">
        <v>1379.3148193</v>
      </c>
      <c r="K1499">
        <v>0</v>
      </c>
      <c r="L1499">
        <v>2750</v>
      </c>
      <c r="M1499">
        <v>2750</v>
      </c>
      <c r="N1499">
        <v>0</v>
      </c>
    </row>
    <row r="1500" spans="1:14" x14ac:dyDescent="0.25">
      <c r="A1500">
        <v>928.95419700000002</v>
      </c>
      <c r="B1500" s="1">
        <f>DATE(2012,11,14) + TIME(22,54,2)</f>
        <v>41227.954189814816</v>
      </c>
      <c r="C1500">
        <v>80</v>
      </c>
      <c r="D1500">
        <v>78.163169861</v>
      </c>
      <c r="E1500">
        <v>60</v>
      </c>
      <c r="F1500">
        <v>59.966632842999999</v>
      </c>
      <c r="G1500">
        <v>1297.8555908000001</v>
      </c>
      <c r="H1500">
        <v>1283.5383300999999</v>
      </c>
      <c r="I1500">
        <v>1399.1922606999999</v>
      </c>
      <c r="J1500">
        <v>1379.2592772999999</v>
      </c>
      <c r="K1500">
        <v>0</v>
      </c>
      <c r="L1500">
        <v>2750</v>
      </c>
      <c r="M1500">
        <v>2750</v>
      </c>
      <c r="N1500">
        <v>0</v>
      </c>
    </row>
    <row r="1501" spans="1:14" x14ac:dyDescent="0.25">
      <c r="A1501">
        <v>929.55032700000004</v>
      </c>
      <c r="B1501" s="1">
        <f>DATE(2012,11,15) + TIME(13,12,28)</f>
        <v>41228.550324074073</v>
      </c>
      <c r="C1501">
        <v>80</v>
      </c>
      <c r="D1501">
        <v>78.098365783999995</v>
      </c>
      <c r="E1501">
        <v>60</v>
      </c>
      <c r="F1501">
        <v>59.966648102000001</v>
      </c>
      <c r="G1501">
        <v>1297.8300781</v>
      </c>
      <c r="H1501">
        <v>1283.5089111</v>
      </c>
      <c r="I1501">
        <v>1399.1269531</v>
      </c>
      <c r="J1501">
        <v>1379.2039795000001</v>
      </c>
      <c r="K1501">
        <v>0</v>
      </c>
      <c r="L1501">
        <v>2750</v>
      </c>
      <c r="M1501">
        <v>2750</v>
      </c>
      <c r="N1501">
        <v>0</v>
      </c>
    </row>
    <row r="1502" spans="1:14" x14ac:dyDescent="0.25">
      <c r="A1502">
        <v>930.17337599999996</v>
      </c>
      <c r="B1502" s="1">
        <f>DATE(2012,11,16) + TIME(4,9,39)</f>
        <v>41229.173368055555</v>
      </c>
      <c r="C1502">
        <v>80</v>
      </c>
      <c r="D1502">
        <v>78.031517029</v>
      </c>
      <c r="E1502">
        <v>60</v>
      </c>
      <c r="F1502">
        <v>59.966659546000002</v>
      </c>
      <c r="G1502">
        <v>1297.8034668</v>
      </c>
      <c r="H1502">
        <v>1283.4783935999999</v>
      </c>
      <c r="I1502">
        <v>1399.0615233999999</v>
      </c>
      <c r="J1502">
        <v>1379.1485596</v>
      </c>
      <c r="K1502">
        <v>0</v>
      </c>
      <c r="L1502">
        <v>2750</v>
      </c>
      <c r="M1502">
        <v>2750</v>
      </c>
      <c r="N1502">
        <v>0</v>
      </c>
    </row>
    <row r="1503" spans="1:14" x14ac:dyDescent="0.25">
      <c r="A1503">
        <v>930.81476799999996</v>
      </c>
      <c r="B1503" s="1">
        <f>DATE(2012,11,16) + TIME(19,33,15)</f>
        <v>41229.814756944441</v>
      </c>
      <c r="C1503">
        <v>80</v>
      </c>
      <c r="D1503">
        <v>77.962982178000004</v>
      </c>
      <c r="E1503">
        <v>60</v>
      </c>
      <c r="F1503">
        <v>59.966670989999997</v>
      </c>
      <c r="G1503">
        <v>1297.7756348</v>
      </c>
      <c r="H1503">
        <v>1283.4462891000001</v>
      </c>
      <c r="I1503">
        <v>1398.9956055</v>
      </c>
      <c r="J1503">
        <v>1379.0928954999999</v>
      </c>
      <c r="K1503">
        <v>0</v>
      </c>
      <c r="L1503">
        <v>2750</v>
      </c>
      <c r="M1503">
        <v>2750</v>
      </c>
      <c r="N1503">
        <v>0</v>
      </c>
    </row>
    <row r="1504" spans="1:14" x14ac:dyDescent="0.25">
      <c r="A1504">
        <v>931.47367199999997</v>
      </c>
      <c r="B1504" s="1">
        <f>DATE(2012,11,17) + TIME(11,22,5)</f>
        <v>41230.473668981482</v>
      </c>
      <c r="C1504">
        <v>80</v>
      </c>
      <c r="D1504">
        <v>77.892944335999999</v>
      </c>
      <c r="E1504">
        <v>60</v>
      </c>
      <c r="F1504">
        <v>59.966682433999999</v>
      </c>
      <c r="G1504">
        <v>1297.7469481999999</v>
      </c>
      <c r="H1504">
        <v>1283.4132079999999</v>
      </c>
      <c r="I1504">
        <v>1398.9302978999999</v>
      </c>
      <c r="J1504">
        <v>1379.0377197</v>
      </c>
      <c r="K1504">
        <v>0</v>
      </c>
      <c r="L1504">
        <v>2750</v>
      </c>
      <c r="M1504">
        <v>2750</v>
      </c>
      <c r="N1504">
        <v>0</v>
      </c>
    </row>
    <row r="1505" spans="1:14" x14ac:dyDescent="0.25">
      <c r="A1505">
        <v>932.15537700000004</v>
      </c>
      <c r="B1505" s="1">
        <f>DATE(2012,11,18) + TIME(3,43,44)</f>
        <v>41231.155370370368</v>
      </c>
      <c r="C1505">
        <v>80</v>
      </c>
      <c r="D1505">
        <v>77.821212768999999</v>
      </c>
      <c r="E1505">
        <v>60</v>
      </c>
      <c r="F1505">
        <v>59.966690063000001</v>
      </c>
      <c r="G1505">
        <v>1297.7172852000001</v>
      </c>
      <c r="H1505">
        <v>1283.3790283000001</v>
      </c>
      <c r="I1505">
        <v>1398.8654785000001</v>
      </c>
      <c r="J1505">
        <v>1378.9831543</v>
      </c>
      <c r="K1505">
        <v>0</v>
      </c>
      <c r="L1505">
        <v>2750</v>
      </c>
      <c r="M1505">
        <v>2750</v>
      </c>
      <c r="N1505">
        <v>0</v>
      </c>
    </row>
    <row r="1506" spans="1:14" x14ac:dyDescent="0.25">
      <c r="A1506">
        <v>932.86570200000006</v>
      </c>
      <c r="B1506" s="1">
        <f>DATE(2012,11,18) + TIME(20,46,36)</f>
        <v>41231.865694444445</v>
      </c>
      <c r="C1506">
        <v>80</v>
      </c>
      <c r="D1506">
        <v>77.747444153000004</v>
      </c>
      <c r="E1506">
        <v>60</v>
      </c>
      <c r="F1506">
        <v>59.966697693</v>
      </c>
      <c r="G1506">
        <v>1297.6865233999999</v>
      </c>
      <c r="H1506">
        <v>1283.3435059000001</v>
      </c>
      <c r="I1506">
        <v>1398.8007812000001</v>
      </c>
      <c r="J1506">
        <v>1378.9287108999999</v>
      </c>
      <c r="K1506">
        <v>0</v>
      </c>
      <c r="L1506">
        <v>2750</v>
      </c>
      <c r="M1506">
        <v>2750</v>
      </c>
      <c r="N1506">
        <v>0</v>
      </c>
    </row>
    <row r="1507" spans="1:14" x14ac:dyDescent="0.25">
      <c r="A1507">
        <v>933.59879100000001</v>
      </c>
      <c r="B1507" s="1">
        <f>DATE(2012,11,19) + TIME(14,22,15)</f>
        <v>41232.59878472222</v>
      </c>
      <c r="C1507">
        <v>80</v>
      </c>
      <c r="D1507">
        <v>77.671798706000004</v>
      </c>
      <c r="E1507">
        <v>60</v>
      </c>
      <c r="F1507">
        <v>59.966709137000002</v>
      </c>
      <c r="G1507">
        <v>1297.6542969</v>
      </c>
      <c r="H1507">
        <v>1283.3062743999999</v>
      </c>
      <c r="I1507">
        <v>1398.7358397999999</v>
      </c>
      <c r="J1507">
        <v>1378.8740233999999</v>
      </c>
      <c r="K1507">
        <v>0</v>
      </c>
      <c r="L1507">
        <v>2750</v>
      </c>
      <c r="M1507">
        <v>2750</v>
      </c>
      <c r="N1507">
        <v>0</v>
      </c>
    </row>
    <row r="1508" spans="1:14" x14ac:dyDescent="0.25">
      <c r="A1508">
        <v>934.34079299999996</v>
      </c>
      <c r="B1508" s="1">
        <f>DATE(2012,11,20) + TIME(8,10,44)</f>
        <v>41233.340787037036</v>
      </c>
      <c r="C1508">
        <v>80</v>
      </c>
      <c r="D1508">
        <v>77.595085143999995</v>
      </c>
      <c r="E1508">
        <v>60</v>
      </c>
      <c r="F1508">
        <v>59.966716765999998</v>
      </c>
      <c r="G1508">
        <v>1297.6209716999999</v>
      </c>
      <c r="H1508">
        <v>1283.2677002</v>
      </c>
      <c r="I1508">
        <v>1398.6710204999999</v>
      </c>
      <c r="J1508">
        <v>1378.8194579999999</v>
      </c>
      <c r="K1508">
        <v>0</v>
      </c>
      <c r="L1508">
        <v>2750</v>
      </c>
      <c r="M1508">
        <v>2750</v>
      </c>
      <c r="N1508">
        <v>0</v>
      </c>
    </row>
    <row r="1509" spans="1:14" x14ac:dyDescent="0.25">
      <c r="A1509">
        <v>935.09616500000004</v>
      </c>
      <c r="B1509" s="1">
        <f>DATE(2012,11,21) + TIME(2,18,28)</f>
        <v>41234.09615740741</v>
      </c>
      <c r="C1509">
        <v>80</v>
      </c>
      <c r="D1509">
        <v>77.517486571999996</v>
      </c>
      <c r="E1509">
        <v>60</v>
      </c>
      <c r="F1509">
        <v>59.966724395999996</v>
      </c>
      <c r="G1509">
        <v>1297.5869141000001</v>
      </c>
      <c r="H1509">
        <v>1283.2282714999999</v>
      </c>
      <c r="I1509">
        <v>1398.6076660000001</v>
      </c>
      <c r="J1509">
        <v>1378.7663574000001</v>
      </c>
      <c r="K1509">
        <v>0</v>
      </c>
      <c r="L1509">
        <v>2750</v>
      </c>
      <c r="M1509">
        <v>2750</v>
      </c>
      <c r="N1509">
        <v>0</v>
      </c>
    </row>
    <row r="1510" spans="1:14" x14ac:dyDescent="0.25">
      <c r="A1510">
        <v>935.86935300000005</v>
      </c>
      <c r="B1510" s="1">
        <f>DATE(2012,11,21) + TIME(20,51,52)</f>
        <v>41234.869351851848</v>
      </c>
      <c r="C1510">
        <v>80</v>
      </c>
      <c r="D1510">
        <v>77.438903808999996</v>
      </c>
      <c r="E1510">
        <v>60</v>
      </c>
      <c r="F1510">
        <v>59.966732024999999</v>
      </c>
      <c r="G1510">
        <v>1297.5522461</v>
      </c>
      <c r="H1510">
        <v>1283.1878661999999</v>
      </c>
      <c r="I1510">
        <v>1398.5454102000001</v>
      </c>
      <c r="J1510">
        <v>1378.7139893000001</v>
      </c>
      <c r="K1510">
        <v>0</v>
      </c>
      <c r="L1510">
        <v>2750</v>
      </c>
      <c r="M1510">
        <v>2750</v>
      </c>
      <c r="N1510">
        <v>0</v>
      </c>
    </row>
    <row r="1511" spans="1:14" x14ac:dyDescent="0.25">
      <c r="A1511">
        <v>936.66510100000005</v>
      </c>
      <c r="B1511" s="1">
        <f>DATE(2012,11,22) + TIME(15,57,44)</f>
        <v>41235.665092592593</v>
      </c>
      <c r="C1511">
        <v>80</v>
      </c>
      <c r="D1511">
        <v>77.359046935999999</v>
      </c>
      <c r="E1511">
        <v>60</v>
      </c>
      <c r="F1511">
        <v>59.966743469000001</v>
      </c>
      <c r="G1511">
        <v>1297.5164795000001</v>
      </c>
      <c r="H1511">
        <v>1283.1462402</v>
      </c>
      <c r="I1511">
        <v>1398.4837646000001</v>
      </c>
      <c r="J1511">
        <v>1378.6622314000001</v>
      </c>
      <c r="K1511">
        <v>0</v>
      </c>
      <c r="L1511">
        <v>2750</v>
      </c>
      <c r="M1511">
        <v>2750</v>
      </c>
      <c r="N1511">
        <v>0</v>
      </c>
    </row>
    <row r="1512" spans="1:14" x14ac:dyDescent="0.25">
      <c r="A1512">
        <v>937.48864000000003</v>
      </c>
      <c r="B1512" s="1">
        <f>DATE(2012,11,23) + TIME(11,43,38)</f>
        <v>41236.488634259258</v>
      </c>
      <c r="C1512">
        <v>80</v>
      </c>
      <c r="D1512">
        <v>77.277542113999999</v>
      </c>
      <c r="E1512">
        <v>60</v>
      </c>
      <c r="F1512">
        <v>59.966751099</v>
      </c>
      <c r="G1512">
        <v>1297.4793701000001</v>
      </c>
      <c r="H1512">
        <v>1283.1030272999999</v>
      </c>
      <c r="I1512">
        <v>1398.4223632999999</v>
      </c>
      <c r="J1512">
        <v>1378.6107178</v>
      </c>
      <c r="K1512">
        <v>0</v>
      </c>
      <c r="L1512">
        <v>2750</v>
      </c>
      <c r="M1512">
        <v>2750</v>
      </c>
      <c r="N1512">
        <v>0</v>
      </c>
    </row>
    <row r="1513" spans="1:14" x14ac:dyDescent="0.25">
      <c r="A1513">
        <v>938.33960000000002</v>
      </c>
      <c r="B1513" s="1">
        <f>DATE(2012,11,24) + TIME(8,9,1)</f>
        <v>41237.339594907404</v>
      </c>
      <c r="C1513">
        <v>80</v>
      </c>
      <c r="D1513">
        <v>77.194244385000005</v>
      </c>
      <c r="E1513">
        <v>60</v>
      </c>
      <c r="F1513">
        <v>59.966762543000002</v>
      </c>
      <c r="G1513">
        <v>1297.4407959</v>
      </c>
      <c r="H1513">
        <v>1283.0579834</v>
      </c>
      <c r="I1513">
        <v>1398.3608397999999</v>
      </c>
      <c r="J1513">
        <v>1378.559082</v>
      </c>
      <c r="K1513">
        <v>0</v>
      </c>
      <c r="L1513">
        <v>2750</v>
      </c>
      <c r="M1513">
        <v>2750</v>
      </c>
      <c r="N1513">
        <v>0</v>
      </c>
    </row>
    <row r="1514" spans="1:14" x14ac:dyDescent="0.25">
      <c r="A1514">
        <v>939.21095600000001</v>
      </c>
      <c r="B1514" s="1">
        <f>DATE(2012,11,25) + TIME(5,3,46)</f>
        <v>41238.210949074077</v>
      </c>
      <c r="C1514">
        <v>80</v>
      </c>
      <c r="D1514">
        <v>77.109397888000004</v>
      </c>
      <c r="E1514">
        <v>60</v>
      </c>
      <c r="F1514">
        <v>59.966773987000003</v>
      </c>
      <c r="G1514">
        <v>1297.4006348</v>
      </c>
      <c r="H1514">
        <v>1283.0109863</v>
      </c>
      <c r="I1514">
        <v>1398.2991943</v>
      </c>
      <c r="J1514">
        <v>1378.5075684000001</v>
      </c>
      <c r="K1514">
        <v>0</v>
      </c>
      <c r="L1514">
        <v>2750</v>
      </c>
      <c r="M1514">
        <v>2750</v>
      </c>
      <c r="N1514">
        <v>0</v>
      </c>
    </row>
    <row r="1515" spans="1:14" x14ac:dyDescent="0.25">
      <c r="A1515">
        <v>940.10924899999998</v>
      </c>
      <c r="B1515" s="1">
        <f>DATE(2012,11,26) + TIME(2,37,19)</f>
        <v>41239.109247685185</v>
      </c>
      <c r="C1515">
        <v>80</v>
      </c>
      <c r="D1515">
        <v>77.022926330999994</v>
      </c>
      <c r="E1515">
        <v>60</v>
      </c>
      <c r="F1515">
        <v>59.966785430999998</v>
      </c>
      <c r="G1515">
        <v>1297.3592529</v>
      </c>
      <c r="H1515">
        <v>1282.9624022999999</v>
      </c>
      <c r="I1515">
        <v>1398.2381591999999</v>
      </c>
      <c r="J1515">
        <v>1378.4564209</v>
      </c>
      <c r="K1515">
        <v>0</v>
      </c>
      <c r="L1515">
        <v>2750</v>
      </c>
      <c r="M1515">
        <v>2750</v>
      </c>
      <c r="N1515">
        <v>0</v>
      </c>
    </row>
    <row r="1516" spans="1:14" x14ac:dyDescent="0.25">
      <c r="A1516">
        <v>941.04151100000001</v>
      </c>
      <c r="B1516" s="1">
        <f>DATE(2012,11,27) + TIME(0,59,46)</f>
        <v>41240.041504629633</v>
      </c>
      <c r="C1516">
        <v>80</v>
      </c>
      <c r="D1516">
        <v>76.934463500999996</v>
      </c>
      <c r="E1516">
        <v>60</v>
      </c>
      <c r="F1516">
        <v>59.966796875</v>
      </c>
      <c r="G1516">
        <v>1297.3161620999999</v>
      </c>
      <c r="H1516">
        <v>1282.9117432</v>
      </c>
      <c r="I1516">
        <v>1398.177124</v>
      </c>
      <c r="J1516">
        <v>1378.4053954999999</v>
      </c>
      <c r="K1516">
        <v>0</v>
      </c>
      <c r="L1516">
        <v>2750</v>
      </c>
      <c r="M1516">
        <v>2750</v>
      </c>
      <c r="N1516">
        <v>0</v>
      </c>
    </row>
    <row r="1517" spans="1:14" x14ac:dyDescent="0.25">
      <c r="A1517">
        <v>942.01242500000001</v>
      </c>
      <c r="B1517" s="1">
        <f>DATE(2012,11,28) + TIME(0,17,53)</f>
        <v>41241.012418981481</v>
      </c>
      <c r="C1517">
        <v>80</v>
      </c>
      <c r="D1517">
        <v>76.843612671000002</v>
      </c>
      <c r="E1517">
        <v>60</v>
      </c>
      <c r="F1517">
        <v>59.966812134000001</v>
      </c>
      <c r="G1517">
        <v>1297.2711182</v>
      </c>
      <c r="H1517">
        <v>1282.8586425999999</v>
      </c>
      <c r="I1517">
        <v>1398.1158447</v>
      </c>
      <c r="J1517">
        <v>1378.3540039</v>
      </c>
      <c r="K1517">
        <v>0</v>
      </c>
      <c r="L1517">
        <v>2750</v>
      </c>
      <c r="M1517">
        <v>2750</v>
      </c>
      <c r="N1517">
        <v>0</v>
      </c>
    </row>
    <row r="1518" spans="1:14" x14ac:dyDescent="0.25">
      <c r="A1518">
        <v>942.99582799999996</v>
      </c>
      <c r="B1518" s="1">
        <f>DATE(2012,11,28) + TIME(23,53,59)</f>
        <v>41241.995821759258</v>
      </c>
      <c r="C1518">
        <v>80</v>
      </c>
      <c r="D1518">
        <v>76.751235961999996</v>
      </c>
      <c r="E1518">
        <v>60</v>
      </c>
      <c r="F1518">
        <v>59.966823578000003</v>
      </c>
      <c r="G1518">
        <v>1297.2237548999999</v>
      </c>
      <c r="H1518">
        <v>1282.8027344</v>
      </c>
      <c r="I1518">
        <v>1398.0539550999999</v>
      </c>
      <c r="J1518">
        <v>1378.302124</v>
      </c>
      <c r="K1518">
        <v>0</v>
      </c>
      <c r="L1518">
        <v>2750</v>
      </c>
      <c r="M1518">
        <v>2750</v>
      </c>
      <c r="N1518">
        <v>0</v>
      </c>
    </row>
    <row r="1519" spans="1:14" x14ac:dyDescent="0.25">
      <c r="A1519">
        <v>943.99791400000004</v>
      </c>
      <c r="B1519" s="1">
        <f>DATE(2012,11,29) + TIME(23,56,59)</f>
        <v>41242.99790509259</v>
      </c>
      <c r="C1519">
        <v>80</v>
      </c>
      <c r="D1519">
        <v>76.657821655000006</v>
      </c>
      <c r="E1519">
        <v>60</v>
      </c>
      <c r="F1519">
        <v>59.966838836999997</v>
      </c>
      <c r="G1519">
        <v>1297.1751709</v>
      </c>
      <c r="H1519">
        <v>1282.7453613</v>
      </c>
      <c r="I1519">
        <v>1397.9931641000001</v>
      </c>
      <c r="J1519">
        <v>1378.2513428</v>
      </c>
      <c r="K1519">
        <v>0</v>
      </c>
      <c r="L1519">
        <v>2750</v>
      </c>
      <c r="M1519">
        <v>2750</v>
      </c>
      <c r="N1519">
        <v>0</v>
      </c>
    </row>
    <row r="1520" spans="1:14" x14ac:dyDescent="0.25">
      <c r="A1520">
        <v>945</v>
      </c>
      <c r="B1520" s="1">
        <f>DATE(2012,12,1) + TIME(0,0,0)</f>
        <v>41244</v>
      </c>
      <c r="C1520">
        <v>80</v>
      </c>
      <c r="D1520">
        <v>76.564254761000001</v>
      </c>
      <c r="E1520">
        <v>60</v>
      </c>
      <c r="F1520">
        <v>59.966854095000002</v>
      </c>
      <c r="G1520">
        <v>1297.1252440999999</v>
      </c>
      <c r="H1520">
        <v>1282.6860352000001</v>
      </c>
      <c r="I1520">
        <v>1397.9331055</v>
      </c>
      <c r="J1520">
        <v>1378.2010498</v>
      </c>
      <c r="K1520">
        <v>0</v>
      </c>
      <c r="L1520">
        <v>2750</v>
      </c>
      <c r="M1520">
        <v>2750</v>
      </c>
      <c r="N1520">
        <v>0</v>
      </c>
    </row>
    <row r="1521" spans="1:14" x14ac:dyDescent="0.25">
      <c r="A1521">
        <v>946.02112099999999</v>
      </c>
      <c r="B1521" s="1">
        <f>DATE(2012,12,2) + TIME(0,30,24)</f>
        <v>41245.021111111113</v>
      </c>
      <c r="C1521">
        <v>80</v>
      </c>
      <c r="D1521">
        <v>76.470420837000006</v>
      </c>
      <c r="E1521">
        <v>60</v>
      </c>
      <c r="F1521">
        <v>59.966869354000004</v>
      </c>
      <c r="G1521">
        <v>1297.074707</v>
      </c>
      <c r="H1521">
        <v>1282.6258545000001</v>
      </c>
      <c r="I1521">
        <v>1397.8747559000001</v>
      </c>
      <c r="J1521">
        <v>1378.1522216999999</v>
      </c>
      <c r="K1521">
        <v>0</v>
      </c>
      <c r="L1521">
        <v>2750</v>
      </c>
      <c r="M1521">
        <v>2750</v>
      </c>
      <c r="N1521">
        <v>0</v>
      </c>
    </row>
    <row r="1522" spans="1:14" x14ac:dyDescent="0.25">
      <c r="A1522">
        <v>947.09019999999998</v>
      </c>
      <c r="B1522" s="1">
        <f>DATE(2012,12,3) + TIME(2,9,53)</f>
        <v>41246.090196759258</v>
      </c>
      <c r="C1522">
        <v>80</v>
      </c>
      <c r="D1522">
        <v>76.374946593999994</v>
      </c>
      <c r="E1522">
        <v>60</v>
      </c>
      <c r="F1522">
        <v>59.966888427999997</v>
      </c>
      <c r="G1522">
        <v>1297.0227050999999</v>
      </c>
      <c r="H1522">
        <v>1282.5635986</v>
      </c>
      <c r="I1522">
        <v>1397.8171387</v>
      </c>
      <c r="J1522">
        <v>1378.1038818</v>
      </c>
      <c r="K1522">
        <v>0</v>
      </c>
      <c r="L1522">
        <v>2750</v>
      </c>
      <c r="M1522">
        <v>2750</v>
      </c>
      <c r="N1522">
        <v>0</v>
      </c>
    </row>
    <row r="1523" spans="1:14" x14ac:dyDescent="0.25">
      <c r="A1523">
        <v>948.19392800000003</v>
      </c>
      <c r="B1523" s="1">
        <f>DATE(2012,12,4) + TIME(4,39,15)</f>
        <v>41247.193923611114</v>
      </c>
      <c r="C1523">
        <v>80</v>
      </c>
      <c r="D1523">
        <v>76.27734375</v>
      </c>
      <c r="E1523">
        <v>60</v>
      </c>
      <c r="F1523">
        <v>59.966903686999999</v>
      </c>
      <c r="G1523">
        <v>1296.9676514</v>
      </c>
      <c r="H1523">
        <v>1282.4975586</v>
      </c>
      <c r="I1523">
        <v>1397.7584228999999</v>
      </c>
      <c r="J1523">
        <v>1378.0546875</v>
      </c>
      <c r="K1523">
        <v>0</v>
      </c>
      <c r="L1523">
        <v>2750</v>
      </c>
      <c r="M1523">
        <v>2750</v>
      </c>
      <c r="N1523">
        <v>0</v>
      </c>
    </row>
    <row r="1524" spans="1:14" x14ac:dyDescent="0.25">
      <c r="A1524">
        <v>949.34219800000005</v>
      </c>
      <c r="B1524" s="1">
        <f>DATE(2012,12,5) + TIME(8,12,45)</f>
        <v>41248.342187499999</v>
      </c>
      <c r="C1524">
        <v>80</v>
      </c>
      <c r="D1524">
        <v>76.177307128999999</v>
      </c>
      <c r="E1524">
        <v>60</v>
      </c>
      <c r="F1524">
        <v>59.966922760000003</v>
      </c>
      <c r="G1524">
        <v>1296.9101562000001</v>
      </c>
      <c r="H1524">
        <v>1282.4283447</v>
      </c>
      <c r="I1524">
        <v>1397.6994629000001</v>
      </c>
      <c r="J1524">
        <v>1378.0053711</v>
      </c>
      <c r="K1524">
        <v>0</v>
      </c>
      <c r="L1524">
        <v>2750</v>
      </c>
      <c r="M1524">
        <v>2750</v>
      </c>
      <c r="N1524">
        <v>0</v>
      </c>
    </row>
    <row r="1525" spans="1:14" x14ac:dyDescent="0.25">
      <c r="A1525">
        <v>950.53395699999999</v>
      </c>
      <c r="B1525" s="1">
        <f>DATE(2012,12,6) + TIME(12,48,53)</f>
        <v>41249.533946759257</v>
      </c>
      <c r="C1525">
        <v>80</v>
      </c>
      <c r="D1525">
        <v>76.074630737000007</v>
      </c>
      <c r="E1525">
        <v>60</v>
      </c>
      <c r="F1525">
        <v>59.966945647999999</v>
      </c>
      <c r="G1525">
        <v>1296.8494873</v>
      </c>
      <c r="H1525">
        <v>1282.3552245999999</v>
      </c>
      <c r="I1525">
        <v>1397.6400146000001</v>
      </c>
      <c r="J1525">
        <v>1377.9555664</v>
      </c>
      <c r="K1525">
        <v>0</v>
      </c>
      <c r="L1525">
        <v>2750</v>
      </c>
      <c r="M1525">
        <v>2750</v>
      </c>
      <c r="N1525">
        <v>0</v>
      </c>
    </row>
    <row r="1526" spans="1:14" x14ac:dyDescent="0.25">
      <c r="A1526">
        <v>951.74581599999999</v>
      </c>
      <c r="B1526" s="1">
        <f>DATE(2012,12,7) + TIME(17,53,58)</f>
        <v>41250.745810185188</v>
      </c>
      <c r="C1526">
        <v>80</v>
      </c>
      <c r="D1526">
        <v>75.970062256000006</v>
      </c>
      <c r="E1526">
        <v>60</v>
      </c>
      <c r="F1526">
        <v>59.966964722</v>
      </c>
      <c r="G1526">
        <v>1296.7855225000001</v>
      </c>
      <c r="H1526">
        <v>1282.2779541</v>
      </c>
      <c r="I1526">
        <v>1397.5799560999999</v>
      </c>
      <c r="J1526">
        <v>1377.9052733999999</v>
      </c>
      <c r="K1526">
        <v>0</v>
      </c>
      <c r="L1526">
        <v>2750</v>
      </c>
      <c r="M1526">
        <v>2750</v>
      </c>
      <c r="N1526">
        <v>0</v>
      </c>
    </row>
    <row r="1527" spans="1:14" x14ac:dyDescent="0.25">
      <c r="A1527">
        <v>952.96815800000002</v>
      </c>
      <c r="B1527" s="1">
        <f>DATE(2012,12,8) + TIME(23,14,8)</f>
        <v>41251.968148148146</v>
      </c>
      <c r="C1527">
        <v>80</v>
      </c>
      <c r="D1527">
        <v>75.864707946999999</v>
      </c>
      <c r="E1527">
        <v>60</v>
      </c>
      <c r="F1527">
        <v>59.966987609999997</v>
      </c>
      <c r="G1527">
        <v>1296.7196045000001</v>
      </c>
      <c r="H1527">
        <v>1282.1979980000001</v>
      </c>
      <c r="I1527">
        <v>1397.5205077999999</v>
      </c>
      <c r="J1527">
        <v>1377.8554687999999</v>
      </c>
      <c r="K1527">
        <v>0</v>
      </c>
      <c r="L1527">
        <v>2750</v>
      </c>
      <c r="M1527">
        <v>2750</v>
      </c>
      <c r="N1527">
        <v>0</v>
      </c>
    </row>
    <row r="1528" spans="1:14" x14ac:dyDescent="0.25">
      <c r="A1528">
        <v>954.20827199999997</v>
      </c>
      <c r="B1528" s="1">
        <f>DATE(2012,12,10) + TIME(4,59,54)</f>
        <v>41253.20826388889</v>
      </c>
      <c r="C1528">
        <v>80</v>
      </c>
      <c r="D1528">
        <v>75.758972168</v>
      </c>
      <c r="E1528">
        <v>60</v>
      </c>
      <c r="F1528">
        <v>59.967006683000001</v>
      </c>
      <c r="G1528">
        <v>1296.6520995999999</v>
      </c>
      <c r="H1528">
        <v>1282.1157227000001</v>
      </c>
      <c r="I1528">
        <v>1397.4624022999999</v>
      </c>
      <c r="J1528">
        <v>1377.8066406</v>
      </c>
      <c r="K1528">
        <v>0</v>
      </c>
      <c r="L1528">
        <v>2750</v>
      </c>
      <c r="M1528">
        <v>2750</v>
      </c>
      <c r="N1528">
        <v>0</v>
      </c>
    </row>
    <row r="1529" spans="1:14" x14ac:dyDescent="0.25">
      <c r="A1529">
        <v>955.47351900000001</v>
      </c>
      <c r="B1529" s="1">
        <f>DATE(2012,12,11) + TIME(11,21,52)</f>
        <v>41254.47351851852</v>
      </c>
      <c r="C1529">
        <v>80</v>
      </c>
      <c r="D1529">
        <v>75.652633667000003</v>
      </c>
      <c r="E1529">
        <v>60</v>
      </c>
      <c r="F1529">
        <v>59.967029572000001</v>
      </c>
      <c r="G1529">
        <v>1296.5825195</v>
      </c>
      <c r="H1529">
        <v>1282.0305175999999</v>
      </c>
      <c r="I1529">
        <v>1397.4049072</v>
      </c>
      <c r="J1529">
        <v>1377.7584228999999</v>
      </c>
      <c r="K1529">
        <v>0</v>
      </c>
      <c r="L1529">
        <v>2750</v>
      </c>
      <c r="M1529">
        <v>2750</v>
      </c>
      <c r="N1529">
        <v>0</v>
      </c>
    </row>
    <row r="1530" spans="1:14" x14ac:dyDescent="0.25">
      <c r="A1530">
        <v>956.77167699999995</v>
      </c>
      <c r="B1530" s="1">
        <f>DATE(2012,12,12) + TIME(18,31,12)</f>
        <v>41255.771666666667</v>
      </c>
      <c r="C1530">
        <v>80</v>
      </c>
      <c r="D1530">
        <v>75.545234679999993</v>
      </c>
      <c r="E1530">
        <v>60</v>
      </c>
      <c r="F1530">
        <v>59.967052459999998</v>
      </c>
      <c r="G1530">
        <v>1296.510376</v>
      </c>
      <c r="H1530">
        <v>1281.9420166</v>
      </c>
      <c r="I1530">
        <v>1397.3479004000001</v>
      </c>
      <c r="J1530">
        <v>1377.7105713000001</v>
      </c>
      <c r="K1530">
        <v>0</v>
      </c>
      <c r="L1530">
        <v>2750</v>
      </c>
      <c r="M1530">
        <v>2750</v>
      </c>
      <c r="N1530">
        <v>0</v>
      </c>
    </row>
    <row r="1531" spans="1:14" x14ac:dyDescent="0.25">
      <c r="A1531">
        <v>958.11124600000005</v>
      </c>
      <c r="B1531" s="1">
        <f>DATE(2012,12,14) + TIME(2,40,11)</f>
        <v>41257.111238425925</v>
      </c>
      <c r="C1531">
        <v>80</v>
      </c>
      <c r="D1531">
        <v>75.436203003000003</v>
      </c>
      <c r="E1531">
        <v>60</v>
      </c>
      <c r="F1531">
        <v>59.967079163000001</v>
      </c>
      <c r="G1531">
        <v>1296.4353027</v>
      </c>
      <c r="H1531">
        <v>1281.8493652</v>
      </c>
      <c r="I1531">
        <v>1397.2908935999999</v>
      </c>
      <c r="J1531">
        <v>1377.6627197</v>
      </c>
      <c r="K1531">
        <v>0</v>
      </c>
      <c r="L1531">
        <v>2750</v>
      </c>
      <c r="M1531">
        <v>2750</v>
      </c>
      <c r="N1531">
        <v>0</v>
      </c>
    </row>
    <row r="1532" spans="1:14" x14ac:dyDescent="0.25">
      <c r="A1532">
        <v>959.49118399999998</v>
      </c>
      <c r="B1532" s="1">
        <f>DATE(2012,12,15) + TIME(11,47,18)</f>
        <v>41258.491180555553</v>
      </c>
      <c r="C1532">
        <v>80</v>
      </c>
      <c r="D1532">
        <v>75.325202942000004</v>
      </c>
      <c r="E1532">
        <v>60</v>
      </c>
      <c r="F1532">
        <v>59.967105865000001</v>
      </c>
      <c r="G1532">
        <v>1296.3564452999999</v>
      </c>
      <c r="H1532">
        <v>1281.7518310999999</v>
      </c>
      <c r="I1532">
        <v>1397.2336425999999</v>
      </c>
      <c r="J1532">
        <v>1377.6145019999999</v>
      </c>
      <c r="K1532">
        <v>0</v>
      </c>
      <c r="L1532">
        <v>2750</v>
      </c>
      <c r="M1532">
        <v>2750</v>
      </c>
      <c r="N1532">
        <v>0</v>
      </c>
    </row>
    <row r="1533" spans="1:14" x14ac:dyDescent="0.25">
      <c r="A1533">
        <v>960.92011000000002</v>
      </c>
      <c r="B1533" s="1">
        <f>DATE(2012,12,16) + TIME(22,4,57)</f>
        <v>41259.920104166667</v>
      </c>
      <c r="C1533">
        <v>80</v>
      </c>
      <c r="D1533">
        <v>75.211944579999994</v>
      </c>
      <c r="E1533">
        <v>60</v>
      </c>
      <c r="F1533">
        <v>59.967132567999997</v>
      </c>
      <c r="G1533">
        <v>1296.2738036999999</v>
      </c>
      <c r="H1533">
        <v>1281.6492920000001</v>
      </c>
      <c r="I1533">
        <v>1397.1761475000001</v>
      </c>
      <c r="J1533">
        <v>1377.5661620999999</v>
      </c>
      <c r="K1533">
        <v>0</v>
      </c>
      <c r="L1533">
        <v>2750</v>
      </c>
      <c r="M1533">
        <v>2750</v>
      </c>
      <c r="N1533">
        <v>0</v>
      </c>
    </row>
    <row r="1534" spans="1:14" x14ac:dyDescent="0.25">
      <c r="A1534">
        <v>962.37242400000002</v>
      </c>
      <c r="B1534" s="1">
        <f>DATE(2012,12,18) + TIME(8,56,17)</f>
        <v>41261.372418981482</v>
      </c>
      <c r="C1534">
        <v>80</v>
      </c>
      <c r="D1534">
        <v>75.096847534000005</v>
      </c>
      <c r="E1534">
        <v>60</v>
      </c>
      <c r="F1534">
        <v>59.967159271</v>
      </c>
      <c r="G1534">
        <v>1296.1867675999999</v>
      </c>
      <c r="H1534">
        <v>1281.5408935999999</v>
      </c>
      <c r="I1534">
        <v>1397.1181641000001</v>
      </c>
      <c r="J1534">
        <v>1377.5173339999999</v>
      </c>
      <c r="K1534">
        <v>0</v>
      </c>
      <c r="L1534">
        <v>2750</v>
      </c>
      <c r="M1534">
        <v>2750</v>
      </c>
      <c r="N1534">
        <v>0</v>
      </c>
    </row>
    <row r="1535" spans="1:14" x14ac:dyDescent="0.25">
      <c r="A1535">
        <v>963.85096999999996</v>
      </c>
      <c r="B1535" s="1">
        <f>DATE(2012,12,19) + TIME(20,25,23)</f>
        <v>41262.850960648146</v>
      </c>
      <c r="C1535">
        <v>80</v>
      </c>
      <c r="D1535">
        <v>74.980674743999998</v>
      </c>
      <c r="E1535">
        <v>60</v>
      </c>
      <c r="F1535">
        <v>59.967189789000003</v>
      </c>
      <c r="G1535">
        <v>1296.0966797000001</v>
      </c>
      <c r="H1535">
        <v>1281.4281006000001</v>
      </c>
      <c r="I1535">
        <v>1397.0607910000001</v>
      </c>
      <c r="J1535">
        <v>1377.4689940999999</v>
      </c>
      <c r="K1535">
        <v>0</v>
      </c>
      <c r="L1535">
        <v>2750</v>
      </c>
      <c r="M1535">
        <v>2750</v>
      </c>
      <c r="N1535">
        <v>0</v>
      </c>
    </row>
    <row r="1536" spans="1:14" x14ac:dyDescent="0.25">
      <c r="A1536">
        <v>965.33909100000005</v>
      </c>
      <c r="B1536" s="1">
        <f>DATE(2012,12,21) + TIME(8,8,17)</f>
        <v>41264.339085648149</v>
      </c>
      <c r="C1536">
        <v>80</v>
      </c>
      <c r="D1536">
        <v>74.863945006999998</v>
      </c>
      <c r="E1536">
        <v>60</v>
      </c>
      <c r="F1536">
        <v>59.967216491999999</v>
      </c>
      <c r="G1536">
        <v>1296.0030518000001</v>
      </c>
      <c r="H1536">
        <v>1281.3106689000001</v>
      </c>
      <c r="I1536">
        <v>1397.0037841999999</v>
      </c>
      <c r="J1536">
        <v>1377.4208983999999</v>
      </c>
      <c r="K1536">
        <v>0</v>
      </c>
      <c r="L1536">
        <v>2750</v>
      </c>
      <c r="M1536">
        <v>2750</v>
      </c>
      <c r="N1536">
        <v>0</v>
      </c>
    </row>
    <row r="1537" spans="1:14" x14ac:dyDescent="0.25">
      <c r="A1537">
        <v>966.84523999999999</v>
      </c>
      <c r="B1537" s="1">
        <f>DATE(2012,12,22) + TIME(20,17,8)</f>
        <v>41265.845231481479</v>
      </c>
      <c r="C1537">
        <v>80</v>
      </c>
      <c r="D1537">
        <v>74.747146606000001</v>
      </c>
      <c r="E1537">
        <v>60</v>
      </c>
      <c r="F1537">
        <v>59.967247008999998</v>
      </c>
      <c r="G1537">
        <v>1295.9071045000001</v>
      </c>
      <c r="H1537">
        <v>1281.1895752</v>
      </c>
      <c r="I1537">
        <v>1396.947876</v>
      </c>
      <c r="J1537">
        <v>1377.3737793</v>
      </c>
      <c r="K1537">
        <v>0</v>
      </c>
      <c r="L1537">
        <v>2750</v>
      </c>
      <c r="M1537">
        <v>2750</v>
      </c>
      <c r="N1537">
        <v>0</v>
      </c>
    </row>
    <row r="1538" spans="1:14" x14ac:dyDescent="0.25">
      <c r="A1538">
        <v>968.37789599999996</v>
      </c>
      <c r="B1538" s="1">
        <f>DATE(2012,12,24) + TIME(9,4,10)</f>
        <v>41267.377893518518</v>
      </c>
      <c r="C1538">
        <v>80</v>
      </c>
      <c r="D1538">
        <v>74.629951477000006</v>
      </c>
      <c r="E1538">
        <v>60</v>
      </c>
      <c r="F1538">
        <v>59.967277527</v>
      </c>
      <c r="G1538">
        <v>1295.8081055</v>
      </c>
      <c r="H1538">
        <v>1281.0640868999999</v>
      </c>
      <c r="I1538">
        <v>1396.8925781</v>
      </c>
      <c r="J1538">
        <v>1377.3271483999999</v>
      </c>
      <c r="K1538">
        <v>0</v>
      </c>
      <c r="L1538">
        <v>2750</v>
      </c>
      <c r="M1538">
        <v>2750</v>
      </c>
      <c r="N1538">
        <v>0</v>
      </c>
    </row>
    <row r="1539" spans="1:14" x14ac:dyDescent="0.25">
      <c r="A1539">
        <v>969.94595800000002</v>
      </c>
      <c r="B1539" s="1">
        <f>DATE(2012,12,25) + TIME(22,42,10)</f>
        <v>41268.945949074077</v>
      </c>
      <c r="C1539">
        <v>80</v>
      </c>
      <c r="D1539">
        <v>74.511825561999999</v>
      </c>
      <c r="E1539">
        <v>60</v>
      </c>
      <c r="F1539">
        <v>59.967308043999999</v>
      </c>
      <c r="G1539">
        <v>1295.7054443</v>
      </c>
      <c r="H1539">
        <v>1280.9335937999999</v>
      </c>
      <c r="I1539">
        <v>1396.8377685999999</v>
      </c>
      <c r="J1539">
        <v>1377.2807617000001</v>
      </c>
      <c r="K1539">
        <v>0</v>
      </c>
      <c r="L1539">
        <v>2750</v>
      </c>
      <c r="M1539">
        <v>2750</v>
      </c>
      <c r="N1539">
        <v>0</v>
      </c>
    </row>
    <row r="1540" spans="1:14" x14ac:dyDescent="0.25">
      <c r="A1540">
        <v>971.55904799999996</v>
      </c>
      <c r="B1540" s="1">
        <f>DATE(2012,12,27) + TIME(13,25,1)</f>
        <v>41270.559039351851</v>
      </c>
      <c r="C1540">
        <v>80</v>
      </c>
      <c r="D1540">
        <v>74.392127990999995</v>
      </c>
      <c r="E1540">
        <v>60</v>
      </c>
      <c r="F1540">
        <v>59.967342377000001</v>
      </c>
      <c r="G1540">
        <v>1295.5985106999999</v>
      </c>
      <c r="H1540">
        <v>1280.796875</v>
      </c>
      <c r="I1540">
        <v>1396.7830810999999</v>
      </c>
      <c r="J1540">
        <v>1377.234375</v>
      </c>
      <c r="K1540">
        <v>0</v>
      </c>
      <c r="L1540">
        <v>2750</v>
      </c>
      <c r="M1540">
        <v>2750</v>
      </c>
      <c r="N1540">
        <v>0</v>
      </c>
    </row>
    <row r="1541" spans="1:14" x14ac:dyDescent="0.25">
      <c r="A1541">
        <v>973.22787800000003</v>
      </c>
      <c r="B1541" s="1">
        <f>DATE(2012,12,29) + TIME(5,28,8)</f>
        <v>41272.227870370371</v>
      </c>
      <c r="C1541">
        <v>80</v>
      </c>
      <c r="D1541">
        <v>74.270149231000005</v>
      </c>
      <c r="E1541">
        <v>60</v>
      </c>
      <c r="F1541">
        <v>59.967376709</v>
      </c>
      <c r="G1541">
        <v>1295.4862060999999</v>
      </c>
      <c r="H1541">
        <v>1280.6530762</v>
      </c>
      <c r="I1541">
        <v>1396.7280272999999</v>
      </c>
      <c r="J1541">
        <v>1377.1877440999999</v>
      </c>
      <c r="K1541">
        <v>0</v>
      </c>
      <c r="L1541">
        <v>2750</v>
      </c>
      <c r="M1541">
        <v>2750</v>
      </c>
      <c r="N1541">
        <v>0</v>
      </c>
    </row>
    <row r="1542" spans="1:14" x14ac:dyDescent="0.25">
      <c r="A1542">
        <v>974.92798100000005</v>
      </c>
      <c r="B1542" s="1">
        <f>DATE(2012,12,30) + TIME(22,16,17)</f>
        <v>41273.927974537037</v>
      </c>
      <c r="C1542">
        <v>80</v>
      </c>
      <c r="D1542">
        <v>74.145935058999996</v>
      </c>
      <c r="E1542">
        <v>60</v>
      </c>
      <c r="F1542">
        <v>59.967411040999998</v>
      </c>
      <c r="G1542">
        <v>1295.3679199000001</v>
      </c>
      <c r="H1542">
        <v>1280.5009766000001</v>
      </c>
      <c r="I1542">
        <v>1396.6723632999999</v>
      </c>
      <c r="J1542">
        <v>1377.140625</v>
      </c>
      <c r="K1542">
        <v>0</v>
      </c>
      <c r="L1542">
        <v>2750</v>
      </c>
      <c r="M1542">
        <v>2750</v>
      </c>
      <c r="N1542">
        <v>0</v>
      </c>
    </row>
    <row r="1543" spans="1:14" x14ac:dyDescent="0.25">
      <c r="A1543">
        <v>976</v>
      </c>
      <c r="B1543" s="1">
        <f>DATE(2013,1,1) + TIME(0,0,0)</f>
        <v>41275</v>
      </c>
      <c r="C1543">
        <v>80</v>
      </c>
      <c r="D1543">
        <v>74.039886475000003</v>
      </c>
      <c r="E1543">
        <v>60</v>
      </c>
      <c r="F1543">
        <v>59.967430114999999</v>
      </c>
      <c r="G1543">
        <v>1295.2457274999999</v>
      </c>
      <c r="H1543">
        <v>1280.3468018000001</v>
      </c>
      <c r="I1543">
        <v>1396.6166992000001</v>
      </c>
      <c r="J1543">
        <v>1377.0933838000001</v>
      </c>
      <c r="K1543">
        <v>0</v>
      </c>
      <c r="L1543">
        <v>2750</v>
      </c>
      <c r="M1543">
        <v>2750</v>
      </c>
      <c r="N1543">
        <v>0</v>
      </c>
    </row>
    <row r="1544" spans="1:14" x14ac:dyDescent="0.25">
      <c r="A1544">
        <v>977.72535800000003</v>
      </c>
      <c r="B1544" s="1">
        <f>DATE(2013,1,2) + TIME(17,24,30)</f>
        <v>41276.725347222222</v>
      </c>
      <c r="C1544">
        <v>80</v>
      </c>
      <c r="D1544">
        <v>73.933433532999999</v>
      </c>
      <c r="E1544">
        <v>60</v>
      </c>
      <c r="F1544">
        <v>59.967468261999997</v>
      </c>
      <c r="G1544">
        <v>1295.1632079999999</v>
      </c>
      <c r="H1544">
        <v>1280.2342529</v>
      </c>
      <c r="I1544">
        <v>1396.5828856999999</v>
      </c>
      <c r="J1544">
        <v>1377.0645752</v>
      </c>
      <c r="K1544">
        <v>0</v>
      </c>
      <c r="L1544">
        <v>2750</v>
      </c>
      <c r="M1544">
        <v>2750</v>
      </c>
      <c r="N1544">
        <v>0</v>
      </c>
    </row>
    <row r="1545" spans="1:14" x14ac:dyDescent="0.25">
      <c r="A1545">
        <v>979.49946699999998</v>
      </c>
      <c r="B1545" s="1">
        <f>DATE(2013,1,4) + TIME(11,59,13)</f>
        <v>41278.499456018515</v>
      </c>
      <c r="C1545">
        <v>80</v>
      </c>
      <c r="D1545">
        <v>73.812568665000001</v>
      </c>
      <c r="E1545">
        <v>60</v>
      </c>
      <c r="F1545">
        <v>59.967506409000002</v>
      </c>
      <c r="G1545">
        <v>1295.0357666</v>
      </c>
      <c r="H1545">
        <v>1280.0699463000001</v>
      </c>
      <c r="I1545">
        <v>1396.5288086</v>
      </c>
      <c r="J1545">
        <v>1377.0186768000001</v>
      </c>
      <c r="K1545">
        <v>0</v>
      </c>
      <c r="L1545">
        <v>2750</v>
      </c>
      <c r="M1545">
        <v>2750</v>
      </c>
      <c r="N1545">
        <v>0</v>
      </c>
    </row>
    <row r="1546" spans="1:14" x14ac:dyDescent="0.25">
      <c r="A1546">
        <v>981.29257700000005</v>
      </c>
      <c r="B1546" s="1">
        <f>DATE(2013,1,6) + TIME(7,1,18)</f>
        <v>41280.292569444442</v>
      </c>
      <c r="C1546">
        <v>80</v>
      </c>
      <c r="D1546">
        <v>73.686119079999997</v>
      </c>
      <c r="E1546">
        <v>60</v>
      </c>
      <c r="F1546">
        <v>59.967544556</v>
      </c>
      <c r="G1546">
        <v>1294.9008789</v>
      </c>
      <c r="H1546">
        <v>1279.8945312000001</v>
      </c>
      <c r="I1546">
        <v>1396.4744873</v>
      </c>
      <c r="J1546">
        <v>1376.9724120999999</v>
      </c>
      <c r="K1546">
        <v>0</v>
      </c>
      <c r="L1546">
        <v>2750</v>
      </c>
      <c r="M1546">
        <v>2750</v>
      </c>
      <c r="N1546">
        <v>0</v>
      </c>
    </row>
    <row r="1547" spans="1:14" x14ac:dyDescent="0.25">
      <c r="A1547">
        <v>983.11461799999995</v>
      </c>
      <c r="B1547" s="1">
        <f>DATE(2013,1,8) + TIME(2,45,3)</f>
        <v>41282.114618055559</v>
      </c>
      <c r="C1547">
        <v>80</v>
      </c>
      <c r="D1547">
        <v>73.557456970000004</v>
      </c>
      <c r="E1547">
        <v>60</v>
      </c>
      <c r="F1547">
        <v>59.967582702999998</v>
      </c>
      <c r="G1547">
        <v>1294.7612305</v>
      </c>
      <c r="H1547">
        <v>1279.7119141000001</v>
      </c>
      <c r="I1547">
        <v>1396.4207764</v>
      </c>
      <c r="J1547">
        <v>1376.9265137</v>
      </c>
      <c r="K1547">
        <v>0</v>
      </c>
      <c r="L1547">
        <v>2750</v>
      </c>
      <c r="M1547">
        <v>2750</v>
      </c>
      <c r="N1547">
        <v>0</v>
      </c>
    </row>
    <row r="1548" spans="1:14" x14ac:dyDescent="0.25">
      <c r="A1548">
        <v>984.97582199999999</v>
      </c>
      <c r="B1548" s="1">
        <f>DATE(2013,1,9) + TIME(23,25,11)</f>
        <v>41283.975821759261</v>
      </c>
      <c r="C1548">
        <v>80</v>
      </c>
      <c r="D1548">
        <v>73.427032471000004</v>
      </c>
      <c r="E1548">
        <v>60</v>
      </c>
      <c r="F1548">
        <v>59.967620850000003</v>
      </c>
      <c r="G1548">
        <v>1294.6163329999999</v>
      </c>
      <c r="H1548">
        <v>1279.5216064000001</v>
      </c>
      <c r="I1548">
        <v>1396.3674315999999</v>
      </c>
      <c r="J1548">
        <v>1376.8809814000001</v>
      </c>
      <c r="K1548">
        <v>0</v>
      </c>
      <c r="L1548">
        <v>2750</v>
      </c>
      <c r="M1548">
        <v>2750</v>
      </c>
      <c r="N1548">
        <v>0</v>
      </c>
    </row>
    <row r="1549" spans="1:14" x14ac:dyDescent="0.25">
      <c r="A1549">
        <v>986.87241800000004</v>
      </c>
      <c r="B1549" s="1">
        <f>DATE(2013,1,11) + TIME(20,56,16)</f>
        <v>41285.872407407405</v>
      </c>
      <c r="C1549">
        <v>80</v>
      </c>
      <c r="D1549">
        <v>73.294715881000002</v>
      </c>
      <c r="E1549">
        <v>60</v>
      </c>
      <c r="F1549">
        <v>59.967662810999997</v>
      </c>
      <c r="G1549">
        <v>1294.4654541</v>
      </c>
      <c r="H1549">
        <v>1279.3226318</v>
      </c>
      <c r="I1549">
        <v>1396.3139647999999</v>
      </c>
      <c r="J1549">
        <v>1376.8353271000001</v>
      </c>
      <c r="K1549">
        <v>0</v>
      </c>
      <c r="L1549">
        <v>2750</v>
      </c>
      <c r="M1549">
        <v>2750</v>
      </c>
      <c r="N1549">
        <v>0</v>
      </c>
    </row>
    <row r="1550" spans="1:14" x14ac:dyDescent="0.25">
      <c r="A1550">
        <v>988.80459299999995</v>
      </c>
      <c r="B1550" s="1">
        <f>DATE(2013,1,13) + TIME(19,18,36)</f>
        <v>41287.804583333331</v>
      </c>
      <c r="C1550">
        <v>80</v>
      </c>
      <c r="D1550">
        <v>73.160499572999996</v>
      </c>
      <c r="E1550">
        <v>60</v>
      </c>
      <c r="F1550">
        <v>59.967700958000002</v>
      </c>
      <c r="G1550">
        <v>1294.3084716999999</v>
      </c>
      <c r="H1550">
        <v>1279.1149902</v>
      </c>
      <c r="I1550">
        <v>1396.2607422000001</v>
      </c>
      <c r="J1550">
        <v>1376.7897949000001</v>
      </c>
      <c r="K1550">
        <v>0</v>
      </c>
      <c r="L1550">
        <v>2750</v>
      </c>
      <c r="M1550">
        <v>2750</v>
      </c>
      <c r="N1550">
        <v>0</v>
      </c>
    </row>
    <row r="1551" spans="1:14" x14ac:dyDescent="0.25">
      <c r="A1551">
        <v>990.78552400000001</v>
      </c>
      <c r="B1551" s="1">
        <f>DATE(2013,1,15) + TIME(18,51,9)</f>
        <v>41289.785520833335</v>
      </c>
      <c r="C1551">
        <v>80</v>
      </c>
      <c r="D1551">
        <v>73.024085998999993</v>
      </c>
      <c r="E1551">
        <v>60</v>
      </c>
      <c r="F1551">
        <v>59.967746734999999</v>
      </c>
      <c r="G1551">
        <v>1294.1453856999999</v>
      </c>
      <c r="H1551">
        <v>1278.8984375</v>
      </c>
      <c r="I1551">
        <v>1396.2077637</v>
      </c>
      <c r="J1551">
        <v>1376.7443848</v>
      </c>
      <c r="K1551">
        <v>0</v>
      </c>
      <c r="L1551">
        <v>2750</v>
      </c>
      <c r="M1551">
        <v>2750</v>
      </c>
      <c r="N1551">
        <v>0</v>
      </c>
    </row>
    <row r="1552" spans="1:14" x14ac:dyDescent="0.25">
      <c r="A1552">
        <v>992.82961299999999</v>
      </c>
      <c r="B1552" s="1">
        <f>DATE(2013,1,17) + TIME(19,54,38)</f>
        <v>41291.829606481479</v>
      </c>
      <c r="C1552">
        <v>80</v>
      </c>
      <c r="D1552">
        <v>72.884613036999994</v>
      </c>
      <c r="E1552">
        <v>60</v>
      </c>
      <c r="F1552">
        <v>59.967788696</v>
      </c>
      <c r="G1552">
        <v>1293.9748535000001</v>
      </c>
      <c r="H1552">
        <v>1278.6711425999999</v>
      </c>
      <c r="I1552">
        <v>1396.1544189000001</v>
      </c>
      <c r="J1552">
        <v>1376.6987305</v>
      </c>
      <c r="K1552">
        <v>0</v>
      </c>
      <c r="L1552">
        <v>2750</v>
      </c>
      <c r="M1552">
        <v>2750</v>
      </c>
      <c r="N1552">
        <v>0</v>
      </c>
    </row>
    <row r="1553" spans="1:14" x14ac:dyDescent="0.25">
      <c r="A1553">
        <v>994.89068999999995</v>
      </c>
      <c r="B1553" s="1">
        <f>DATE(2013,1,19) + TIME(21,22,35)</f>
        <v>41293.890682870369</v>
      </c>
      <c r="C1553">
        <v>80</v>
      </c>
      <c r="D1553">
        <v>72.742126464999998</v>
      </c>
      <c r="E1553">
        <v>60</v>
      </c>
      <c r="F1553">
        <v>59.967834473000003</v>
      </c>
      <c r="G1553">
        <v>1293.7955322</v>
      </c>
      <c r="H1553">
        <v>1278.4316406</v>
      </c>
      <c r="I1553">
        <v>1396.1005858999999</v>
      </c>
      <c r="J1553">
        <v>1376.6524658000001</v>
      </c>
      <c r="K1553">
        <v>0</v>
      </c>
      <c r="L1553">
        <v>2750</v>
      </c>
      <c r="M1553">
        <v>2750</v>
      </c>
      <c r="N1553">
        <v>0</v>
      </c>
    </row>
    <row r="1554" spans="1:14" x14ac:dyDescent="0.25">
      <c r="A1554">
        <v>996.96486800000002</v>
      </c>
      <c r="B1554" s="1">
        <f>DATE(2013,1,21) + TIME(23,9,24)</f>
        <v>41295.964861111112</v>
      </c>
      <c r="C1554">
        <v>80</v>
      </c>
      <c r="D1554">
        <v>72.598114014000004</v>
      </c>
      <c r="E1554">
        <v>60</v>
      </c>
      <c r="F1554">
        <v>59.967876433999997</v>
      </c>
      <c r="G1554">
        <v>1293.6108397999999</v>
      </c>
      <c r="H1554">
        <v>1278.1838379000001</v>
      </c>
      <c r="I1554">
        <v>1396.0473632999999</v>
      </c>
      <c r="J1554">
        <v>1376.6066894999999</v>
      </c>
      <c r="K1554">
        <v>0</v>
      </c>
      <c r="L1554">
        <v>2750</v>
      </c>
      <c r="M1554">
        <v>2750</v>
      </c>
      <c r="N1554">
        <v>0</v>
      </c>
    </row>
    <row r="1555" spans="1:14" x14ac:dyDescent="0.25">
      <c r="A1555">
        <v>999.06548499999997</v>
      </c>
      <c r="B1555" s="1">
        <f>DATE(2013,1,24) + TIME(1,34,17)</f>
        <v>41298.065474537034</v>
      </c>
      <c r="C1555">
        <v>80</v>
      </c>
      <c r="D1555">
        <v>72.452728270999998</v>
      </c>
      <c r="E1555">
        <v>60</v>
      </c>
      <c r="F1555">
        <v>59.967922211000001</v>
      </c>
      <c r="G1555">
        <v>1293.4210204999999</v>
      </c>
      <c r="H1555">
        <v>1277.9283447</v>
      </c>
      <c r="I1555">
        <v>1395.9948730000001</v>
      </c>
      <c r="J1555">
        <v>1376.5614014</v>
      </c>
      <c r="K1555">
        <v>0</v>
      </c>
      <c r="L1555">
        <v>2750</v>
      </c>
      <c r="M1555">
        <v>2750</v>
      </c>
      <c r="N1555">
        <v>0</v>
      </c>
    </row>
    <row r="1556" spans="1:14" x14ac:dyDescent="0.25">
      <c r="A1556">
        <v>1001.206246</v>
      </c>
      <c r="B1556" s="1">
        <f>DATE(2013,1,26) + TIME(4,56,59)</f>
        <v>41300.206238425926</v>
      </c>
      <c r="C1556">
        <v>80</v>
      </c>
      <c r="D1556">
        <v>72.305183411000002</v>
      </c>
      <c r="E1556">
        <v>60</v>
      </c>
      <c r="F1556">
        <v>59.967967987000002</v>
      </c>
      <c r="G1556">
        <v>1293.2252197</v>
      </c>
      <c r="H1556">
        <v>1277.6636963000001</v>
      </c>
      <c r="I1556">
        <v>1395.942749</v>
      </c>
      <c r="J1556">
        <v>1376.5164795000001</v>
      </c>
      <c r="K1556">
        <v>0</v>
      </c>
      <c r="L1556">
        <v>2750</v>
      </c>
      <c r="M1556">
        <v>2750</v>
      </c>
      <c r="N1556">
        <v>0</v>
      </c>
    </row>
    <row r="1557" spans="1:14" x14ac:dyDescent="0.25">
      <c r="A1557">
        <v>1003.40164</v>
      </c>
      <c r="B1557" s="1">
        <f>DATE(2013,1,28) + TIME(9,38,21)</f>
        <v>41302.401631944442</v>
      </c>
      <c r="C1557">
        <v>80</v>
      </c>
      <c r="D1557">
        <v>72.154411315999994</v>
      </c>
      <c r="E1557">
        <v>60</v>
      </c>
      <c r="F1557">
        <v>59.968013763000002</v>
      </c>
      <c r="G1557">
        <v>1293.0218506000001</v>
      </c>
      <c r="H1557">
        <v>1277.3881836</v>
      </c>
      <c r="I1557">
        <v>1395.8907471</v>
      </c>
      <c r="J1557">
        <v>1376.4715576000001</v>
      </c>
      <c r="K1557">
        <v>0</v>
      </c>
      <c r="L1557">
        <v>2750</v>
      </c>
      <c r="M1557">
        <v>2750</v>
      </c>
      <c r="N1557">
        <v>0</v>
      </c>
    </row>
    <row r="1558" spans="1:14" x14ac:dyDescent="0.25">
      <c r="A1558">
        <v>1005.634324</v>
      </c>
      <c r="B1558" s="1">
        <f>DATE(2013,1,30) + TIME(15,13,25)</f>
        <v>41304.634317129632</v>
      </c>
      <c r="C1558">
        <v>80</v>
      </c>
      <c r="D1558">
        <v>71.999740600999999</v>
      </c>
      <c r="E1558">
        <v>60</v>
      </c>
      <c r="F1558">
        <v>59.968063354000002</v>
      </c>
      <c r="G1558">
        <v>1292.8096923999999</v>
      </c>
      <c r="H1558">
        <v>1277.0998535000001</v>
      </c>
      <c r="I1558">
        <v>1395.8382568</v>
      </c>
      <c r="J1558">
        <v>1376.4262695</v>
      </c>
      <c r="K1558">
        <v>0</v>
      </c>
      <c r="L1558">
        <v>2750</v>
      </c>
      <c r="M1558">
        <v>2750</v>
      </c>
      <c r="N1558">
        <v>0</v>
      </c>
    </row>
    <row r="1559" spans="1:14" x14ac:dyDescent="0.25">
      <c r="A1559">
        <v>1007</v>
      </c>
      <c r="B1559" s="1">
        <f>DATE(2013,2,1) + TIME(0,0,0)</f>
        <v>41306</v>
      </c>
      <c r="C1559">
        <v>80</v>
      </c>
      <c r="D1559">
        <v>71.863349915000001</v>
      </c>
      <c r="E1559">
        <v>60</v>
      </c>
      <c r="F1559">
        <v>59.968090056999998</v>
      </c>
      <c r="G1559">
        <v>1292.5932617000001</v>
      </c>
      <c r="H1559">
        <v>1276.8103027</v>
      </c>
      <c r="I1559">
        <v>1395.7855225000001</v>
      </c>
      <c r="J1559">
        <v>1376.3804932</v>
      </c>
      <c r="K1559">
        <v>0</v>
      </c>
      <c r="L1559">
        <v>2750</v>
      </c>
      <c r="M1559">
        <v>2750</v>
      </c>
      <c r="N1559">
        <v>0</v>
      </c>
    </row>
    <row r="1560" spans="1:14" x14ac:dyDescent="0.25">
      <c r="A1560">
        <v>1009.280569</v>
      </c>
      <c r="B1560" s="1">
        <f>DATE(2013,2,3) + TIME(6,44,1)</f>
        <v>41308.28056712963</v>
      </c>
      <c r="C1560">
        <v>80</v>
      </c>
      <c r="D1560">
        <v>71.733970642000003</v>
      </c>
      <c r="E1560">
        <v>60</v>
      </c>
      <c r="F1560">
        <v>59.968139647999998</v>
      </c>
      <c r="G1560">
        <v>1292.4459228999999</v>
      </c>
      <c r="H1560">
        <v>1276.5992432</v>
      </c>
      <c r="I1560">
        <v>1395.7545166</v>
      </c>
      <c r="J1560">
        <v>1376.3536377</v>
      </c>
      <c r="K1560">
        <v>0</v>
      </c>
      <c r="L1560">
        <v>2750</v>
      </c>
      <c r="M1560">
        <v>2750</v>
      </c>
      <c r="N1560">
        <v>0</v>
      </c>
    </row>
    <row r="1561" spans="1:14" x14ac:dyDescent="0.25">
      <c r="A1561">
        <v>1011.594345</v>
      </c>
      <c r="B1561" s="1">
        <f>DATE(2013,2,5) + TIME(14,15,51)</f>
        <v>41310.594340277778</v>
      </c>
      <c r="C1561">
        <v>80</v>
      </c>
      <c r="D1561">
        <v>71.577644348000007</v>
      </c>
      <c r="E1561">
        <v>60</v>
      </c>
      <c r="F1561">
        <v>59.968189240000001</v>
      </c>
      <c r="G1561">
        <v>1292.2198486</v>
      </c>
      <c r="H1561">
        <v>1276.2924805</v>
      </c>
      <c r="I1561">
        <v>1395.7026367000001</v>
      </c>
      <c r="J1561">
        <v>1376.3085937999999</v>
      </c>
      <c r="K1561">
        <v>0</v>
      </c>
      <c r="L1561">
        <v>2750</v>
      </c>
      <c r="M1561">
        <v>2750</v>
      </c>
      <c r="N1561">
        <v>0</v>
      </c>
    </row>
    <row r="1562" spans="1:14" x14ac:dyDescent="0.25">
      <c r="A1562">
        <v>1013.946957</v>
      </c>
      <c r="B1562" s="1">
        <f>DATE(2013,2,7) + TIME(22,43,37)</f>
        <v>41312.946956018517</v>
      </c>
      <c r="C1562">
        <v>80</v>
      </c>
      <c r="D1562">
        <v>71.411575317</v>
      </c>
      <c r="E1562">
        <v>60</v>
      </c>
      <c r="F1562">
        <v>59.968242644999997</v>
      </c>
      <c r="G1562">
        <v>1291.9822998</v>
      </c>
      <c r="H1562">
        <v>1275.9664307</v>
      </c>
      <c r="I1562">
        <v>1395.6508789</v>
      </c>
      <c r="J1562">
        <v>1376.2635498</v>
      </c>
      <c r="K1562">
        <v>0</v>
      </c>
      <c r="L1562">
        <v>2750</v>
      </c>
      <c r="M1562">
        <v>2750</v>
      </c>
      <c r="N1562">
        <v>0</v>
      </c>
    </row>
    <row r="1563" spans="1:14" x14ac:dyDescent="0.25">
      <c r="A1563">
        <v>1016.330795</v>
      </c>
      <c r="B1563" s="1">
        <f>DATE(2013,2,10) + TIME(7,56,20)</f>
        <v>41315.330787037034</v>
      </c>
      <c r="C1563">
        <v>80</v>
      </c>
      <c r="D1563">
        <v>71.239593506000006</v>
      </c>
      <c r="E1563">
        <v>60</v>
      </c>
      <c r="F1563">
        <v>59.968292236000003</v>
      </c>
      <c r="G1563">
        <v>1291.7355957</v>
      </c>
      <c r="H1563">
        <v>1275.6264647999999</v>
      </c>
      <c r="I1563">
        <v>1395.5992432</v>
      </c>
      <c r="J1563">
        <v>1376.2186279</v>
      </c>
      <c r="K1563">
        <v>0</v>
      </c>
      <c r="L1563">
        <v>2750</v>
      </c>
      <c r="M1563">
        <v>2750</v>
      </c>
      <c r="N1563">
        <v>0</v>
      </c>
    </row>
    <row r="1564" spans="1:14" x14ac:dyDescent="0.25">
      <c r="A1564">
        <v>1018.751632</v>
      </c>
      <c r="B1564" s="1">
        <f>DATE(2013,2,12) + TIME(18,2,20)</f>
        <v>41317.751620370371</v>
      </c>
      <c r="C1564">
        <v>80</v>
      </c>
      <c r="D1564">
        <v>71.062553406000006</v>
      </c>
      <c r="E1564">
        <v>60</v>
      </c>
      <c r="F1564">
        <v>59.968345642000003</v>
      </c>
      <c r="G1564">
        <v>1291.4810791</v>
      </c>
      <c r="H1564">
        <v>1275.2744141000001</v>
      </c>
      <c r="I1564">
        <v>1395.5477295000001</v>
      </c>
      <c r="J1564">
        <v>1376.1737060999999</v>
      </c>
      <c r="K1564">
        <v>0</v>
      </c>
      <c r="L1564">
        <v>2750</v>
      </c>
      <c r="M1564">
        <v>2750</v>
      </c>
      <c r="N1564">
        <v>0</v>
      </c>
    </row>
    <row r="1565" spans="1:14" x14ac:dyDescent="0.25">
      <c r="A1565">
        <v>1021.224237</v>
      </c>
      <c r="B1565" s="1">
        <f>DATE(2013,2,15) + TIME(5,22,54)</f>
        <v>41320.224236111113</v>
      </c>
      <c r="C1565">
        <v>80</v>
      </c>
      <c r="D1565">
        <v>70.879859924000002</v>
      </c>
      <c r="E1565">
        <v>60</v>
      </c>
      <c r="F1565">
        <v>59.968395233000003</v>
      </c>
      <c r="G1565">
        <v>1291.2183838000001</v>
      </c>
      <c r="H1565">
        <v>1274.909668</v>
      </c>
      <c r="I1565">
        <v>1395.4962158000001</v>
      </c>
      <c r="J1565">
        <v>1376.1287841999999</v>
      </c>
      <c r="K1565">
        <v>0</v>
      </c>
      <c r="L1565">
        <v>2750</v>
      </c>
      <c r="M1565">
        <v>2750</v>
      </c>
      <c r="N1565">
        <v>0</v>
      </c>
    </row>
    <row r="1566" spans="1:14" x14ac:dyDescent="0.25">
      <c r="A1566">
        <v>1023.7545730000001</v>
      </c>
      <c r="B1566" s="1">
        <f>DATE(2013,2,17) + TIME(18,6,35)</f>
        <v>41322.754571759258</v>
      </c>
      <c r="C1566">
        <v>80</v>
      </c>
      <c r="D1566">
        <v>70.690299988000007</v>
      </c>
      <c r="E1566">
        <v>60</v>
      </c>
      <c r="F1566">
        <v>59.968452454000001</v>
      </c>
      <c r="G1566">
        <v>1290.9459228999999</v>
      </c>
      <c r="H1566">
        <v>1274.5303954999999</v>
      </c>
      <c r="I1566">
        <v>1395.4445800999999</v>
      </c>
      <c r="J1566">
        <v>1376.0834961</v>
      </c>
      <c r="K1566">
        <v>0</v>
      </c>
      <c r="L1566">
        <v>2750</v>
      </c>
      <c r="M1566">
        <v>2750</v>
      </c>
      <c r="N1566">
        <v>0</v>
      </c>
    </row>
    <row r="1567" spans="1:14" x14ac:dyDescent="0.25">
      <c r="A1567">
        <v>1026.3126050000001</v>
      </c>
      <c r="B1567" s="1">
        <f>DATE(2013,2,20) + TIME(7,30,9)</f>
        <v>41325.312604166669</v>
      </c>
      <c r="C1567">
        <v>80</v>
      </c>
      <c r="D1567">
        <v>70.493431091000005</v>
      </c>
      <c r="E1567">
        <v>60</v>
      </c>
      <c r="F1567">
        <v>59.968505858999997</v>
      </c>
      <c r="G1567">
        <v>1290.6629639</v>
      </c>
      <c r="H1567">
        <v>1274.1354980000001</v>
      </c>
      <c r="I1567">
        <v>1395.3924560999999</v>
      </c>
      <c r="J1567">
        <v>1376.0378418</v>
      </c>
      <c r="K1567">
        <v>0</v>
      </c>
      <c r="L1567">
        <v>2750</v>
      </c>
      <c r="M1567">
        <v>2750</v>
      </c>
      <c r="N1567">
        <v>0</v>
      </c>
    </row>
    <row r="1568" spans="1:14" x14ac:dyDescent="0.25">
      <c r="A1568">
        <v>1028.8880750000001</v>
      </c>
      <c r="B1568" s="1">
        <f>DATE(2013,2,22) + TIME(21,18,49)</f>
        <v>41327.888067129628</v>
      </c>
      <c r="C1568">
        <v>80</v>
      </c>
      <c r="D1568">
        <v>70.290222168</v>
      </c>
      <c r="E1568">
        <v>60</v>
      </c>
      <c r="F1568">
        <v>59.968559265000003</v>
      </c>
      <c r="G1568">
        <v>1290.3724365</v>
      </c>
      <c r="H1568">
        <v>1273.7285156</v>
      </c>
      <c r="I1568">
        <v>1395.3404541</v>
      </c>
      <c r="J1568">
        <v>1375.9923096</v>
      </c>
      <c r="K1568">
        <v>0</v>
      </c>
      <c r="L1568">
        <v>2750</v>
      </c>
      <c r="M1568">
        <v>2750</v>
      </c>
      <c r="N1568">
        <v>0</v>
      </c>
    </row>
    <row r="1569" spans="1:14" x14ac:dyDescent="0.25">
      <c r="A1569">
        <v>1031.4926310000001</v>
      </c>
      <c r="B1569" s="1">
        <f>DATE(2013,2,25) + TIME(11,49,23)</f>
        <v>41330.492627314816</v>
      </c>
      <c r="C1569">
        <v>80</v>
      </c>
      <c r="D1569">
        <v>70.080902100000003</v>
      </c>
      <c r="E1569">
        <v>60</v>
      </c>
      <c r="F1569">
        <v>59.968616486000002</v>
      </c>
      <c r="G1569">
        <v>1290.0754394999999</v>
      </c>
      <c r="H1569">
        <v>1273.3111572</v>
      </c>
      <c r="I1569">
        <v>1395.2889404</v>
      </c>
      <c r="J1569">
        <v>1375.9471435999999</v>
      </c>
      <c r="K1569">
        <v>0</v>
      </c>
      <c r="L1569">
        <v>2750</v>
      </c>
      <c r="M1569">
        <v>2750</v>
      </c>
      <c r="N1569">
        <v>0</v>
      </c>
    </row>
    <row r="1570" spans="1:14" x14ac:dyDescent="0.25">
      <c r="A1570">
        <v>1034.1415380000001</v>
      </c>
      <c r="B1570" s="1">
        <f>DATE(2013,2,28) + TIME(3,23,48)</f>
        <v>41333.141527777778</v>
      </c>
      <c r="C1570">
        <v>80</v>
      </c>
      <c r="D1570">
        <v>69.864219665999997</v>
      </c>
      <c r="E1570">
        <v>60</v>
      </c>
      <c r="F1570">
        <v>59.968669890999998</v>
      </c>
      <c r="G1570">
        <v>1289.7709961</v>
      </c>
      <c r="H1570">
        <v>1272.8819579999999</v>
      </c>
      <c r="I1570">
        <v>1395.2375488</v>
      </c>
      <c r="J1570">
        <v>1375.9018555</v>
      </c>
      <c r="K1570">
        <v>0</v>
      </c>
      <c r="L1570">
        <v>2750</v>
      </c>
      <c r="M1570">
        <v>2750</v>
      </c>
      <c r="N1570">
        <v>0</v>
      </c>
    </row>
    <row r="1571" spans="1:14" x14ac:dyDescent="0.25">
      <c r="A1571">
        <v>1035</v>
      </c>
      <c r="B1571" s="1">
        <f>DATE(2013,3,1) + TIME(0,0,0)</f>
        <v>41334</v>
      </c>
      <c r="C1571">
        <v>80</v>
      </c>
      <c r="D1571">
        <v>69.707450867000006</v>
      </c>
      <c r="E1571">
        <v>60</v>
      </c>
      <c r="F1571">
        <v>59.968681334999999</v>
      </c>
      <c r="G1571">
        <v>1289.4715576000001</v>
      </c>
      <c r="H1571">
        <v>1272.4780272999999</v>
      </c>
      <c r="I1571">
        <v>1395.1853027</v>
      </c>
      <c r="J1571">
        <v>1375.8557129000001</v>
      </c>
      <c r="K1571">
        <v>0</v>
      </c>
      <c r="L1571">
        <v>2750</v>
      </c>
      <c r="M1571">
        <v>2750</v>
      </c>
      <c r="N1571">
        <v>0</v>
      </c>
    </row>
    <row r="1572" spans="1:14" x14ac:dyDescent="0.25">
      <c r="A1572">
        <v>1037.709517</v>
      </c>
      <c r="B1572" s="1">
        <f>DATE(2013,3,3) + TIME(17,1,42)</f>
        <v>41336.709513888891</v>
      </c>
      <c r="C1572">
        <v>80</v>
      </c>
      <c r="D1572">
        <v>69.546173096000004</v>
      </c>
      <c r="E1572">
        <v>60</v>
      </c>
      <c r="F1572">
        <v>59.968746185000001</v>
      </c>
      <c r="G1572">
        <v>1289.3395995999999</v>
      </c>
      <c r="H1572">
        <v>1272.2634277</v>
      </c>
      <c r="I1572">
        <v>1395.1694336</v>
      </c>
      <c r="J1572">
        <v>1375.8417969</v>
      </c>
      <c r="K1572">
        <v>0</v>
      </c>
      <c r="L1572">
        <v>2750</v>
      </c>
      <c r="M1572">
        <v>2750</v>
      </c>
      <c r="N1572">
        <v>0</v>
      </c>
    </row>
    <row r="1573" spans="1:14" x14ac:dyDescent="0.25">
      <c r="A1573">
        <v>1040.5034330000001</v>
      </c>
      <c r="B1573" s="1">
        <f>DATE(2013,3,6) + TIME(12,4,56)</f>
        <v>41339.503425925926</v>
      </c>
      <c r="C1573">
        <v>80</v>
      </c>
      <c r="D1573">
        <v>69.320732117000006</v>
      </c>
      <c r="E1573">
        <v>60</v>
      </c>
      <c r="F1573">
        <v>59.968803405999999</v>
      </c>
      <c r="G1573">
        <v>1289.0263672000001</v>
      </c>
      <c r="H1573">
        <v>1271.8248291</v>
      </c>
      <c r="I1573">
        <v>1395.1176757999999</v>
      </c>
      <c r="J1573">
        <v>1375.7960204999999</v>
      </c>
      <c r="K1573">
        <v>0</v>
      </c>
      <c r="L1573">
        <v>2750</v>
      </c>
      <c r="M1573">
        <v>2750</v>
      </c>
      <c r="N1573">
        <v>0</v>
      </c>
    </row>
    <row r="1574" spans="1:14" x14ac:dyDescent="0.25">
      <c r="A1574">
        <v>1043.30528</v>
      </c>
      <c r="B1574" s="1">
        <f>DATE(2013,3,9) + TIME(7,19,36)</f>
        <v>41342.305277777778</v>
      </c>
      <c r="C1574">
        <v>80</v>
      </c>
      <c r="D1574">
        <v>69.071754455999994</v>
      </c>
      <c r="E1574">
        <v>60</v>
      </c>
      <c r="F1574">
        <v>59.968860626000001</v>
      </c>
      <c r="G1574">
        <v>1288.6901855000001</v>
      </c>
      <c r="H1574">
        <v>1271.3476562000001</v>
      </c>
      <c r="I1574">
        <v>1395.0646973</v>
      </c>
      <c r="J1574">
        <v>1375.7491454999999</v>
      </c>
      <c r="K1574">
        <v>0</v>
      </c>
      <c r="L1574">
        <v>2750</v>
      </c>
      <c r="M1574">
        <v>2750</v>
      </c>
      <c r="N1574">
        <v>0</v>
      </c>
    </row>
    <row r="1575" spans="1:14" x14ac:dyDescent="0.25">
      <c r="A1575">
        <v>1046.1312909999999</v>
      </c>
      <c r="B1575" s="1">
        <f>DATE(2013,3,12) + TIME(3,9,3)</f>
        <v>41345.131284722222</v>
      </c>
      <c r="C1575">
        <v>80</v>
      </c>
      <c r="D1575">
        <v>68.811264038000004</v>
      </c>
      <c r="E1575">
        <v>60</v>
      </c>
      <c r="F1575">
        <v>59.968921661000003</v>
      </c>
      <c r="G1575">
        <v>1288.3464355000001</v>
      </c>
      <c r="H1575">
        <v>1270.8565673999999</v>
      </c>
      <c r="I1575">
        <v>1395.0123291</v>
      </c>
      <c r="J1575">
        <v>1375.7027588000001</v>
      </c>
      <c r="K1575">
        <v>0</v>
      </c>
      <c r="L1575">
        <v>2750</v>
      </c>
      <c r="M1575">
        <v>2750</v>
      </c>
      <c r="N1575">
        <v>0</v>
      </c>
    </row>
    <row r="1576" spans="1:14" x14ac:dyDescent="0.25">
      <c r="A1576">
        <v>1048.9978189999999</v>
      </c>
      <c r="B1576" s="1">
        <f>DATE(2013,3,14) + TIME(23,56,51)</f>
        <v>41347.997812499998</v>
      </c>
      <c r="C1576">
        <v>80</v>
      </c>
      <c r="D1576">
        <v>68.540092467999997</v>
      </c>
      <c r="E1576">
        <v>60</v>
      </c>
      <c r="F1576">
        <v>59.968978882000002</v>
      </c>
      <c r="G1576">
        <v>1287.9960937999999</v>
      </c>
      <c r="H1576">
        <v>1270.3538818</v>
      </c>
      <c r="I1576">
        <v>1394.9600829999999</v>
      </c>
      <c r="J1576">
        <v>1375.6563721</v>
      </c>
      <c r="K1576">
        <v>0</v>
      </c>
      <c r="L1576">
        <v>2750</v>
      </c>
      <c r="M1576">
        <v>2750</v>
      </c>
      <c r="N1576">
        <v>0</v>
      </c>
    </row>
    <row r="1577" spans="1:14" x14ac:dyDescent="0.25">
      <c r="A1577">
        <v>1051.921969</v>
      </c>
      <c r="B1577" s="1">
        <f>DATE(2013,3,17) + TIME(22,7,38)</f>
        <v>41350.921967592592</v>
      </c>
      <c r="C1577">
        <v>80</v>
      </c>
      <c r="D1577">
        <v>68.256698607999994</v>
      </c>
      <c r="E1577">
        <v>60</v>
      </c>
      <c r="F1577">
        <v>59.969039917000003</v>
      </c>
      <c r="G1577">
        <v>1287.6378173999999</v>
      </c>
      <c r="H1577">
        <v>1269.8381348</v>
      </c>
      <c r="I1577">
        <v>1394.9075928</v>
      </c>
      <c r="J1577">
        <v>1375.6096190999999</v>
      </c>
      <c r="K1577">
        <v>0</v>
      </c>
      <c r="L1577">
        <v>2750</v>
      </c>
      <c r="M1577">
        <v>2750</v>
      </c>
      <c r="N1577">
        <v>0</v>
      </c>
    </row>
    <row r="1578" spans="1:14" x14ac:dyDescent="0.25">
      <c r="A1578">
        <v>1054.913695</v>
      </c>
      <c r="B1578" s="1">
        <f>DATE(2013,3,20) + TIME(21,55,43)</f>
        <v>41353.91369212963</v>
      </c>
      <c r="C1578">
        <v>80</v>
      </c>
      <c r="D1578">
        <v>67.958999633999994</v>
      </c>
      <c r="E1578">
        <v>60</v>
      </c>
      <c r="F1578">
        <v>59.969100951999998</v>
      </c>
      <c r="G1578">
        <v>1287.2696533000001</v>
      </c>
      <c r="H1578">
        <v>1269.3066406</v>
      </c>
      <c r="I1578">
        <v>1394.8546143000001</v>
      </c>
      <c r="J1578">
        <v>1375.5623779</v>
      </c>
      <c r="K1578">
        <v>0</v>
      </c>
      <c r="L1578">
        <v>2750</v>
      </c>
      <c r="M1578">
        <v>2750</v>
      </c>
      <c r="N1578">
        <v>0</v>
      </c>
    </row>
    <row r="1579" spans="1:14" x14ac:dyDescent="0.25">
      <c r="A1579">
        <v>1057.9556669999999</v>
      </c>
      <c r="B1579" s="1">
        <f>DATE(2013,3,23) + TIME(22,56,9)</f>
        <v>41356.955659722225</v>
      </c>
      <c r="C1579">
        <v>80</v>
      </c>
      <c r="D1579">
        <v>67.645698546999995</v>
      </c>
      <c r="E1579">
        <v>60</v>
      </c>
      <c r="F1579">
        <v>59.969165801999999</v>
      </c>
      <c r="G1579">
        <v>1286.8909911999999</v>
      </c>
      <c r="H1579">
        <v>1268.7580565999999</v>
      </c>
      <c r="I1579">
        <v>1394.8007812000001</v>
      </c>
      <c r="J1579">
        <v>1375.5144043</v>
      </c>
      <c r="K1579">
        <v>0</v>
      </c>
      <c r="L1579">
        <v>2750</v>
      </c>
      <c r="M1579">
        <v>2750</v>
      </c>
      <c r="N1579">
        <v>0</v>
      </c>
    </row>
    <row r="1580" spans="1:14" x14ac:dyDescent="0.25">
      <c r="A1580">
        <v>1061.019589</v>
      </c>
      <c r="B1580" s="1">
        <f>DATE(2013,3,27) + TIME(0,28,12)</f>
        <v>41360.019583333335</v>
      </c>
      <c r="C1580">
        <v>80</v>
      </c>
      <c r="D1580">
        <v>67.317703246999997</v>
      </c>
      <c r="E1580">
        <v>60</v>
      </c>
      <c r="F1580">
        <v>59.969226837000001</v>
      </c>
      <c r="G1580">
        <v>1286.5036620999999</v>
      </c>
      <c r="H1580">
        <v>1268.1950684000001</v>
      </c>
      <c r="I1580">
        <v>1394.746582</v>
      </c>
      <c r="J1580">
        <v>1375.4658202999999</v>
      </c>
      <c r="K1580">
        <v>0</v>
      </c>
      <c r="L1580">
        <v>2750</v>
      </c>
      <c r="M1580">
        <v>2750</v>
      </c>
      <c r="N1580">
        <v>0</v>
      </c>
    </row>
    <row r="1581" spans="1:14" x14ac:dyDescent="0.25">
      <c r="A1581">
        <v>1064.1135220000001</v>
      </c>
      <c r="B1581" s="1">
        <f>DATE(2013,3,30) + TIME(2,43,28)</f>
        <v>41363.113518518519</v>
      </c>
      <c r="C1581">
        <v>80</v>
      </c>
      <c r="D1581">
        <v>66.976684570000003</v>
      </c>
      <c r="E1581">
        <v>60</v>
      </c>
      <c r="F1581">
        <v>59.969287872000002</v>
      </c>
      <c r="G1581">
        <v>1286.1115723</v>
      </c>
      <c r="H1581">
        <v>1267.6228027</v>
      </c>
      <c r="I1581">
        <v>1394.6923827999999</v>
      </c>
      <c r="J1581">
        <v>1375.4172363</v>
      </c>
      <c r="K1581">
        <v>0</v>
      </c>
      <c r="L1581">
        <v>2750</v>
      </c>
      <c r="M1581">
        <v>2750</v>
      </c>
      <c r="N1581">
        <v>0</v>
      </c>
    </row>
    <row r="1582" spans="1:14" x14ac:dyDescent="0.25">
      <c r="A1582">
        <v>1066</v>
      </c>
      <c r="B1582" s="1">
        <f>DATE(2013,4,1) + TIME(0,0,0)</f>
        <v>41365</v>
      </c>
      <c r="C1582">
        <v>80</v>
      </c>
      <c r="D1582">
        <v>66.658760071000003</v>
      </c>
      <c r="E1582">
        <v>60</v>
      </c>
      <c r="F1582">
        <v>59.969322204999997</v>
      </c>
      <c r="G1582">
        <v>1285.7204589999999</v>
      </c>
      <c r="H1582">
        <v>1267.0610352000001</v>
      </c>
      <c r="I1582">
        <v>1394.6375731999999</v>
      </c>
      <c r="J1582">
        <v>1375.3679199000001</v>
      </c>
      <c r="K1582">
        <v>0</v>
      </c>
      <c r="L1582">
        <v>2750</v>
      </c>
      <c r="M1582">
        <v>2750</v>
      </c>
      <c r="N1582">
        <v>0</v>
      </c>
    </row>
    <row r="1583" spans="1:14" x14ac:dyDescent="0.25">
      <c r="A1583">
        <v>1069.141975</v>
      </c>
      <c r="B1583" s="1">
        <f>DATE(2013,4,4) + TIME(3,24,26)</f>
        <v>41368.141967592594</v>
      </c>
      <c r="C1583">
        <v>80</v>
      </c>
      <c r="D1583">
        <v>66.381629943999997</v>
      </c>
      <c r="E1583">
        <v>60</v>
      </c>
      <c r="F1583">
        <v>59.969390869000001</v>
      </c>
      <c r="G1583">
        <v>1285.4581298999999</v>
      </c>
      <c r="H1583">
        <v>1266.6560059000001</v>
      </c>
      <c r="I1583">
        <v>1394.6049805</v>
      </c>
      <c r="J1583">
        <v>1375.3386230000001</v>
      </c>
      <c r="K1583">
        <v>0</v>
      </c>
      <c r="L1583">
        <v>2750</v>
      </c>
      <c r="M1583">
        <v>2750</v>
      </c>
      <c r="N1583">
        <v>0</v>
      </c>
    </row>
    <row r="1584" spans="1:14" x14ac:dyDescent="0.25">
      <c r="A1584">
        <v>1072.375254</v>
      </c>
      <c r="B1584" s="1">
        <f>DATE(2013,4,7) + TIME(9,0,21)</f>
        <v>41371.375243055554</v>
      </c>
      <c r="C1584">
        <v>80</v>
      </c>
      <c r="D1584">
        <v>66.019325256000002</v>
      </c>
      <c r="E1584">
        <v>60</v>
      </c>
      <c r="F1584">
        <v>59.969455719000003</v>
      </c>
      <c r="G1584">
        <v>1285.0665283000001</v>
      </c>
      <c r="H1584">
        <v>1266.0852050999999</v>
      </c>
      <c r="I1584">
        <v>1394.550293</v>
      </c>
      <c r="J1584">
        <v>1375.2894286999999</v>
      </c>
      <c r="K1584">
        <v>0</v>
      </c>
      <c r="L1584">
        <v>2750</v>
      </c>
      <c r="M1584">
        <v>2750</v>
      </c>
      <c r="N1584">
        <v>0</v>
      </c>
    </row>
    <row r="1585" spans="1:14" x14ac:dyDescent="0.25">
      <c r="A1585">
        <v>1075.660447</v>
      </c>
      <c r="B1585" s="1">
        <f>DATE(2013,4,10) + TIME(15,51,2)</f>
        <v>41374.660439814812</v>
      </c>
      <c r="C1585">
        <v>80</v>
      </c>
      <c r="D1585">
        <v>65.624961853000002</v>
      </c>
      <c r="E1585">
        <v>60</v>
      </c>
      <c r="F1585">
        <v>59.969520568999997</v>
      </c>
      <c r="G1585">
        <v>1284.6545410000001</v>
      </c>
      <c r="H1585">
        <v>1265.4775391000001</v>
      </c>
      <c r="I1585">
        <v>1394.4942627</v>
      </c>
      <c r="J1585">
        <v>1375.2388916</v>
      </c>
      <c r="K1585">
        <v>0</v>
      </c>
      <c r="L1585">
        <v>2750</v>
      </c>
      <c r="M1585">
        <v>2750</v>
      </c>
      <c r="N1585">
        <v>0</v>
      </c>
    </row>
    <row r="1586" spans="1:14" x14ac:dyDescent="0.25">
      <c r="A1586">
        <v>1078.969758</v>
      </c>
      <c r="B1586" s="1">
        <f>DATE(2013,4,13) + TIME(23,16,27)</f>
        <v>41377.969756944447</v>
      </c>
      <c r="C1586">
        <v>80</v>
      </c>
      <c r="D1586">
        <v>65.212181091000005</v>
      </c>
      <c r="E1586">
        <v>60</v>
      </c>
      <c r="F1586">
        <v>59.969585418999998</v>
      </c>
      <c r="G1586">
        <v>1284.2351074000001</v>
      </c>
      <c r="H1586">
        <v>1264.8552245999999</v>
      </c>
      <c r="I1586">
        <v>1394.4376221</v>
      </c>
      <c r="J1586">
        <v>1375.1876221</v>
      </c>
      <c r="K1586">
        <v>0</v>
      </c>
      <c r="L1586">
        <v>2750</v>
      </c>
      <c r="M1586">
        <v>2750</v>
      </c>
      <c r="N1586">
        <v>0</v>
      </c>
    </row>
    <row r="1587" spans="1:14" x14ac:dyDescent="0.25">
      <c r="A1587">
        <v>1082.3210340000001</v>
      </c>
      <c r="B1587" s="1">
        <f>DATE(2013,4,17) + TIME(7,42,17)</f>
        <v>41381.321030092593</v>
      </c>
      <c r="C1587">
        <v>80</v>
      </c>
      <c r="D1587">
        <v>64.785194396999998</v>
      </c>
      <c r="E1587">
        <v>60</v>
      </c>
      <c r="F1587">
        <v>59.969650268999999</v>
      </c>
      <c r="G1587">
        <v>1283.8135986</v>
      </c>
      <c r="H1587">
        <v>1264.2270507999999</v>
      </c>
      <c r="I1587">
        <v>1394.3807373</v>
      </c>
      <c r="J1587">
        <v>1375.1361084</v>
      </c>
      <c r="K1587">
        <v>0</v>
      </c>
      <c r="L1587">
        <v>2750</v>
      </c>
      <c r="M1587">
        <v>2750</v>
      </c>
      <c r="N1587">
        <v>0</v>
      </c>
    </row>
    <row r="1588" spans="1:14" x14ac:dyDescent="0.25">
      <c r="A1588">
        <v>1085.7329480000001</v>
      </c>
      <c r="B1588" s="1">
        <f>DATE(2013,4,20) + TIME(17,35,26)</f>
        <v>41384.732939814814</v>
      </c>
      <c r="C1588">
        <v>80</v>
      </c>
      <c r="D1588">
        <v>64.343727111999996</v>
      </c>
      <c r="E1588">
        <v>60</v>
      </c>
      <c r="F1588">
        <v>59.969718933000003</v>
      </c>
      <c r="G1588">
        <v>1283.3894043</v>
      </c>
      <c r="H1588">
        <v>1263.5924072</v>
      </c>
      <c r="I1588">
        <v>1394.3234863</v>
      </c>
      <c r="J1588">
        <v>1375.0841064000001</v>
      </c>
      <c r="K1588">
        <v>0</v>
      </c>
      <c r="L1588">
        <v>2750</v>
      </c>
      <c r="M1588">
        <v>2750</v>
      </c>
      <c r="N1588">
        <v>0</v>
      </c>
    </row>
    <row r="1589" spans="1:14" x14ac:dyDescent="0.25">
      <c r="A1589">
        <v>1089.1714420000001</v>
      </c>
      <c r="B1589" s="1">
        <f>DATE(2013,4,24) + TIME(4,6,52)</f>
        <v>41388.171435185184</v>
      </c>
      <c r="C1589">
        <v>80</v>
      </c>
      <c r="D1589">
        <v>63.886619568</v>
      </c>
      <c r="E1589">
        <v>60</v>
      </c>
      <c r="F1589">
        <v>59.969783782999997</v>
      </c>
      <c r="G1589">
        <v>1282.9613036999999</v>
      </c>
      <c r="H1589">
        <v>1262.949707</v>
      </c>
      <c r="I1589">
        <v>1394.2652588000001</v>
      </c>
      <c r="J1589">
        <v>1375.0311279</v>
      </c>
      <c r="K1589">
        <v>0</v>
      </c>
      <c r="L1589">
        <v>2750</v>
      </c>
      <c r="M1589">
        <v>2750</v>
      </c>
      <c r="N1589">
        <v>0</v>
      </c>
    </row>
    <row r="1590" spans="1:14" x14ac:dyDescent="0.25">
      <c r="A1590">
        <v>1092.643376</v>
      </c>
      <c r="B1590" s="1">
        <f>DATE(2013,4,27) + TIME(15,26,27)</f>
        <v>41391.643368055556</v>
      </c>
      <c r="C1590">
        <v>80</v>
      </c>
      <c r="D1590">
        <v>63.417755127</v>
      </c>
      <c r="E1590">
        <v>60</v>
      </c>
      <c r="F1590">
        <v>59.969852447999997</v>
      </c>
      <c r="G1590">
        <v>1282.5336914</v>
      </c>
      <c r="H1590">
        <v>1262.3051757999999</v>
      </c>
      <c r="I1590">
        <v>1394.2067870999999</v>
      </c>
      <c r="J1590">
        <v>1374.9777832</v>
      </c>
      <c r="K1590">
        <v>0</v>
      </c>
      <c r="L1590">
        <v>2750</v>
      </c>
      <c r="M1590">
        <v>2750</v>
      </c>
      <c r="N1590">
        <v>0</v>
      </c>
    </row>
    <row r="1591" spans="1:14" x14ac:dyDescent="0.25">
      <c r="A1591">
        <v>1096</v>
      </c>
      <c r="B1591" s="1">
        <f>DATE(2013,5,1) + TIME(0,0,0)</f>
        <v>41395</v>
      </c>
      <c r="C1591">
        <v>80</v>
      </c>
      <c r="D1591">
        <v>62.940856934000003</v>
      </c>
      <c r="E1591">
        <v>60</v>
      </c>
      <c r="F1591">
        <v>59.969917297000002</v>
      </c>
      <c r="G1591">
        <v>1282.1074219</v>
      </c>
      <c r="H1591">
        <v>1261.6611327999999</v>
      </c>
      <c r="I1591">
        <v>1394.1477050999999</v>
      </c>
      <c r="J1591">
        <v>1374.9238281</v>
      </c>
      <c r="K1591">
        <v>0</v>
      </c>
      <c r="L1591">
        <v>2750</v>
      </c>
      <c r="M1591">
        <v>2750</v>
      </c>
      <c r="N1591">
        <v>0</v>
      </c>
    </row>
    <row r="1592" spans="1:14" x14ac:dyDescent="0.25">
      <c r="A1592">
        <v>1096.0000010000001</v>
      </c>
      <c r="B1592" s="1">
        <f>DATE(2013,5,1) + TIME(0,0,0)</f>
        <v>41395</v>
      </c>
      <c r="C1592">
        <v>80</v>
      </c>
      <c r="D1592">
        <v>62.941036224000001</v>
      </c>
      <c r="E1592">
        <v>60</v>
      </c>
      <c r="F1592">
        <v>59.969783782999997</v>
      </c>
      <c r="G1592">
        <v>1304.1027832</v>
      </c>
      <c r="H1592">
        <v>1283.2510986</v>
      </c>
      <c r="I1592">
        <v>1373.9227295000001</v>
      </c>
      <c r="J1592">
        <v>1355.4586182</v>
      </c>
      <c r="K1592">
        <v>2750</v>
      </c>
      <c r="L1592">
        <v>0</v>
      </c>
      <c r="M1592">
        <v>0</v>
      </c>
      <c r="N1592">
        <v>2750</v>
      </c>
    </row>
    <row r="1593" spans="1:14" x14ac:dyDescent="0.25">
      <c r="A1593">
        <v>1096.000004</v>
      </c>
      <c r="B1593" s="1">
        <f>DATE(2013,5,1) + TIME(0,0,0)</f>
        <v>41395</v>
      </c>
      <c r="C1593">
        <v>80</v>
      </c>
      <c r="D1593">
        <v>62.941513061999999</v>
      </c>
      <c r="E1593">
        <v>60</v>
      </c>
      <c r="F1593">
        <v>59.969436645999998</v>
      </c>
      <c r="G1593">
        <v>1306.8071289</v>
      </c>
      <c r="H1593">
        <v>1286.2159423999999</v>
      </c>
      <c r="I1593">
        <v>1371.2996826000001</v>
      </c>
      <c r="J1593">
        <v>1352.8348389</v>
      </c>
      <c r="K1593">
        <v>2750</v>
      </c>
      <c r="L1593">
        <v>0</v>
      </c>
      <c r="M1593">
        <v>0</v>
      </c>
      <c r="N1593">
        <v>2750</v>
      </c>
    </row>
    <row r="1594" spans="1:14" x14ac:dyDescent="0.25">
      <c r="A1594">
        <v>1096.0000130000001</v>
      </c>
      <c r="B1594" s="1">
        <f>DATE(2013,5,1) + TIME(0,0,1)</f>
        <v>41395.000011574077</v>
      </c>
      <c r="C1594">
        <v>80</v>
      </c>
      <c r="D1594">
        <v>62.942588806000003</v>
      </c>
      <c r="E1594">
        <v>60</v>
      </c>
      <c r="F1594">
        <v>59.968688964999998</v>
      </c>
      <c r="G1594">
        <v>1312.7514647999999</v>
      </c>
      <c r="H1594">
        <v>1292.5131836</v>
      </c>
      <c r="I1594">
        <v>1365.6254882999999</v>
      </c>
      <c r="J1594">
        <v>1347.1597899999999</v>
      </c>
      <c r="K1594">
        <v>2750</v>
      </c>
      <c r="L1594">
        <v>0</v>
      </c>
      <c r="M1594">
        <v>0</v>
      </c>
      <c r="N1594">
        <v>2750</v>
      </c>
    </row>
    <row r="1595" spans="1:14" x14ac:dyDescent="0.25">
      <c r="A1595">
        <v>1096.0000399999999</v>
      </c>
      <c r="B1595" s="1">
        <f>DATE(2013,5,1) + TIME(0,0,3)</f>
        <v>41395.000034722223</v>
      </c>
      <c r="C1595">
        <v>80</v>
      </c>
      <c r="D1595">
        <v>62.944610595999997</v>
      </c>
      <c r="E1595">
        <v>60</v>
      </c>
      <c r="F1595">
        <v>59.967498779000003</v>
      </c>
      <c r="G1595">
        <v>1322.4423827999999</v>
      </c>
      <c r="H1595">
        <v>1302.3575439000001</v>
      </c>
      <c r="I1595">
        <v>1356.5996094</v>
      </c>
      <c r="J1595">
        <v>1338.135376</v>
      </c>
      <c r="K1595">
        <v>2750</v>
      </c>
      <c r="L1595">
        <v>0</v>
      </c>
      <c r="M1595">
        <v>0</v>
      </c>
      <c r="N1595">
        <v>2750</v>
      </c>
    </row>
    <row r="1596" spans="1:14" x14ac:dyDescent="0.25">
      <c r="A1596">
        <v>1096.000121</v>
      </c>
      <c r="B1596" s="1">
        <f>DATE(2013,5,1) + TIME(0,0,10)</f>
        <v>41395.000115740739</v>
      </c>
      <c r="C1596">
        <v>80</v>
      </c>
      <c r="D1596">
        <v>62.948299407999997</v>
      </c>
      <c r="E1596">
        <v>60</v>
      </c>
      <c r="F1596">
        <v>59.966091155999997</v>
      </c>
      <c r="G1596">
        <v>1334.1265868999999</v>
      </c>
      <c r="H1596">
        <v>1313.9368896000001</v>
      </c>
      <c r="I1596">
        <v>1345.9835204999999</v>
      </c>
      <c r="J1596">
        <v>1327.5249022999999</v>
      </c>
      <c r="K1596">
        <v>2750</v>
      </c>
      <c r="L1596">
        <v>0</v>
      </c>
      <c r="M1596">
        <v>0</v>
      </c>
      <c r="N1596">
        <v>2750</v>
      </c>
    </row>
    <row r="1597" spans="1:14" x14ac:dyDescent="0.25">
      <c r="A1597">
        <v>1096.000364</v>
      </c>
      <c r="B1597" s="1">
        <f>DATE(2013,5,1) + TIME(0,0,31)</f>
        <v>41395.000358796293</v>
      </c>
      <c r="C1597">
        <v>80</v>
      </c>
      <c r="D1597">
        <v>62.956375121999997</v>
      </c>
      <c r="E1597">
        <v>60</v>
      </c>
      <c r="F1597">
        <v>59.964633941999999</v>
      </c>
      <c r="G1597">
        <v>1346.2485352000001</v>
      </c>
      <c r="H1597">
        <v>1325.9031981999999</v>
      </c>
      <c r="I1597">
        <v>1335.1755370999999</v>
      </c>
      <c r="J1597">
        <v>1316.7270507999999</v>
      </c>
      <c r="K1597">
        <v>2750</v>
      </c>
      <c r="L1597">
        <v>0</v>
      </c>
      <c r="M1597">
        <v>0</v>
      </c>
      <c r="N1597">
        <v>2750</v>
      </c>
    </row>
    <row r="1598" spans="1:14" x14ac:dyDescent="0.25">
      <c r="A1598">
        <v>1096.0010930000001</v>
      </c>
      <c r="B1598" s="1">
        <f>DATE(2013,5,1) + TIME(0,1,34)</f>
        <v>41395.001087962963</v>
      </c>
      <c r="C1598">
        <v>80</v>
      </c>
      <c r="D1598">
        <v>62.977611541999998</v>
      </c>
      <c r="E1598">
        <v>60</v>
      </c>
      <c r="F1598">
        <v>59.963096618999998</v>
      </c>
      <c r="G1598">
        <v>1358.6900635</v>
      </c>
      <c r="H1598">
        <v>1338.1644286999999</v>
      </c>
      <c r="I1598">
        <v>1324.3674315999999</v>
      </c>
      <c r="J1598">
        <v>1305.9262695</v>
      </c>
      <c r="K1598">
        <v>2750</v>
      </c>
      <c r="L1598">
        <v>0</v>
      </c>
      <c r="M1598">
        <v>0</v>
      </c>
      <c r="N1598">
        <v>2750</v>
      </c>
    </row>
    <row r="1599" spans="1:14" x14ac:dyDescent="0.25">
      <c r="A1599">
        <v>1096.0032799999999</v>
      </c>
      <c r="B1599" s="1">
        <f>DATE(2013,5,1) + TIME(0,4,43)</f>
        <v>41395.003275462965</v>
      </c>
      <c r="C1599">
        <v>80</v>
      </c>
      <c r="D1599">
        <v>63.038604736000003</v>
      </c>
      <c r="E1599">
        <v>60</v>
      </c>
      <c r="F1599">
        <v>59.961307525999999</v>
      </c>
      <c r="G1599">
        <v>1371.7687988</v>
      </c>
      <c r="H1599">
        <v>1351.0228271000001</v>
      </c>
      <c r="I1599">
        <v>1313.390625</v>
      </c>
      <c r="J1599">
        <v>1294.9132079999999</v>
      </c>
      <c r="K1599">
        <v>2750</v>
      </c>
      <c r="L1599">
        <v>0</v>
      </c>
      <c r="M1599">
        <v>0</v>
      </c>
      <c r="N1599">
        <v>2750</v>
      </c>
    </row>
    <row r="1600" spans="1:14" x14ac:dyDescent="0.25">
      <c r="A1600">
        <v>1096.0098410000001</v>
      </c>
      <c r="B1600" s="1">
        <f>DATE(2013,5,1) + TIME(0,14,10)</f>
        <v>41395.009837962964</v>
      </c>
      <c r="C1600">
        <v>80</v>
      </c>
      <c r="D1600">
        <v>63.218242644999997</v>
      </c>
      <c r="E1600">
        <v>60</v>
      </c>
      <c r="F1600">
        <v>59.958831787000001</v>
      </c>
      <c r="G1600">
        <v>1384.8350829999999</v>
      </c>
      <c r="H1600">
        <v>1363.9102783000001</v>
      </c>
      <c r="I1600">
        <v>1302.4138184000001</v>
      </c>
      <c r="J1600">
        <v>1283.8476562000001</v>
      </c>
      <c r="K1600">
        <v>2750</v>
      </c>
      <c r="L1600">
        <v>0</v>
      </c>
      <c r="M1600">
        <v>0</v>
      </c>
      <c r="N1600">
        <v>2750</v>
      </c>
    </row>
    <row r="1601" spans="1:14" x14ac:dyDescent="0.25">
      <c r="A1601">
        <v>1096.029524</v>
      </c>
      <c r="B1601" s="1">
        <f>DATE(2013,5,1) + TIME(0,42,30)</f>
        <v>41395.029513888891</v>
      </c>
      <c r="C1601">
        <v>80</v>
      </c>
      <c r="D1601">
        <v>63.740116119</v>
      </c>
      <c r="E1601">
        <v>60</v>
      </c>
      <c r="F1601">
        <v>59.954620361000003</v>
      </c>
      <c r="G1601">
        <v>1395.2333983999999</v>
      </c>
      <c r="H1601">
        <v>1374.3308105000001</v>
      </c>
      <c r="I1601">
        <v>1293.5980225000001</v>
      </c>
      <c r="J1601">
        <v>1274.9633789</v>
      </c>
      <c r="K1601">
        <v>2750</v>
      </c>
      <c r="L1601">
        <v>0</v>
      </c>
      <c r="M1601">
        <v>0</v>
      </c>
      <c r="N1601">
        <v>2750</v>
      </c>
    </row>
    <row r="1602" spans="1:14" x14ac:dyDescent="0.25">
      <c r="A1602">
        <v>1096.0533089999999</v>
      </c>
      <c r="B1602" s="1">
        <f>DATE(2013,5,1) + TIME(1,16,45)</f>
        <v>41395.053298611114</v>
      </c>
      <c r="C1602">
        <v>80</v>
      </c>
      <c r="D1602">
        <v>64.347442627000007</v>
      </c>
      <c r="E1602">
        <v>60</v>
      </c>
      <c r="F1602">
        <v>59.95054245</v>
      </c>
      <c r="G1602">
        <v>1399.2530518000001</v>
      </c>
      <c r="H1602">
        <v>1378.4880370999999</v>
      </c>
      <c r="I1602">
        <v>1290.4616699000001</v>
      </c>
      <c r="J1602">
        <v>1271.8061522999999</v>
      </c>
      <c r="K1602">
        <v>2750</v>
      </c>
      <c r="L1602">
        <v>0</v>
      </c>
      <c r="M1602">
        <v>0</v>
      </c>
      <c r="N1602">
        <v>2750</v>
      </c>
    </row>
    <row r="1603" spans="1:14" x14ac:dyDescent="0.25">
      <c r="A1603">
        <v>1096.0776679999999</v>
      </c>
      <c r="B1603" s="1">
        <f>DATE(2013,5,1) + TIME(1,51,50)</f>
        <v>41395.077662037038</v>
      </c>
      <c r="C1603">
        <v>80</v>
      </c>
      <c r="D1603">
        <v>64.945983886999997</v>
      </c>
      <c r="E1603">
        <v>60</v>
      </c>
      <c r="F1603">
        <v>59.946689606</v>
      </c>
      <c r="G1603">
        <v>1400.7340088000001</v>
      </c>
      <c r="H1603">
        <v>1380.1258545000001</v>
      </c>
      <c r="I1603">
        <v>1289.5135498</v>
      </c>
      <c r="J1603">
        <v>1270.8515625</v>
      </c>
      <c r="K1603">
        <v>2750</v>
      </c>
      <c r="L1603">
        <v>0</v>
      </c>
      <c r="M1603">
        <v>0</v>
      </c>
      <c r="N1603">
        <v>2750</v>
      </c>
    </row>
    <row r="1604" spans="1:14" x14ac:dyDescent="0.25">
      <c r="A1604">
        <v>1096.1025549999999</v>
      </c>
      <c r="B1604" s="1">
        <f>DATE(2013,5,1) + TIME(2,27,40)</f>
        <v>41395.102546296293</v>
      </c>
      <c r="C1604">
        <v>80</v>
      </c>
      <c r="D1604">
        <v>65.533981323000006</v>
      </c>
      <c r="E1604">
        <v>60</v>
      </c>
      <c r="F1604">
        <v>59.942886352999999</v>
      </c>
      <c r="G1604">
        <v>1401.2561035000001</v>
      </c>
      <c r="H1604">
        <v>1380.807251</v>
      </c>
      <c r="I1604">
        <v>1289.2781981999999</v>
      </c>
      <c r="J1604">
        <v>1270.6138916</v>
      </c>
      <c r="K1604">
        <v>2750</v>
      </c>
      <c r="L1604">
        <v>0</v>
      </c>
      <c r="M1604">
        <v>0</v>
      </c>
      <c r="N1604">
        <v>2750</v>
      </c>
    </row>
    <row r="1605" spans="1:14" x14ac:dyDescent="0.25">
      <c r="A1605">
        <v>1096.1279709999999</v>
      </c>
      <c r="B1605" s="1">
        <f>DATE(2013,5,1) + TIME(3,4,16)</f>
        <v>41395.127962962964</v>
      </c>
      <c r="C1605">
        <v>80</v>
      </c>
      <c r="D1605">
        <v>66.110839843999997</v>
      </c>
      <c r="E1605">
        <v>60</v>
      </c>
      <c r="F1605">
        <v>59.939071654999999</v>
      </c>
      <c r="G1605">
        <v>1401.3763428</v>
      </c>
      <c r="H1605">
        <v>1381.0836182</v>
      </c>
      <c r="I1605">
        <v>1289.2630615</v>
      </c>
      <c r="J1605">
        <v>1270.5977783000001</v>
      </c>
      <c r="K1605">
        <v>2750</v>
      </c>
      <c r="L1605">
        <v>0</v>
      </c>
      <c r="M1605">
        <v>0</v>
      </c>
      <c r="N1605">
        <v>2750</v>
      </c>
    </row>
    <row r="1606" spans="1:14" x14ac:dyDescent="0.25">
      <c r="A1606">
        <v>1096.1539319999999</v>
      </c>
      <c r="B1606" s="1">
        <f>DATE(2013,5,1) + TIME(3,41,39)</f>
        <v>41395.153923611113</v>
      </c>
      <c r="C1606">
        <v>80</v>
      </c>
      <c r="D1606">
        <v>66.676361084000007</v>
      </c>
      <c r="E1606">
        <v>60</v>
      </c>
      <c r="F1606">
        <v>59.935218810999999</v>
      </c>
      <c r="G1606">
        <v>1401.3165283000001</v>
      </c>
      <c r="H1606">
        <v>1381.1757812000001</v>
      </c>
      <c r="I1606">
        <v>1289.3020019999999</v>
      </c>
      <c r="J1606">
        <v>1270.6362305</v>
      </c>
      <c r="K1606">
        <v>2750</v>
      </c>
      <c r="L1606">
        <v>0</v>
      </c>
      <c r="M1606">
        <v>0</v>
      </c>
      <c r="N1606">
        <v>2750</v>
      </c>
    </row>
    <row r="1607" spans="1:14" x14ac:dyDescent="0.25">
      <c r="A1607">
        <v>1096.1804689999999</v>
      </c>
      <c r="B1607" s="1">
        <f>DATE(2013,5,1) + TIME(4,19,52)</f>
        <v>41395.180462962962</v>
      </c>
      <c r="C1607">
        <v>80</v>
      </c>
      <c r="D1607">
        <v>67.230613708000007</v>
      </c>
      <c r="E1607">
        <v>60</v>
      </c>
      <c r="F1607">
        <v>59.931320190000001</v>
      </c>
      <c r="G1607">
        <v>1401.1732178</v>
      </c>
      <c r="H1607">
        <v>1381.1794434000001</v>
      </c>
      <c r="I1607">
        <v>1289.3433838000001</v>
      </c>
      <c r="J1607">
        <v>1270.6773682</v>
      </c>
      <c r="K1607">
        <v>2750</v>
      </c>
      <c r="L1607">
        <v>0</v>
      </c>
      <c r="M1607">
        <v>0</v>
      </c>
      <c r="N1607">
        <v>2750</v>
      </c>
    </row>
    <row r="1608" spans="1:14" x14ac:dyDescent="0.25">
      <c r="A1608">
        <v>1096.207613</v>
      </c>
      <c r="B1608" s="1">
        <f>DATE(2013,5,1) + TIME(4,58,57)</f>
        <v>41395.207604166666</v>
      </c>
      <c r="C1608">
        <v>80</v>
      </c>
      <c r="D1608">
        <v>67.773681640999996</v>
      </c>
      <c r="E1608">
        <v>60</v>
      </c>
      <c r="F1608">
        <v>59.927371979</v>
      </c>
      <c r="G1608">
        <v>1400.9907227000001</v>
      </c>
      <c r="H1608">
        <v>1381.1389160000001</v>
      </c>
      <c r="I1608">
        <v>1289.3745117000001</v>
      </c>
      <c r="J1608">
        <v>1270.7082519999999</v>
      </c>
      <c r="K1608">
        <v>2750</v>
      </c>
      <c r="L1608">
        <v>0</v>
      </c>
      <c r="M1608">
        <v>0</v>
      </c>
      <c r="N1608">
        <v>2750</v>
      </c>
    </row>
    <row r="1609" spans="1:14" x14ac:dyDescent="0.25">
      <c r="A1609">
        <v>1096.235398</v>
      </c>
      <c r="B1609" s="1">
        <f>DATE(2013,5,1) + TIME(5,38,58)</f>
        <v>41395.235393518517</v>
      </c>
      <c r="C1609">
        <v>80</v>
      </c>
      <c r="D1609">
        <v>68.305641174000002</v>
      </c>
      <c r="E1609">
        <v>60</v>
      </c>
      <c r="F1609">
        <v>59.923370361000003</v>
      </c>
      <c r="G1609">
        <v>1400.7906493999999</v>
      </c>
      <c r="H1609">
        <v>1381.0761719</v>
      </c>
      <c r="I1609">
        <v>1289.3952637</v>
      </c>
      <c r="J1609">
        <v>1270.7286377</v>
      </c>
      <c r="K1609">
        <v>2750</v>
      </c>
      <c r="L1609">
        <v>0</v>
      </c>
      <c r="M1609">
        <v>0</v>
      </c>
      <c r="N1609">
        <v>2750</v>
      </c>
    </row>
    <row r="1610" spans="1:14" x14ac:dyDescent="0.25">
      <c r="A1610">
        <v>1096.2638629999999</v>
      </c>
      <c r="B1610" s="1">
        <f>DATE(2013,5,1) + TIME(6,19,57)</f>
        <v>41395.263854166667</v>
      </c>
      <c r="C1610">
        <v>80</v>
      </c>
      <c r="D1610">
        <v>68.826545714999995</v>
      </c>
      <c r="E1610">
        <v>60</v>
      </c>
      <c r="F1610">
        <v>59.919311522999998</v>
      </c>
      <c r="G1610">
        <v>1400.5839844</v>
      </c>
      <c r="H1610">
        <v>1381.0020752</v>
      </c>
      <c r="I1610">
        <v>1289.4080810999999</v>
      </c>
      <c r="J1610">
        <v>1270.7413329999999</v>
      </c>
      <c r="K1610">
        <v>2750</v>
      </c>
      <c r="L1610">
        <v>0</v>
      </c>
      <c r="M1610">
        <v>0</v>
      </c>
      <c r="N1610">
        <v>2750</v>
      </c>
    </row>
    <row r="1611" spans="1:14" x14ac:dyDescent="0.25">
      <c r="A1611">
        <v>1096.2930469999999</v>
      </c>
      <c r="B1611" s="1">
        <f>DATE(2013,5,1) + TIME(7,1,59)</f>
        <v>41395.293043981481</v>
      </c>
      <c r="C1611">
        <v>80</v>
      </c>
      <c r="D1611">
        <v>69.336456299000005</v>
      </c>
      <c r="E1611">
        <v>60</v>
      </c>
      <c r="F1611">
        <v>59.915191649999997</v>
      </c>
      <c r="G1611">
        <v>1400.3764647999999</v>
      </c>
      <c r="H1611">
        <v>1380.9227295000001</v>
      </c>
      <c r="I1611">
        <v>1289.4157714999999</v>
      </c>
      <c r="J1611">
        <v>1270.7486572</v>
      </c>
      <c r="K1611">
        <v>2750</v>
      </c>
      <c r="L1611">
        <v>0</v>
      </c>
      <c r="M1611">
        <v>0</v>
      </c>
      <c r="N1611">
        <v>2750</v>
      </c>
    </row>
    <row r="1612" spans="1:14" x14ac:dyDescent="0.25">
      <c r="A1612">
        <v>1096.3229940000001</v>
      </c>
      <c r="B1612" s="1">
        <f>DATE(2013,5,1) + TIME(7,45,6)</f>
        <v>41395.32298611111</v>
      </c>
      <c r="C1612">
        <v>80</v>
      </c>
      <c r="D1612">
        <v>69.835418700999995</v>
      </c>
      <c r="E1612">
        <v>60</v>
      </c>
      <c r="F1612">
        <v>59.911006927000003</v>
      </c>
      <c r="G1612">
        <v>1400.1712646000001</v>
      </c>
      <c r="H1612">
        <v>1380.8411865</v>
      </c>
      <c r="I1612">
        <v>1289.4200439000001</v>
      </c>
      <c r="J1612">
        <v>1270.7525635</v>
      </c>
      <c r="K1612">
        <v>2750</v>
      </c>
      <c r="L1612">
        <v>0</v>
      </c>
      <c r="M1612">
        <v>0</v>
      </c>
      <c r="N1612">
        <v>2750</v>
      </c>
    </row>
    <row r="1613" spans="1:14" x14ac:dyDescent="0.25">
      <c r="A1613">
        <v>1096.353752</v>
      </c>
      <c r="B1613" s="1">
        <f>DATE(2013,5,1) + TIME(8,29,24)</f>
        <v>41395.353750000002</v>
      </c>
      <c r="C1613">
        <v>80</v>
      </c>
      <c r="D1613">
        <v>70.323234557999996</v>
      </c>
      <c r="E1613">
        <v>60</v>
      </c>
      <c r="F1613">
        <v>59.906753539999997</v>
      </c>
      <c r="G1613">
        <v>1399.9697266000001</v>
      </c>
      <c r="H1613">
        <v>1380.7591553</v>
      </c>
      <c r="I1613">
        <v>1289.4224853999999</v>
      </c>
      <c r="J1613">
        <v>1270.7546387</v>
      </c>
      <c r="K1613">
        <v>2750</v>
      </c>
      <c r="L1613">
        <v>0</v>
      </c>
      <c r="M1613">
        <v>0</v>
      </c>
      <c r="N1613">
        <v>2750</v>
      </c>
    </row>
    <row r="1614" spans="1:14" x14ac:dyDescent="0.25">
      <c r="A1614">
        <v>1096.385374</v>
      </c>
      <c r="B1614" s="1">
        <f>DATE(2013,5,1) + TIME(9,14,56)</f>
        <v>41395.385370370372</v>
      </c>
      <c r="C1614">
        <v>80</v>
      </c>
      <c r="D1614">
        <v>70.800041199000006</v>
      </c>
      <c r="E1614">
        <v>60</v>
      </c>
      <c r="F1614">
        <v>59.902420044000003</v>
      </c>
      <c r="G1614">
        <v>1399.7727050999999</v>
      </c>
      <c r="H1614">
        <v>1380.6774902</v>
      </c>
      <c r="I1614">
        <v>1289.4235839999999</v>
      </c>
      <c r="J1614">
        <v>1270.7553711</v>
      </c>
      <c r="K1614">
        <v>2750</v>
      </c>
      <c r="L1614">
        <v>0</v>
      </c>
      <c r="M1614">
        <v>0</v>
      </c>
      <c r="N1614">
        <v>2750</v>
      </c>
    </row>
    <row r="1615" spans="1:14" x14ac:dyDescent="0.25">
      <c r="A1615">
        <v>1096.417915</v>
      </c>
      <c r="B1615" s="1">
        <f>DATE(2013,5,1) + TIME(10,1,47)</f>
        <v>41395.417905092596</v>
      </c>
      <c r="C1615">
        <v>80</v>
      </c>
      <c r="D1615">
        <v>71.265975952000005</v>
      </c>
      <c r="E1615">
        <v>60</v>
      </c>
      <c r="F1615">
        <v>59.898010253999999</v>
      </c>
      <c r="G1615">
        <v>1399.5804443</v>
      </c>
      <c r="H1615">
        <v>1380.5969238</v>
      </c>
      <c r="I1615">
        <v>1289.4239502</v>
      </c>
      <c r="J1615">
        <v>1270.7554932</v>
      </c>
      <c r="K1615">
        <v>2750</v>
      </c>
      <c r="L1615">
        <v>0</v>
      </c>
      <c r="M1615">
        <v>0</v>
      </c>
      <c r="N1615">
        <v>2750</v>
      </c>
    </row>
    <row r="1616" spans="1:14" x14ac:dyDescent="0.25">
      <c r="A1616">
        <v>1096.451444</v>
      </c>
      <c r="B1616" s="1">
        <f>DATE(2013,5,1) + TIME(10,50,4)</f>
        <v>41395.451435185183</v>
      </c>
      <c r="C1616">
        <v>80</v>
      </c>
      <c r="D1616">
        <v>71.721137999999996</v>
      </c>
      <c r="E1616">
        <v>60</v>
      </c>
      <c r="F1616">
        <v>59.893512725999997</v>
      </c>
      <c r="G1616">
        <v>1399.3931885</v>
      </c>
      <c r="H1616">
        <v>1380.5174560999999</v>
      </c>
      <c r="I1616">
        <v>1289.4239502</v>
      </c>
      <c r="J1616">
        <v>1270.7551269999999</v>
      </c>
      <c r="K1616">
        <v>2750</v>
      </c>
      <c r="L1616">
        <v>0</v>
      </c>
      <c r="M1616">
        <v>0</v>
      </c>
      <c r="N1616">
        <v>2750</v>
      </c>
    </row>
    <row r="1617" spans="1:14" x14ac:dyDescent="0.25">
      <c r="A1617">
        <v>1096.486034</v>
      </c>
      <c r="B1617" s="1">
        <f>DATE(2013,5,1) + TIME(11,39,53)</f>
        <v>41395.486030092594</v>
      </c>
      <c r="C1617">
        <v>80</v>
      </c>
      <c r="D1617">
        <v>72.165557860999996</v>
      </c>
      <c r="E1617">
        <v>60</v>
      </c>
      <c r="F1617">
        <v>59.888919829999999</v>
      </c>
      <c r="G1617">
        <v>1399.2106934000001</v>
      </c>
      <c r="H1617">
        <v>1380.4390868999999</v>
      </c>
      <c r="I1617">
        <v>1289.4237060999999</v>
      </c>
      <c r="J1617">
        <v>1270.7545166</v>
      </c>
      <c r="K1617">
        <v>2750</v>
      </c>
      <c r="L1617">
        <v>0</v>
      </c>
      <c r="M1617">
        <v>0</v>
      </c>
      <c r="N1617">
        <v>2750</v>
      </c>
    </row>
    <row r="1618" spans="1:14" x14ac:dyDescent="0.25">
      <c r="A1618">
        <v>1096.521749</v>
      </c>
      <c r="B1618" s="1">
        <f>DATE(2013,5,1) + TIME(12,31,19)</f>
        <v>41395.521747685183</v>
      </c>
      <c r="C1618">
        <v>80</v>
      </c>
      <c r="D1618">
        <v>72.599098205999994</v>
      </c>
      <c r="E1618">
        <v>60</v>
      </c>
      <c r="F1618">
        <v>59.884227752999998</v>
      </c>
      <c r="G1618">
        <v>1399.0328368999999</v>
      </c>
      <c r="H1618">
        <v>1380.3619385</v>
      </c>
      <c r="I1618">
        <v>1289.4232178</v>
      </c>
      <c r="J1618">
        <v>1270.7537841999999</v>
      </c>
      <c r="K1618">
        <v>2750</v>
      </c>
      <c r="L1618">
        <v>0</v>
      </c>
      <c r="M1618">
        <v>0</v>
      </c>
      <c r="N1618">
        <v>2750</v>
      </c>
    </row>
    <row r="1619" spans="1:14" x14ac:dyDescent="0.25">
      <c r="A1619">
        <v>1096.558673</v>
      </c>
      <c r="B1619" s="1">
        <f>DATE(2013,5,1) + TIME(13,24,29)</f>
        <v>41395.558668981481</v>
      </c>
      <c r="C1619">
        <v>80</v>
      </c>
      <c r="D1619">
        <v>73.021743774000001</v>
      </c>
      <c r="E1619">
        <v>60</v>
      </c>
      <c r="F1619">
        <v>59.879428863999998</v>
      </c>
      <c r="G1619">
        <v>1398.8594971</v>
      </c>
      <c r="H1619">
        <v>1380.2858887</v>
      </c>
      <c r="I1619">
        <v>1289.4227295000001</v>
      </c>
      <c r="J1619">
        <v>1270.7528076000001</v>
      </c>
      <c r="K1619">
        <v>2750</v>
      </c>
      <c r="L1619">
        <v>0</v>
      </c>
      <c r="M1619">
        <v>0</v>
      </c>
      <c r="N1619">
        <v>2750</v>
      </c>
    </row>
    <row r="1620" spans="1:14" x14ac:dyDescent="0.25">
      <c r="A1620">
        <v>1096.596898</v>
      </c>
      <c r="B1620" s="1">
        <f>DATE(2013,5,1) + TIME(14,19,31)</f>
        <v>41395.596886574072</v>
      </c>
      <c r="C1620">
        <v>80</v>
      </c>
      <c r="D1620">
        <v>73.433471679999997</v>
      </c>
      <c r="E1620">
        <v>60</v>
      </c>
      <c r="F1620">
        <v>59.874511718999997</v>
      </c>
      <c r="G1620">
        <v>1398.6905518000001</v>
      </c>
      <c r="H1620">
        <v>1380.2109375</v>
      </c>
      <c r="I1620">
        <v>1289.4221190999999</v>
      </c>
      <c r="J1620">
        <v>1270.7518310999999</v>
      </c>
      <c r="K1620">
        <v>2750</v>
      </c>
      <c r="L1620">
        <v>0</v>
      </c>
      <c r="M1620">
        <v>0</v>
      </c>
      <c r="N1620">
        <v>2750</v>
      </c>
    </row>
    <row r="1621" spans="1:14" x14ac:dyDescent="0.25">
      <c r="A1621">
        <v>1096.6365249999999</v>
      </c>
      <c r="B1621" s="1">
        <f>DATE(2013,5,1) + TIME(15,16,35)</f>
        <v>41395.636516203704</v>
      </c>
      <c r="C1621">
        <v>80</v>
      </c>
      <c r="D1621">
        <v>73.834236145000006</v>
      </c>
      <c r="E1621">
        <v>60</v>
      </c>
      <c r="F1621">
        <v>59.869468689000001</v>
      </c>
      <c r="G1621">
        <v>1398.5255127</v>
      </c>
      <c r="H1621">
        <v>1380.1368408000001</v>
      </c>
      <c r="I1621">
        <v>1289.4213867000001</v>
      </c>
      <c r="J1621">
        <v>1270.7507324000001</v>
      </c>
      <c r="K1621">
        <v>2750</v>
      </c>
      <c r="L1621">
        <v>0</v>
      </c>
      <c r="M1621">
        <v>0</v>
      </c>
      <c r="N1621">
        <v>2750</v>
      </c>
    </row>
    <row r="1622" spans="1:14" x14ac:dyDescent="0.25">
      <c r="A1622">
        <v>1096.677668</v>
      </c>
      <c r="B1622" s="1">
        <f>DATE(2013,5,1) + TIME(16,15,50)</f>
        <v>41395.677662037036</v>
      </c>
      <c r="C1622">
        <v>80</v>
      </c>
      <c r="D1622">
        <v>74.223983765</v>
      </c>
      <c r="E1622">
        <v>60</v>
      </c>
      <c r="F1622">
        <v>59.864284515000001</v>
      </c>
      <c r="G1622">
        <v>1398.3645019999999</v>
      </c>
      <c r="H1622">
        <v>1380.0634766000001</v>
      </c>
      <c r="I1622">
        <v>1289.4206543</v>
      </c>
      <c r="J1622">
        <v>1270.7495117000001</v>
      </c>
      <c r="K1622">
        <v>2750</v>
      </c>
      <c r="L1622">
        <v>0</v>
      </c>
      <c r="M1622">
        <v>0</v>
      </c>
      <c r="N1622">
        <v>2750</v>
      </c>
    </row>
    <row r="1623" spans="1:14" x14ac:dyDescent="0.25">
      <c r="A1623">
        <v>1096.7204549999999</v>
      </c>
      <c r="B1623" s="1">
        <f>DATE(2013,5,1) + TIME(17,17,27)</f>
        <v>41395.720451388886</v>
      </c>
      <c r="C1623">
        <v>80</v>
      </c>
      <c r="D1623">
        <v>74.602653502999999</v>
      </c>
      <c r="E1623">
        <v>60</v>
      </c>
      <c r="F1623">
        <v>59.858955383000001</v>
      </c>
      <c r="G1623">
        <v>1398.2070312000001</v>
      </c>
      <c r="H1623">
        <v>1379.9908447</v>
      </c>
      <c r="I1623">
        <v>1289.4197998</v>
      </c>
      <c r="J1623">
        <v>1270.7482910000001</v>
      </c>
      <c r="K1623">
        <v>2750</v>
      </c>
      <c r="L1623">
        <v>0</v>
      </c>
      <c r="M1623">
        <v>0</v>
      </c>
      <c r="N1623">
        <v>2750</v>
      </c>
    </row>
    <row r="1624" spans="1:14" x14ac:dyDescent="0.25">
      <c r="A1624">
        <v>1096.76503</v>
      </c>
      <c r="B1624" s="1">
        <f>DATE(2013,5,1) + TIME(18,21,38)</f>
        <v>41395.765023148146</v>
      </c>
      <c r="C1624">
        <v>80</v>
      </c>
      <c r="D1624">
        <v>74.970176696999999</v>
      </c>
      <c r="E1624">
        <v>60</v>
      </c>
      <c r="F1624">
        <v>59.853462219000001</v>
      </c>
      <c r="G1624">
        <v>1398.0531006000001</v>
      </c>
      <c r="H1624">
        <v>1379.9188231999999</v>
      </c>
      <c r="I1624">
        <v>1289.4188231999999</v>
      </c>
      <c r="J1624">
        <v>1270.7469481999999</v>
      </c>
      <c r="K1624">
        <v>2750</v>
      </c>
      <c r="L1624">
        <v>0</v>
      </c>
      <c r="M1624">
        <v>0</v>
      </c>
      <c r="N1624">
        <v>2750</v>
      </c>
    </row>
    <row r="1625" spans="1:14" x14ac:dyDescent="0.25">
      <c r="A1625">
        <v>1096.8115539999999</v>
      </c>
      <c r="B1625" s="1">
        <f>DATE(2013,5,1) + TIME(19,28,38)</f>
        <v>41395.811550925922</v>
      </c>
      <c r="C1625">
        <v>80</v>
      </c>
      <c r="D1625">
        <v>75.326217650999993</v>
      </c>
      <c r="E1625">
        <v>60</v>
      </c>
      <c r="F1625">
        <v>59.847789763999998</v>
      </c>
      <c r="G1625">
        <v>1397.9023437999999</v>
      </c>
      <c r="H1625">
        <v>1379.847168</v>
      </c>
      <c r="I1625">
        <v>1289.4179687999999</v>
      </c>
      <c r="J1625">
        <v>1270.7456055</v>
      </c>
      <c r="K1625">
        <v>2750</v>
      </c>
      <c r="L1625">
        <v>0</v>
      </c>
      <c r="M1625">
        <v>0</v>
      </c>
      <c r="N1625">
        <v>2750</v>
      </c>
    </row>
    <row r="1626" spans="1:14" x14ac:dyDescent="0.25">
      <c r="A1626">
        <v>1096.860216</v>
      </c>
      <c r="B1626" s="1">
        <f>DATE(2013,5,1) + TIME(20,38,42)</f>
        <v>41395.860208333332</v>
      </c>
      <c r="C1626">
        <v>80</v>
      </c>
      <c r="D1626">
        <v>75.670913696</v>
      </c>
      <c r="E1626">
        <v>60</v>
      </c>
      <c r="F1626">
        <v>59.841922760000003</v>
      </c>
      <c r="G1626">
        <v>1397.7545166</v>
      </c>
      <c r="H1626">
        <v>1379.7757568</v>
      </c>
      <c r="I1626">
        <v>1289.4168701000001</v>
      </c>
      <c r="J1626">
        <v>1270.7441406</v>
      </c>
      <c r="K1626">
        <v>2750</v>
      </c>
      <c r="L1626">
        <v>0</v>
      </c>
      <c r="M1626">
        <v>0</v>
      </c>
      <c r="N1626">
        <v>2750</v>
      </c>
    </row>
    <row r="1627" spans="1:14" x14ac:dyDescent="0.25">
      <c r="A1627">
        <v>1096.9112580000001</v>
      </c>
      <c r="B1627" s="1">
        <f>DATE(2013,5,1) + TIME(21,52,12)</f>
        <v>41395.911249999997</v>
      </c>
      <c r="C1627">
        <v>80</v>
      </c>
      <c r="D1627">
        <v>76.004371642999999</v>
      </c>
      <c r="E1627">
        <v>60</v>
      </c>
      <c r="F1627">
        <v>59.835838318</v>
      </c>
      <c r="G1627">
        <v>1397.6094971</v>
      </c>
      <c r="H1627">
        <v>1379.7044678</v>
      </c>
      <c r="I1627">
        <v>1289.4157714999999</v>
      </c>
      <c r="J1627">
        <v>1270.7425536999999</v>
      </c>
      <c r="K1627">
        <v>2750</v>
      </c>
      <c r="L1627">
        <v>0</v>
      </c>
      <c r="M1627">
        <v>0</v>
      </c>
      <c r="N1627">
        <v>2750</v>
      </c>
    </row>
    <row r="1628" spans="1:14" x14ac:dyDescent="0.25">
      <c r="A1628">
        <v>1096.9648970000001</v>
      </c>
      <c r="B1628" s="1">
        <f>DATE(2013,5,1) + TIME(23,9,27)</f>
        <v>41395.964895833335</v>
      </c>
      <c r="C1628">
        <v>80</v>
      </c>
      <c r="D1628">
        <v>76.326255798000005</v>
      </c>
      <c r="E1628">
        <v>60</v>
      </c>
      <c r="F1628">
        <v>59.829517365000001</v>
      </c>
      <c r="G1628">
        <v>1397.4669189000001</v>
      </c>
      <c r="H1628">
        <v>1379.6331786999999</v>
      </c>
      <c r="I1628">
        <v>1289.4146728999999</v>
      </c>
      <c r="J1628">
        <v>1270.7409668</v>
      </c>
      <c r="K1628">
        <v>2750</v>
      </c>
      <c r="L1628">
        <v>0</v>
      </c>
      <c r="M1628">
        <v>0</v>
      </c>
      <c r="N1628">
        <v>2750</v>
      </c>
    </row>
    <row r="1629" spans="1:14" x14ac:dyDescent="0.25">
      <c r="A1629">
        <v>1097.0214149999999</v>
      </c>
      <c r="B1629" s="1">
        <f>DATE(2013,5,2) + TIME(0,30,50)</f>
        <v>41396.021412037036</v>
      </c>
      <c r="C1629">
        <v>80</v>
      </c>
      <c r="D1629">
        <v>76.636428832999997</v>
      </c>
      <c r="E1629">
        <v>60</v>
      </c>
      <c r="F1629">
        <v>59.822929381999998</v>
      </c>
      <c r="G1629">
        <v>1397.3267822</v>
      </c>
      <c r="H1629">
        <v>1379.5617675999999</v>
      </c>
      <c r="I1629">
        <v>1289.4134521000001</v>
      </c>
      <c r="J1629">
        <v>1270.7392577999999</v>
      </c>
      <c r="K1629">
        <v>2750</v>
      </c>
      <c r="L1629">
        <v>0</v>
      </c>
      <c r="M1629">
        <v>0</v>
      </c>
      <c r="N1629">
        <v>2750</v>
      </c>
    </row>
    <row r="1630" spans="1:14" x14ac:dyDescent="0.25">
      <c r="A1630">
        <v>1097.0811430000001</v>
      </c>
      <c r="B1630" s="1">
        <f>DATE(2013,5,2) + TIME(1,56,50)</f>
        <v>41396.081134259257</v>
      </c>
      <c r="C1630">
        <v>80</v>
      </c>
      <c r="D1630">
        <v>76.934730529999996</v>
      </c>
      <c r="E1630">
        <v>60</v>
      </c>
      <c r="F1630">
        <v>59.816051483000003</v>
      </c>
      <c r="G1630">
        <v>1397.1885986</v>
      </c>
      <c r="H1630">
        <v>1379.4899902</v>
      </c>
      <c r="I1630">
        <v>1289.4121094</v>
      </c>
      <c r="J1630">
        <v>1270.7374268000001</v>
      </c>
      <c r="K1630">
        <v>2750</v>
      </c>
      <c r="L1630">
        <v>0</v>
      </c>
      <c r="M1630">
        <v>0</v>
      </c>
      <c r="N1630">
        <v>2750</v>
      </c>
    </row>
    <row r="1631" spans="1:14" x14ac:dyDescent="0.25">
      <c r="A1631">
        <v>1097.14447</v>
      </c>
      <c r="B1631" s="1">
        <f>DATE(2013,5,2) + TIME(3,28,2)</f>
        <v>41396.144467592596</v>
      </c>
      <c r="C1631">
        <v>80</v>
      </c>
      <c r="D1631">
        <v>77.221008300999998</v>
      </c>
      <c r="E1631">
        <v>60</v>
      </c>
      <c r="F1631">
        <v>59.808845519999998</v>
      </c>
      <c r="G1631">
        <v>1397.0523682</v>
      </c>
      <c r="H1631">
        <v>1379.4177245999999</v>
      </c>
      <c r="I1631">
        <v>1289.4107666</v>
      </c>
      <c r="J1631">
        <v>1270.7354736</v>
      </c>
      <c r="K1631">
        <v>2750</v>
      </c>
      <c r="L1631">
        <v>0</v>
      </c>
      <c r="M1631">
        <v>0</v>
      </c>
      <c r="N1631">
        <v>2750</v>
      </c>
    </row>
    <row r="1632" spans="1:14" x14ac:dyDescent="0.25">
      <c r="A1632">
        <v>1097.211847</v>
      </c>
      <c r="B1632" s="1">
        <f>DATE(2013,5,2) + TIME(5,5,3)</f>
        <v>41396.211840277778</v>
      </c>
      <c r="C1632">
        <v>80</v>
      </c>
      <c r="D1632">
        <v>77.495018005000006</v>
      </c>
      <c r="E1632">
        <v>60</v>
      </c>
      <c r="F1632">
        <v>59.801273346000002</v>
      </c>
      <c r="G1632">
        <v>1396.9176024999999</v>
      </c>
      <c r="H1632">
        <v>1379.3447266000001</v>
      </c>
      <c r="I1632">
        <v>1289.4091797000001</v>
      </c>
      <c r="J1632">
        <v>1270.7333983999999</v>
      </c>
      <c r="K1632">
        <v>2750</v>
      </c>
      <c r="L1632">
        <v>0</v>
      </c>
      <c r="M1632">
        <v>0</v>
      </c>
      <c r="N1632">
        <v>2750</v>
      </c>
    </row>
    <row r="1633" spans="1:14" x14ac:dyDescent="0.25">
      <c r="A1633">
        <v>1097.2838360000001</v>
      </c>
      <c r="B1633" s="1">
        <f>DATE(2013,5,2) + TIME(6,48,43)</f>
        <v>41396.283831018518</v>
      </c>
      <c r="C1633">
        <v>80</v>
      </c>
      <c r="D1633">
        <v>77.756584167</v>
      </c>
      <c r="E1633">
        <v>60</v>
      </c>
      <c r="F1633">
        <v>59.79328537</v>
      </c>
      <c r="G1633">
        <v>1396.7841797000001</v>
      </c>
      <c r="H1633">
        <v>1379.2707519999999</v>
      </c>
      <c r="I1633">
        <v>1289.4075928</v>
      </c>
      <c r="J1633">
        <v>1270.7312012</v>
      </c>
      <c r="K1633">
        <v>2750</v>
      </c>
      <c r="L1633">
        <v>0</v>
      </c>
      <c r="M1633">
        <v>0</v>
      </c>
      <c r="N1633">
        <v>2750</v>
      </c>
    </row>
    <row r="1634" spans="1:14" x14ac:dyDescent="0.25">
      <c r="A1634">
        <v>1097.3611129999999</v>
      </c>
      <c r="B1634" s="1">
        <f>DATE(2013,5,2) + TIME(8,40,0)</f>
        <v>41396.361111111109</v>
      </c>
      <c r="C1634">
        <v>80</v>
      </c>
      <c r="D1634">
        <v>78.005508422999995</v>
      </c>
      <c r="E1634">
        <v>60</v>
      </c>
      <c r="F1634">
        <v>59.784816741999997</v>
      </c>
      <c r="G1634">
        <v>1396.6516113</v>
      </c>
      <c r="H1634">
        <v>1379.1955565999999</v>
      </c>
      <c r="I1634">
        <v>1289.4058838000001</v>
      </c>
      <c r="J1634">
        <v>1270.7288818</v>
      </c>
      <c r="K1634">
        <v>2750</v>
      </c>
      <c r="L1634">
        <v>0</v>
      </c>
      <c r="M1634">
        <v>0</v>
      </c>
      <c r="N1634">
        <v>2750</v>
      </c>
    </row>
    <row r="1635" spans="1:14" x14ac:dyDescent="0.25">
      <c r="A1635">
        <v>1097.4445069999999</v>
      </c>
      <c r="B1635" s="1">
        <f>DATE(2013,5,2) + TIME(10,40,5)</f>
        <v>41396.444502314815</v>
      </c>
      <c r="C1635">
        <v>80</v>
      </c>
      <c r="D1635">
        <v>78.241516113000003</v>
      </c>
      <c r="E1635">
        <v>60</v>
      </c>
      <c r="F1635">
        <v>59.775802612</v>
      </c>
      <c r="G1635">
        <v>1396.5196533000001</v>
      </c>
      <c r="H1635">
        <v>1379.1190185999999</v>
      </c>
      <c r="I1635">
        <v>1289.4040527</v>
      </c>
      <c r="J1635">
        <v>1270.7264404</v>
      </c>
      <c r="K1635">
        <v>2750</v>
      </c>
      <c r="L1635">
        <v>0</v>
      </c>
      <c r="M1635">
        <v>0</v>
      </c>
      <c r="N1635">
        <v>2750</v>
      </c>
    </row>
    <row r="1636" spans="1:14" x14ac:dyDescent="0.25">
      <c r="A1636">
        <v>1097.53505</v>
      </c>
      <c r="B1636" s="1">
        <f>DATE(2013,5,2) + TIME(12,50,28)</f>
        <v>41396.535046296296</v>
      </c>
      <c r="C1636">
        <v>80</v>
      </c>
      <c r="D1636">
        <v>78.464340210000003</v>
      </c>
      <c r="E1636">
        <v>60</v>
      </c>
      <c r="F1636">
        <v>59.766151428000001</v>
      </c>
      <c r="G1636">
        <v>1396.3879394999999</v>
      </c>
      <c r="H1636">
        <v>1379.0405272999999</v>
      </c>
      <c r="I1636">
        <v>1289.4020995999999</v>
      </c>
      <c r="J1636">
        <v>1270.7237548999999</v>
      </c>
      <c r="K1636">
        <v>2750</v>
      </c>
      <c r="L1636">
        <v>0</v>
      </c>
      <c r="M1636">
        <v>0</v>
      </c>
      <c r="N1636">
        <v>2750</v>
      </c>
    </row>
    <row r="1637" spans="1:14" x14ac:dyDescent="0.25">
      <c r="A1637">
        <v>1097.5845670000001</v>
      </c>
      <c r="B1637" s="1">
        <f>DATE(2013,5,2) + TIME(14,1,46)</f>
        <v>41396.584560185183</v>
      </c>
      <c r="C1637">
        <v>80</v>
      </c>
      <c r="D1637">
        <v>78.576980590999995</v>
      </c>
      <c r="E1637">
        <v>60</v>
      </c>
      <c r="F1637">
        <v>59.760623932000001</v>
      </c>
      <c r="G1637">
        <v>1396.3095702999999</v>
      </c>
      <c r="H1637">
        <v>1378.9862060999999</v>
      </c>
      <c r="I1637">
        <v>1289.3995361</v>
      </c>
      <c r="J1637">
        <v>1270.7210693</v>
      </c>
      <c r="K1637">
        <v>2750</v>
      </c>
      <c r="L1637">
        <v>0</v>
      </c>
      <c r="M1637">
        <v>0</v>
      </c>
      <c r="N1637">
        <v>2750</v>
      </c>
    </row>
    <row r="1638" spans="1:14" x14ac:dyDescent="0.25">
      <c r="A1638">
        <v>1097.6836000000001</v>
      </c>
      <c r="B1638" s="1">
        <f>DATE(2013,5,2) + TIME(16,24,23)</f>
        <v>41396.683599537035</v>
      </c>
      <c r="C1638">
        <v>80</v>
      </c>
      <c r="D1638">
        <v>78.770492554</v>
      </c>
      <c r="E1638">
        <v>60</v>
      </c>
      <c r="F1638">
        <v>59.750282288000001</v>
      </c>
      <c r="G1638">
        <v>1396.1920166</v>
      </c>
      <c r="H1638">
        <v>1378.9196777</v>
      </c>
      <c r="I1638">
        <v>1289.3986815999999</v>
      </c>
      <c r="J1638">
        <v>1270.7191161999999</v>
      </c>
      <c r="K1638">
        <v>2750</v>
      </c>
      <c r="L1638">
        <v>0</v>
      </c>
      <c r="M1638">
        <v>0</v>
      </c>
      <c r="N1638">
        <v>2750</v>
      </c>
    </row>
    <row r="1639" spans="1:14" x14ac:dyDescent="0.25">
      <c r="A1639">
        <v>1097.782637</v>
      </c>
      <c r="B1639" s="1">
        <f>DATE(2013,5,2) + TIME(18,46,59)</f>
        <v>41396.782627314817</v>
      </c>
      <c r="C1639">
        <v>80</v>
      </c>
      <c r="D1639">
        <v>78.936767578000001</v>
      </c>
      <c r="E1639">
        <v>60</v>
      </c>
      <c r="F1639">
        <v>59.739974975999999</v>
      </c>
      <c r="G1639">
        <v>1396.072876</v>
      </c>
      <c r="H1639">
        <v>1378.8428954999999</v>
      </c>
      <c r="I1639">
        <v>1289.3962402</v>
      </c>
      <c r="J1639">
        <v>1270.7160644999999</v>
      </c>
      <c r="K1639">
        <v>2750</v>
      </c>
      <c r="L1639">
        <v>0</v>
      </c>
      <c r="M1639">
        <v>0</v>
      </c>
      <c r="N1639">
        <v>2750</v>
      </c>
    </row>
    <row r="1640" spans="1:14" x14ac:dyDescent="0.25">
      <c r="A1640">
        <v>1097.8822500000001</v>
      </c>
      <c r="B1640" s="1">
        <f>DATE(2013,5,2) + TIME(21,10,26)</f>
        <v>41396.882245370369</v>
      </c>
      <c r="C1640">
        <v>80</v>
      </c>
      <c r="D1640">
        <v>79.080345154</v>
      </c>
      <c r="E1640">
        <v>60</v>
      </c>
      <c r="F1640">
        <v>59.729652405000003</v>
      </c>
      <c r="G1640">
        <v>1395.9613036999999</v>
      </c>
      <c r="H1640">
        <v>1378.7692870999999</v>
      </c>
      <c r="I1640">
        <v>1289.3937988</v>
      </c>
      <c r="J1640">
        <v>1270.7128906</v>
      </c>
      <c r="K1640">
        <v>2750</v>
      </c>
      <c r="L1640">
        <v>0</v>
      </c>
      <c r="M1640">
        <v>0</v>
      </c>
      <c r="N1640">
        <v>2750</v>
      </c>
    </row>
    <row r="1641" spans="1:14" x14ac:dyDescent="0.25">
      <c r="A1641">
        <v>1097.982702</v>
      </c>
      <c r="B1641" s="1">
        <f>DATE(2013,5,2) + TIME(23,35,5)</f>
        <v>41396.98269675926</v>
      </c>
      <c r="C1641">
        <v>80</v>
      </c>
      <c r="D1641">
        <v>79.204521178999997</v>
      </c>
      <c r="E1641">
        <v>60</v>
      </c>
      <c r="F1641">
        <v>59.719284058</v>
      </c>
      <c r="G1641">
        <v>1395.8562012</v>
      </c>
      <c r="H1641">
        <v>1378.6984863</v>
      </c>
      <c r="I1641">
        <v>1289.3913574000001</v>
      </c>
      <c r="J1641">
        <v>1270.7097168</v>
      </c>
      <c r="K1641">
        <v>2750</v>
      </c>
      <c r="L1641">
        <v>0</v>
      </c>
      <c r="M1641">
        <v>0</v>
      </c>
      <c r="N1641">
        <v>2750</v>
      </c>
    </row>
    <row r="1642" spans="1:14" x14ac:dyDescent="0.25">
      <c r="A1642">
        <v>1098.084257</v>
      </c>
      <c r="B1642" s="1">
        <f>DATE(2013,5,3) + TIME(2,1,19)</f>
        <v>41397.084247685183</v>
      </c>
      <c r="C1642">
        <v>80</v>
      </c>
      <c r="D1642">
        <v>79.312034607000001</v>
      </c>
      <c r="E1642">
        <v>60</v>
      </c>
      <c r="F1642">
        <v>59.708850861000002</v>
      </c>
      <c r="G1642">
        <v>1395.7567139</v>
      </c>
      <c r="H1642">
        <v>1378.630249</v>
      </c>
      <c r="I1642">
        <v>1289.3887939000001</v>
      </c>
      <c r="J1642">
        <v>1270.706543</v>
      </c>
      <c r="K1642">
        <v>2750</v>
      </c>
      <c r="L1642">
        <v>0</v>
      </c>
      <c r="M1642">
        <v>0</v>
      </c>
      <c r="N1642">
        <v>2750</v>
      </c>
    </row>
    <row r="1643" spans="1:14" x14ac:dyDescent="0.25">
      <c r="A1643">
        <v>1098.1871779999999</v>
      </c>
      <c r="B1643" s="1">
        <f>DATE(2013,5,3) + TIME(4,29,32)</f>
        <v>41397.187175925923</v>
      </c>
      <c r="C1643">
        <v>80</v>
      </c>
      <c r="D1643">
        <v>79.405181885000005</v>
      </c>
      <c r="E1643">
        <v>60</v>
      </c>
      <c r="F1643">
        <v>59.698326111</v>
      </c>
      <c r="G1643">
        <v>1395.6621094</v>
      </c>
      <c r="H1643">
        <v>1378.5642089999999</v>
      </c>
      <c r="I1643">
        <v>1289.3862305</v>
      </c>
      <c r="J1643">
        <v>1270.7032471</v>
      </c>
      <c r="K1643">
        <v>2750</v>
      </c>
      <c r="L1643">
        <v>0</v>
      </c>
      <c r="M1643">
        <v>0</v>
      </c>
      <c r="N1643">
        <v>2750</v>
      </c>
    </row>
    <row r="1644" spans="1:14" x14ac:dyDescent="0.25">
      <c r="A1644">
        <v>1098.2917560000001</v>
      </c>
      <c r="B1644" s="1">
        <f>DATE(2013,5,3) + TIME(7,0,7)</f>
        <v>41397.291747685187</v>
      </c>
      <c r="C1644">
        <v>80</v>
      </c>
      <c r="D1644">
        <v>79.485916137999993</v>
      </c>
      <c r="E1644">
        <v>60</v>
      </c>
      <c r="F1644">
        <v>59.687686919999997</v>
      </c>
      <c r="G1644">
        <v>1395.5717772999999</v>
      </c>
      <c r="H1644">
        <v>1378.5</v>
      </c>
      <c r="I1644">
        <v>1289.3836670000001</v>
      </c>
      <c r="J1644">
        <v>1270.6999512</v>
      </c>
      <c r="K1644">
        <v>2750</v>
      </c>
      <c r="L1644">
        <v>0</v>
      </c>
      <c r="M1644">
        <v>0</v>
      </c>
      <c r="N1644">
        <v>2750</v>
      </c>
    </row>
    <row r="1645" spans="1:14" x14ac:dyDescent="0.25">
      <c r="A1645">
        <v>1098.398209</v>
      </c>
      <c r="B1645" s="1">
        <f>DATE(2013,5,3) + TIME(9,33,25)</f>
        <v>41397.398206018515</v>
      </c>
      <c r="C1645">
        <v>80</v>
      </c>
      <c r="D1645">
        <v>79.555847168</v>
      </c>
      <c r="E1645">
        <v>60</v>
      </c>
      <c r="F1645">
        <v>59.676910399999997</v>
      </c>
      <c r="G1645">
        <v>1395.4851074000001</v>
      </c>
      <c r="H1645">
        <v>1378.4373779</v>
      </c>
      <c r="I1645">
        <v>1289.3811035000001</v>
      </c>
      <c r="J1645">
        <v>1270.6965332</v>
      </c>
      <c r="K1645">
        <v>2750</v>
      </c>
      <c r="L1645">
        <v>0</v>
      </c>
      <c r="M1645">
        <v>0</v>
      </c>
      <c r="N1645">
        <v>2750</v>
      </c>
    </row>
    <row r="1646" spans="1:14" x14ac:dyDescent="0.25">
      <c r="A1646">
        <v>1098.5068080000001</v>
      </c>
      <c r="B1646" s="1">
        <f>DATE(2013,5,3) + TIME(12,9,48)</f>
        <v>41397.506805555553</v>
      </c>
      <c r="C1646">
        <v>80</v>
      </c>
      <c r="D1646">
        <v>79.616386414000004</v>
      </c>
      <c r="E1646">
        <v>60</v>
      </c>
      <c r="F1646">
        <v>59.665973663000003</v>
      </c>
      <c r="G1646">
        <v>1395.4016113</v>
      </c>
      <c r="H1646">
        <v>1378.3762207</v>
      </c>
      <c r="I1646">
        <v>1289.378418</v>
      </c>
      <c r="J1646">
        <v>1270.6931152</v>
      </c>
      <c r="K1646">
        <v>2750</v>
      </c>
      <c r="L1646">
        <v>0</v>
      </c>
      <c r="M1646">
        <v>0</v>
      </c>
      <c r="N1646">
        <v>2750</v>
      </c>
    </row>
    <row r="1647" spans="1:14" x14ac:dyDescent="0.25">
      <c r="A1647">
        <v>1098.6178299999999</v>
      </c>
      <c r="B1647" s="1">
        <f>DATE(2013,5,3) + TIME(14,49,40)</f>
        <v>41397.617824074077</v>
      </c>
      <c r="C1647">
        <v>80</v>
      </c>
      <c r="D1647">
        <v>79.668739318999997</v>
      </c>
      <c r="E1647">
        <v>60</v>
      </c>
      <c r="F1647">
        <v>59.654853821000003</v>
      </c>
      <c r="G1647">
        <v>1395.3208007999999</v>
      </c>
      <c r="H1647">
        <v>1378.3162841999999</v>
      </c>
      <c r="I1647">
        <v>1289.3756103999999</v>
      </c>
      <c r="J1647">
        <v>1270.6896973</v>
      </c>
      <c r="K1647">
        <v>2750</v>
      </c>
      <c r="L1647">
        <v>0</v>
      </c>
      <c r="M1647">
        <v>0</v>
      </c>
      <c r="N1647">
        <v>2750</v>
      </c>
    </row>
    <row r="1648" spans="1:14" x14ac:dyDescent="0.25">
      <c r="A1648">
        <v>1098.731575</v>
      </c>
      <c r="B1648" s="1">
        <f>DATE(2013,5,3) + TIME(17,33,28)</f>
        <v>41397.731574074074</v>
      </c>
      <c r="C1648">
        <v>80</v>
      </c>
      <c r="D1648">
        <v>79.713958739999995</v>
      </c>
      <c r="E1648">
        <v>60</v>
      </c>
      <c r="F1648">
        <v>59.643524169999999</v>
      </c>
      <c r="G1648">
        <v>1395.2424315999999</v>
      </c>
      <c r="H1648">
        <v>1378.2573242000001</v>
      </c>
      <c r="I1648">
        <v>1289.3728027</v>
      </c>
      <c r="J1648">
        <v>1270.6860352000001</v>
      </c>
      <c r="K1648">
        <v>2750</v>
      </c>
      <c r="L1648">
        <v>0</v>
      </c>
      <c r="M1648">
        <v>0</v>
      </c>
      <c r="N1648">
        <v>2750</v>
      </c>
    </row>
    <row r="1649" spans="1:14" x14ac:dyDescent="0.25">
      <c r="A1649">
        <v>1098.84836</v>
      </c>
      <c r="B1649" s="1">
        <f>DATE(2013,5,3) + TIME(20,21,38)</f>
        <v>41397.848356481481</v>
      </c>
      <c r="C1649">
        <v>80</v>
      </c>
      <c r="D1649">
        <v>79.752944946</v>
      </c>
      <c r="E1649">
        <v>60</v>
      </c>
      <c r="F1649">
        <v>59.631961822999997</v>
      </c>
      <c r="G1649">
        <v>1395.1660156</v>
      </c>
      <c r="H1649">
        <v>1378.1993408000001</v>
      </c>
      <c r="I1649">
        <v>1289.3699951000001</v>
      </c>
      <c r="J1649">
        <v>1270.6823730000001</v>
      </c>
      <c r="K1649">
        <v>2750</v>
      </c>
      <c r="L1649">
        <v>0</v>
      </c>
      <c r="M1649">
        <v>0</v>
      </c>
      <c r="N1649">
        <v>2750</v>
      </c>
    </row>
    <row r="1650" spans="1:14" x14ac:dyDescent="0.25">
      <c r="A1650">
        <v>1098.968531</v>
      </c>
      <c r="B1650" s="1">
        <f>DATE(2013,5,3) + TIME(23,14,41)</f>
        <v>41397.968530092592</v>
      </c>
      <c r="C1650">
        <v>80</v>
      </c>
      <c r="D1650">
        <v>79.786483765</v>
      </c>
      <c r="E1650">
        <v>60</v>
      </c>
      <c r="F1650">
        <v>59.620128631999997</v>
      </c>
      <c r="G1650">
        <v>1395.0913086</v>
      </c>
      <c r="H1650">
        <v>1378.1419678</v>
      </c>
      <c r="I1650">
        <v>1289.3669434000001</v>
      </c>
      <c r="J1650">
        <v>1270.6785889</v>
      </c>
      <c r="K1650">
        <v>2750</v>
      </c>
      <c r="L1650">
        <v>0</v>
      </c>
      <c r="M1650">
        <v>0</v>
      </c>
      <c r="N1650">
        <v>2750</v>
      </c>
    </row>
    <row r="1651" spans="1:14" x14ac:dyDescent="0.25">
      <c r="A1651">
        <v>1099.0924669999999</v>
      </c>
      <c r="B1651" s="1">
        <f>DATE(2013,5,4) + TIME(2,13,9)</f>
        <v>41398.092465277776</v>
      </c>
      <c r="C1651">
        <v>80</v>
      </c>
      <c r="D1651">
        <v>79.815277100000003</v>
      </c>
      <c r="E1651">
        <v>60</v>
      </c>
      <c r="F1651">
        <v>59.607997894</v>
      </c>
      <c r="G1651">
        <v>1395.0179443</v>
      </c>
      <c r="H1651">
        <v>1378.0850829999999</v>
      </c>
      <c r="I1651">
        <v>1289.3638916</v>
      </c>
      <c r="J1651">
        <v>1270.6746826000001</v>
      </c>
      <c r="K1651">
        <v>2750</v>
      </c>
      <c r="L1651">
        <v>0</v>
      </c>
      <c r="M1651">
        <v>0</v>
      </c>
      <c r="N1651">
        <v>2750</v>
      </c>
    </row>
    <row r="1652" spans="1:14" x14ac:dyDescent="0.25">
      <c r="A1652">
        <v>1099.2205859999999</v>
      </c>
      <c r="B1652" s="1">
        <f>DATE(2013,5,4) + TIME(5,17,38)</f>
        <v>41398.220578703702</v>
      </c>
      <c r="C1652">
        <v>80</v>
      </c>
      <c r="D1652">
        <v>79.839920043999996</v>
      </c>
      <c r="E1652">
        <v>60</v>
      </c>
      <c r="F1652">
        <v>59.595535278</v>
      </c>
      <c r="G1652">
        <v>1394.9458007999999</v>
      </c>
      <c r="H1652">
        <v>1378.0286865</v>
      </c>
      <c r="I1652">
        <v>1289.3608397999999</v>
      </c>
      <c r="J1652">
        <v>1270.6706543</v>
      </c>
      <c r="K1652">
        <v>2750</v>
      </c>
      <c r="L1652">
        <v>0</v>
      </c>
      <c r="M1652">
        <v>0</v>
      </c>
      <c r="N1652">
        <v>2750</v>
      </c>
    </row>
    <row r="1653" spans="1:14" x14ac:dyDescent="0.25">
      <c r="A1653">
        <v>1099.3533540000001</v>
      </c>
      <c r="B1653" s="1">
        <f>DATE(2013,5,4) + TIME(8,28,49)</f>
        <v>41398.353344907409</v>
      </c>
      <c r="C1653">
        <v>80</v>
      </c>
      <c r="D1653">
        <v>79.860939025999997</v>
      </c>
      <c r="E1653">
        <v>60</v>
      </c>
      <c r="F1653">
        <v>59.582698821999998</v>
      </c>
      <c r="G1653">
        <v>1394.8745117000001</v>
      </c>
      <c r="H1653">
        <v>1377.9725341999999</v>
      </c>
      <c r="I1653">
        <v>1289.3575439000001</v>
      </c>
      <c r="J1653">
        <v>1270.6665039</v>
      </c>
      <c r="K1653">
        <v>2750</v>
      </c>
      <c r="L1653">
        <v>0</v>
      </c>
      <c r="M1653">
        <v>0</v>
      </c>
      <c r="N1653">
        <v>2750</v>
      </c>
    </row>
    <row r="1654" spans="1:14" x14ac:dyDescent="0.25">
      <c r="A1654">
        <v>1099.4913819999999</v>
      </c>
      <c r="B1654" s="1">
        <f>DATE(2013,5,4) + TIME(11,47,35)</f>
        <v>41398.491377314815</v>
      </c>
      <c r="C1654">
        <v>80</v>
      </c>
      <c r="D1654">
        <v>79.878822326999995</v>
      </c>
      <c r="E1654">
        <v>60</v>
      </c>
      <c r="F1654">
        <v>59.569442748999997</v>
      </c>
      <c r="G1654">
        <v>1394.8037108999999</v>
      </c>
      <c r="H1654">
        <v>1377.9165039</v>
      </c>
      <c r="I1654">
        <v>1289.354126</v>
      </c>
      <c r="J1654">
        <v>1270.6622314000001</v>
      </c>
      <c r="K1654">
        <v>2750</v>
      </c>
      <c r="L1654">
        <v>0</v>
      </c>
      <c r="M1654">
        <v>0</v>
      </c>
      <c r="N1654">
        <v>2750</v>
      </c>
    </row>
    <row r="1655" spans="1:14" x14ac:dyDescent="0.25">
      <c r="A1655">
        <v>1099.6351990000001</v>
      </c>
      <c r="B1655" s="1">
        <f>DATE(2013,5,4) + TIME(15,14,41)</f>
        <v>41398.635196759256</v>
      </c>
      <c r="C1655">
        <v>80</v>
      </c>
      <c r="D1655">
        <v>79.893959045000003</v>
      </c>
      <c r="E1655">
        <v>60</v>
      </c>
      <c r="F1655">
        <v>59.555725098000003</v>
      </c>
      <c r="G1655">
        <v>1394.7332764</v>
      </c>
      <c r="H1655">
        <v>1377.8603516000001</v>
      </c>
      <c r="I1655">
        <v>1289.3505858999999</v>
      </c>
      <c r="J1655">
        <v>1270.6577147999999</v>
      </c>
      <c r="K1655">
        <v>2750</v>
      </c>
      <c r="L1655">
        <v>0</v>
      </c>
      <c r="M1655">
        <v>0</v>
      </c>
      <c r="N1655">
        <v>2750</v>
      </c>
    </row>
    <row r="1656" spans="1:14" x14ac:dyDescent="0.25">
      <c r="A1656">
        <v>1099.7854830000001</v>
      </c>
      <c r="B1656" s="1">
        <f>DATE(2013,5,4) + TIME(18,51,5)</f>
        <v>41398.785474537035</v>
      </c>
      <c r="C1656">
        <v>80</v>
      </c>
      <c r="D1656">
        <v>79.906715392999999</v>
      </c>
      <c r="E1656">
        <v>60</v>
      </c>
      <c r="F1656">
        <v>59.541484832999998</v>
      </c>
      <c r="G1656">
        <v>1394.6629639</v>
      </c>
      <c r="H1656">
        <v>1377.8039550999999</v>
      </c>
      <c r="I1656">
        <v>1289.3469238</v>
      </c>
      <c r="J1656">
        <v>1270.6530762</v>
      </c>
      <c r="K1656">
        <v>2750</v>
      </c>
      <c r="L1656">
        <v>0</v>
      </c>
      <c r="M1656">
        <v>0</v>
      </c>
      <c r="N1656">
        <v>2750</v>
      </c>
    </row>
    <row r="1657" spans="1:14" x14ac:dyDescent="0.25">
      <c r="A1657">
        <v>1099.9415489999999</v>
      </c>
      <c r="B1657" s="1">
        <f>DATE(2013,5,4) + TIME(22,35,49)</f>
        <v>41398.94153935185</v>
      </c>
      <c r="C1657">
        <v>80</v>
      </c>
      <c r="D1657">
        <v>79.917335510000001</v>
      </c>
      <c r="E1657">
        <v>60</v>
      </c>
      <c r="F1657">
        <v>59.526782990000001</v>
      </c>
      <c r="G1657">
        <v>1394.5925293</v>
      </c>
      <c r="H1657">
        <v>1377.7473144999999</v>
      </c>
      <c r="I1657">
        <v>1289.3430175999999</v>
      </c>
      <c r="J1657">
        <v>1270.6481934000001</v>
      </c>
      <c r="K1657">
        <v>2750</v>
      </c>
      <c r="L1657">
        <v>0</v>
      </c>
      <c r="M1657">
        <v>0</v>
      </c>
      <c r="N1657">
        <v>2750</v>
      </c>
    </row>
    <row r="1658" spans="1:14" x14ac:dyDescent="0.25">
      <c r="A1658">
        <v>1100.103353</v>
      </c>
      <c r="B1658" s="1">
        <f>DATE(2013,5,5) + TIME(2,28,49)</f>
        <v>41399.103344907409</v>
      </c>
      <c r="C1658">
        <v>80</v>
      </c>
      <c r="D1658">
        <v>79.926101685000006</v>
      </c>
      <c r="E1658">
        <v>60</v>
      </c>
      <c r="F1658">
        <v>59.511615753000001</v>
      </c>
      <c r="G1658">
        <v>1394.5222168</v>
      </c>
      <c r="H1658">
        <v>1377.6905518000001</v>
      </c>
      <c r="I1658">
        <v>1289.3391113</v>
      </c>
      <c r="J1658">
        <v>1270.6430664</v>
      </c>
      <c r="K1658">
        <v>2750</v>
      </c>
      <c r="L1658">
        <v>0</v>
      </c>
      <c r="M1658">
        <v>0</v>
      </c>
      <c r="N1658">
        <v>2750</v>
      </c>
    </row>
    <row r="1659" spans="1:14" x14ac:dyDescent="0.25">
      <c r="A1659">
        <v>1100.271561</v>
      </c>
      <c r="B1659" s="1">
        <f>DATE(2013,5,5) + TIME(6,31,2)</f>
        <v>41399.271550925929</v>
      </c>
      <c r="C1659">
        <v>80</v>
      </c>
      <c r="D1659">
        <v>79.933311462000006</v>
      </c>
      <c r="E1659">
        <v>60</v>
      </c>
      <c r="F1659">
        <v>59.495933532999999</v>
      </c>
      <c r="G1659">
        <v>1394.4522704999999</v>
      </c>
      <c r="H1659">
        <v>1377.6337891000001</v>
      </c>
      <c r="I1659">
        <v>1289.3348389</v>
      </c>
      <c r="J1659">
        <v>1270.6378173999999</v>
      </c>
      <c r="K1659">
        <v>2750</v>
      </c>
      <c r="L1659">
        <v>0</v>
      </c>
      <c r="M1659">
        <v>0</v>
      </c>
      <c r="N1659">
        <v>2750</v>
      </c>
    </row>
    <row r="1660" spans="1:14" x14ac:dyDescent="0.25">
      <c r="A1660">
        <v>1100.446909</v>
      </c>
      <c r="B1660" s="1">
        <f>DATE(2013,5,5) + TIME(10,43,32)</f>
        <v>41399.446898148148</v>
      </c>
      <c r="C1660">
        <v>80</v>
      </c>
      <c r="D1660">
        <v>79.939224242999998</v>
      </c>
      <c r="E1660">
        <v>60</v>
      </c>
      <c r="F1660">
        <v>59.479682922000002</v>
      </c>
      <c r="G1660">
        <v>1394.3822021000001</v>
      </c>
      <c r="H1660">
        <v>1377.5770264</v>
      </c>
      <c r="I1660">
        <v>1289.3305664</v>
      </c>
      <c r="J1660">
        <v>1270.6323242000001</v>
      </c>
      <c r="K1660">
        <v>2750</v>
      </c>
      <c r="L1660">
        <v>0</v>
      </c>
      <c r="M1660">
        <v>0</v>
      </c>
      <c r="N1660">
        <v>2750</v>
      </c>
    </row>
    <row r="1661" spans="1:14" x14ac:dyDescent="0.25">
      <c r="A1661">
        <v>1100.630107</v>
      </c>
      <c r="B1661" s="1">
        <f>DATE(2013,5,5) + TIME(15,7,21)</f>
        <v>41399.630104166667</v>
      </c>
      <c r="C1661">
        <v>80</v>
      </c>
      <c r="D1661">
        <v>79.944038391000007</v>
      </c>
      <c r="E1661">
        <v>60</v>
      </c>
      <c r="F1661">
        <v>59.462810515999998</v>
      </c>
      <c r="G1661">
        <v>1394.3120117000001</v>
      </c>
      <c r="H1661">
        <v>1377.5197754000001</v>
      </c>
      <c r="I1661">
        <v>1289.3259277</v>
      </c>
      <c r="J1661">
        <v>1270.6265868999999</v>
      </c>
      <c r="K1661">
        <v>2750</v>
      </c>
      <c r="L1661">
        <v>0</v>
      </c>
      <c r="M1661">
        <v>0</v>
      </c>
      <c r="N1661">
        <v>2750</v>
      </c>
    </row>
    <row r="1662" spans="1:14" x14ac:dyDescent="0.25">
      <c r="A1662">
        <v>1100.82206</v>
      </c>
      <c r="B1662" s="1">
        <f>DATE(2013,5,5) + TIME(19,43,46)</f>
        <v>41399.822060185186</v>
      </c>
      <c r="C1662">
        <v>80</v>
      </c>
      <c r="D1662">
        <v>79.947944641000007</v>
      </c>
      <c r="E1662">
        <v>60</v>
      </c>
      <c r="F1662">
        <v>59.445247649999999</v>
      </c>
      <c r="G1662">
        <v>1394.2412108999999</v>
      </c>
      <c r="H1662">
        <v>1377.4622803</v>
      </c>
      <c r="I1662">
        <v>1289.3212891000001</v>
      </c>
      <c r="J1662">
        <v>1270.6206055</v>
      </c>
      <c r="K1662">
        <v>2750</v>
      </c>
      <c r="L1662">
        <v>0</v>
      </c>
      <c r="M1662">
        <v>0</v>
      </c>
      <c r="N1662">
        <v>2750</v>
      </c>
    </row>
    <row r="1663" spans="1:14" x14ac:dyDescent="0.25">
      <c r="A1663">
        <v>1101.023817</v>
      </c>
      <c r="B1663" s="1">
        <f>DATE(2013,5,6) + TIME(0,34,17)</f>
        <v>41400.02380787037</v>
      </c>
      <c r="C1663">
        <v>80</v>
      </c>
      <c r="D1663">
        <v>79.951103209999999</v>
      </c>
      <c r="E1663">
        <v>60</v>
      </c>
      <c r="F1663">
        <v>59.426918030000003</v>
      </c>
      <c r="G1663">
        <v>1394.1697998</v>
      </c>
      <c r="H1663">
        <v>1377.4040527</v>
      </c>
      <c r="I1663">
        <v>1289.3162841999999</v>
      </c>
      <c r="J1663">
        <v>1270.6143798999999</v>
      </c>
      <c r="K1663">
        <v>2750</v>
      </c>
      <c r="L1663">
        <v>0</v>
      </c>
      <c r="M1663">
        <v>0</v>
      </c>
      <c r="N1663">
        <v>2750</v>
      </c>
    </row>
    <row r="1664" spans="1:14" x14ac:dyDescent="0.25">
      <c r="A1664">
        <v>1101.227459</v>
      </c>
      <c r="B1664" s="1">
        <f>DATE(2013,5,6) + TIME(5,27,32)</f>
        <v>41400.227453703701</v>
      </c>
      <c r="C1664">
        <v>80</v>
      </c>
      <c r="D1664">
        <v>79.953544617000006</v>
      </c>
      <c r="E1664">
        <v>60</v>
      </c>
      <c r="F1664">
        <v>59.408370972</v>
      </c>
      <c r="G1664">
        <v>1394.0975341999999</v>
      </c>
      <c r="H1664">
        <v>1377.3450928</v>
      </c>
      <c r="I1664">
        <v>1289.3109131000001</v>
      </c>
      <c r="J1664">
        <v>1270.6077881000001</v>
      </c>
      <c r="K1664">
        <v>2750</v>
      </c>
      <c r="L1664">
        <v>0</v>
      </c>
      <c r="M1664">
        <v>0</v>
      </c>
      <c r="N1664">
        <v>2750</v>
      </c>
    </row>
    <row r="1665" spans="1:14" x14ac:dyDescent="0.25">
      <c r="A1665">
        <v>1101.4325759999999</v>
      </c>
      <c r="B1665" s="1">
        <f>DATE(2013,5,6) + TIME(10,22,54)</f>
        <v>41400.432569444441</v>
      </c>
      <c r="C1665">
        <v>80</v>
      </c>
      <c r="D1665">
        <v>79.955444335999999</v>
      </c>
      <c r="E1665">
        <v>60</v>
      </c>
      <c r="F1665">
        <v>59.389667510999999</v>
      </c>
      <c r="G1665">
        <v>1394.0270995999999</v>
      </c>
      <c r="H1665">
        <v>1377.2875977000001</v>
      </c>
      <c r="I1665">
        <v>1289.3055420000001</v>
      </c>
      <c r="J1665">
        <v>1270.6011963000001</v>
      </c>
      <c r="K1665">
        <v>2750</v>
      </c>
      <c r="L1665">
        <v>0</v>
      </c>
      <c r="M1665">
        <v>0</v>
      </c>
      <c r="N1665">
        <v>2750</v>
      </c>
    </row>
    <row r="1666" spans="1:14" x14ac:dyDescent="0.25">
      <c r="A1666">
        <v>1101.6397850000001</v>
      </c>
      <c r="B1666" s="1">
        <f>DATE(2013,5,6) + TIME(15,21,17)</f>
        <v>41400.639780092592</v>
      </c>
      <c r="C1666">
        <v>80</v>
      </c>
      <c r="D1666">
        <v>79.956924438000001</v>
      </c>
      <c r="E1666">
        <v>60</v>
      </c>
      <c r="F1666">
        <v>59.370780945</v>
      </c>
      <c r="G1666">
        <v>1393.9584961</v>
      </c>
      <c r="H1666">
        <v>1377.2316894999999</v>
      </c>
      <c r="I1666">
        <v>1289.3001709</v>
      </c>
      <c r="J1666">
        <v>1270.5944824000001</v>
      </c>
      <c r="K1666">
        <v>2750</v>
      </c>
      <c r="L1666">
        <v>0</v>
      </c>
      <c r="M1666">
        <v>0</v>
      </c>
      <c r="N1666">
        <v>2750</v>
      </c>
    </row>
    <row r="1667" spans="1:14" x14ac:dyDescent="0.25">
      <c r="A1667">
        <v>1101.8496929999999</v>
      </c>
      <c r="B1667" s="1">
        <f>DATE(2013,5,6) + TIME(20,23,33)</f>
        <v>41400.849687499998</v>
      </c>
      <c r="C1667">
        <v>80</v>
      </c>
      <c r="D1667">
        <v>79.958084106000001</v>
      </c>
      <c r="E1667">
        <v>60</v>
      </c>
      <c r="F1667">
        <v>59.351688385000003</v>
      </c>
      <c r="G1667">
        <v>1393.8913574000001</v>
      </c>
      <c r="H1667">
        <v>1377.177124</v>
      </c>
      <c r="I1667">
        <v>1289.2947998</v>
      </c>
      <c r="J1667">
        <v>1270.5876464999999</v>
      </c>
      <c r="K1667">
        <v>2750</v>
      </c>
      <c r="L1667">
        <v>0</v>
      </c>
      <c r="M1667">
        <v>0</v>
      </c>
      <c r="N1667">
        <v>2750</v>
      </c>
    </row>
    <row r="1668" spans="1:14" x14ac:dyDescent="0.25">
      <c r="A1668">
        <v>1102.062905</v>
      </c>
      <c r="B1668" s="1">
        <f>DATE(2013,5,7) + TIME(1,30,34)</f>
        <v>41401.062893518516</v>
      </c>
      <c r="C1668">
        <v>80</v>
      </c>
      <c r="D1668">
        <v>79.958992003999995</v>
      </c>
      <c r="E1668">
        <v>60</v>
      </c>
      <c r="F1668">
        <v>59.332355499000002</v>
      </c>
      <c r="G1668">
        <v>1393.8255615</v>
      </c>
      <c r="H1668">
        <v>1377.1235352000001</v>
      </c>
      <c r="I1668">
        <v>1289.2891846</v>
      </c>
      <c r="J1668">
        <v>1270.5808105000001</v>
      </c>
      <c r="K1668">
        <v>2750</v>
      </c>
      <c r="L1668">
        <v>0</v>
      </c>
      <c r="M1668">
        <v>0</v>
      </c>
      <c r="N1668">
        <v>2750</v>
      </c>
    </row>
    <row r="1669" spans="1:14" x14ac:dyDescent="0.25">
      <c r="A1669">
        <v>1102.2800420000001</v>
      </c>
      <c r="B1669" s="1">
        <f>DATE(2013,5,7) + TIME(6,43,15)</f>
        <v>41401.280034722222</v>
      </c>
      <c r="C1669">
        <v>80</v>
      </c>
      <c r="D1669">
        <v>79.959716796999999</v>
      </c>
      <c r="E1669">
        <v>60</v>
      </c>
      <c r="F1669">
        <v>59.312740325999997</v>
      </c>
      <c r="G1669">
        <v>1393.7607422000001</v>
      </c>
      <c r="H1669">
        <v>1377.0708007999999</v>
      </c>
      <c r="I1669">
        <v>1289.2836914</v>
      </c>
      <c r="J1669">
        <v>1270.5738524999999</v>
      </c>
      <c r="K1669">
        <v>2750</v>
      </c>
      <c r="L1669">
        <v>0</v>
      </c>
      <c r="M1669">
        <v>0</v>
      </c>
      <c r="N1669">
        <v>2750</v>
      </c>
    </row>
    <row r="1670" spans="1:14" x14ac:dyDescent="0.25">
      <c r="A1670">
        <v>1102.5017539999999</v>
      </c>
      <c r="B1670" s="1">
        <f>DATE(2013,5,7) + TIME(12,2,31)</f>
        <v>41401.501747685186</v>
      </c>
      <c r="C1670">
        <v>80</v>
      </c>
      <c r="D1670">
        <v>79.960289001000007</v>
      </c>
      <c r="E1670">
        <v>60</v>
      </c>
      <c r="F1670">
        <v>59.292804717999999</v>
      </c>
      <c r="G1670">
        <v>1393.6966553</v>
      </c>
      <c r="H1670">
        <v>1377.0187988</v>
      </c>
      <c r="I1670">
        <v>1289.2779541</v>
      </c>
      <c r="J1670">
        <v>1270.5666504000001</v>
      </c>
      <c r="K1670">
        <v>2750</v>
      </c>
      <c r="L1670">
        <v>0</v>
      </c>
      <c r="M1670">
        <v>0</v>
      </c>
      <c r="N1670">
        <v>2750</v>
      </c>
    </row>
    <row r="1671" spans="1:14" x14ac:dyDescent="0.25">
      <c r="A1671">
        <v>1102.728728</v>
      </c>
      <c r="B1671" s="1">
        <f>DATE(2013,5,7) + TIME(17,29,22)</f>
        <v>41401.728726851848</v>
      </c>
      <c r="C1671">
        <v>80</v>
      </c>
      <c r="D1671">
        <v>79.960746764999996</v>
      </c>
      <c r="E1671">
        <v>60</v>
      </c>
      <c r="F1671">
        <v>59.272502899000003</v>
      </c>
      <c r="G1671">
        <v>1393.6330565999999</v>
      </c>
      <c r="H1671">
        <v>1376.9671631000001</v>
      </c>
      <c r="I1671">
        <v>1289.2720947</v>
      </c>
      <c r="J1671">
        <v>1270.5594481999999</v>
      </c>
      <c r="K1671">
        <v>2750</v>
      </c>
      <c r="L1671">
        <v>0</v>
      </c>
      <c r="M1671">
        <v>0</v>
      </c>
      <c r="N1671">
        <v>2750</v>
      </c>
    </row>
    <row r="1672" spans="1:14" x14ac:dyDescent="0.25">
      <c r="A1672">
        <v>1102.96171</v>
      </c>
      <c r="B1672" s="1">
        <f>DATE(2013,5,7) + TIME(23,4,51)</f>
        <v>41401.961701388886</v>
      </c>
      <c r="C1672">
        <v>80</v>
      </c>
      <c r="D1672">
        <v>79.961112975999995</v>
      </c>
      <c r="E1672">
        <v>60</v>
      </c>
      <c r="F1672">
        <v>59.251777648999997</v>
      </c>
      <c r="G1672">
        <v>1393.5699463000001</v>
      </c>
      <c r="H1672">
        <v>1376.9158935999999</v>
      </c>
      <c r="I1672">
        <v>1289.2661132999999</v>
      </c>
      <c r="J1672">
        <v>1270.5520019999999</v>
      </c>
      <c r="K1672">
        <v>2750</v>
      </c>
      <c r="L1672">
        <v>0</v>
      </c>
      <c r="M1672">
        <v>0</v>
      </c>
      <c r="N1672">
        <v>2750</v>
      </c>
    </row>
    <row r="1673" spans="1:14" x14ac:dyDescent="0.25">
      <c r="A1673">
        <v>1103.2015590000001</v>
      </c>
      <c r="B1673" s="1">
        <f>DATE(2013,5,8) + TIME(4,50,14)</f>
        <v>41402.201550925929</v>
      </c>
      <c r="C1673">
        <v>80</v>
      </c>
      <c r="D1673">
        <v>79.961410521999994</v>
      </c>
      <c r="E1673">
        <v>60</v>
      </c>
      <c r="F1673">
        <v>59.230571746999999</v>
      </c>
      <c r="G1673">
        <v>1393.5068358999999</v>
      </c>
      <c r="H1673">
        <v>1376.8648682</v>
      </c>
      <c r="I1673">
        <v>1289.2600098</v>
      </c>
      <c r="J1673">
        <v>1270.5443115</v>
      </c>
      <c r="K1673">
        <v>2750</v>
      </c>
      <c r="L1673">
        <v>0</v>
      </c>
      <c r="M1673">
        <v>0</v>
      </c>
      <c r="N1673">
        <v>2750</v>
      </c>
    </row>
    <row r="1674" spans="1:14" x14ac:dyDescent="0.25">
      <c r="A1674">
        <v>1103.4492580000001</v>
      </c>
      <c r="B1674" s="1">
        <f>DATE(2013,5,8) + TIME(10,46,55)</f>
        <v>41402.449247685188</v>
      </c>
      <c r="C1674">
        <v>80</v>
      </c>
      <c r="D1674">
        <v>79.961647033999995</v>
      </c>
      <c r="E1674">
        <v>60</v>
      </c>
      <c r="F1674">
        <v>59.208812713999997</v>
      </c>
      <c r="G1674">
        <v>1393.4437256000001</v>
      </c>
      <c r="H1674">
        <v>1376.8138428</v>
      </c>
      <c r="I1674">
        <v>1289.2536620999999</v>
      </c>
      <c r="J1674">
        <v>1270.5363769999999</v>
      </c>
      <c r="K1674">
        <v>2750</v>
      </c>
      <c r="L1674">
        <v>0</v>
      </c>
      <c r="M1674">
        <v>0</v>
      </c>
      <c r="N1674">
        <v>2750</v>
      </c>
    </row>
    <row r="1675" spans="1:14" x14ac:dyDescent="0.25">
      <c r="A1675">
        <v>1103.7022360000001</v>
      </c>
      <c r="B1675" s="1">
        <f>DATE(2013,5,8) + TIME(16,51,13)</f>
        <v>41402.702233796299</v>
      </c>
      <c r="C1675">
        <v>80</v>
      </c>
      <c r="D1675">
        <v>79.961837768999999</v>
      </c>
      <c r="E1675">
        <v>60</v>
      </c>
      <c r="F1675">
        <v>59.186660766999999</v>
      </c>
      <c r="G1675">
        <v>1393.3803711</v>
      </c>
      <c r="H1675">
        <v>1376.7625731999999</v>
      </c>
      <c r="I1675">
        <v>1289.2470702999999</v>
      </c>
      <c r="J1675">
        <v>1270.5281981999999</v>
      </c>
      <c r="K1675">
        <v>2750</v>
      </c>
      <c r="L1675">
        <v>0</v>
      </c>
      <c r="M1675">
        <v>0</v>
      </c>
      <c r="N1675">
        <v>2750</v>
      </c>
    </row>
    <row r="1676" spans="1:14" x14ac:dyDescent="0.25">
      <c r="A1676">
        <v>1103.9605650000001</v>
      </c>
      <c r="B1676" s="1">
        <f>DATE(2013,5,8) + TIME(23,3,12)</f>
        <v>41402.960555555554</v>
      </c>
      <c r="C1676">
        <v>80</v>
      </c>
      <c r="D1676">
        <v>79.961990356000001</v>
      </c>
      <c r="E1676">
        <v>60</v>
      </c>
      <c r="F1676">
        <v>59.164115905999999</v>
      </c>
      <c r="G1676">
        <v>1393.3173827999999</v>
      </c>
      <c r="H1676">
        <v>1376.7117920000001</v>
      </c>
      <c r="I1676">
        <v>1289.2403564000001</v>
      </c>
      <c r="J1676">
        <v>1270.5198975000001</v>
      </c>
      <c r="K1676">
        <v>2750</v>
      </c>
      <c r="L1676">
        <v>0</v>
      </c>
      <c r="M1676">
        <v>0</v>
      </c>
      <c r="N1676">
        <v>2750</v>
      </c>
    </row>
    <row r="1677" spans="1:14" x14ac:dyDescent="0.25">
      <c r="A1677">
        <v>1104.224931</v>
      </c>
      <c r="B1677" s="1">
        <f>DATE(2013,5,9) + TIME(5,23,54)</f>
        <v>41403.224930555552</v>
      </c>
      <c r="C1677">
        <v>80</v>
      </c>
      <c r="D1677">
        <v>79.962112426999994</v>
      </c>
      <c r="E1677">
        <v>60</v>
      </c>
      <c r="F1677">
        <v>59.141139983999999</v>
      </c>
      <c r="G1677">
        <v>1393.2547606999999</v>
      </c>
      <c r="H1677">
        <v>1376.6612548999999</v>
      </c>
      <c r="I1677">
        <v>1289.2335204999999</v>
      </c>
      <c r="J1677">
        <v>1270.5113524999999</v>
      </c>
      <c r="K1677">
        <v>2750</v>
      </c>
      <c r="L1677">
        <v>0</v>
      </c>
      <c r="M1677">
        <v>0</v>
      </c>
      <c r="N1677">
        <v>2750</v>
      </c>
    </row>
    <row r="1678" spans="1:14" x14ac:dyDescent="0.25">
      <c r="A1678">
        <v>1104.496069</v>
      </c>
      <c r="B1678" s="1">
        <f>DATE(2013,5,9) + TIME(11,54,20)</f>
        <v>41403.496064814812</v>
      </c>
      <c r="C1678">
        <v>80</v>
      </c>
      <c r="D1678">
        <v>79.962211608999993</v>
      </c>
      <c r="E1678">
        <v>60</v>
      </c>
      <c r="F1678">
        <v>59.117691039999997</v>
      </c>
      <c r="G1678">
        <v>1393.1925048999999</v>
      </c>
      <c r="H1678">
        <v>1376.6110839999999</v>
      </c>
      <c r="I1678">
        <v>1289.2265625</v>
      </c>
      <c r="J1678">
        <v>1270.5026855000001</v>
      </c>
      <c r="K1678">
        <v>2750</v>
      </c>
      <c r="L1678">
        <v>0</v>
      </c>
      <c r="M1678">
        <v>0</v>
      </c>
      <c r="N1678">
        <v>2750</v>
      </c>
    </row>
    <row r="1679" spans="1:14" x14ac:dyDescent="0.25">
      <c r="A1679">
        <v>1104.7747810000001</v>
      </c>
      <c r="B1679" s="1">
        <f>DATE(2013,5,9) + TIME(18,35,41)</f>
        <v>41403.774780092594</v>
      </c>
      <c r="C1679">
        <v>80</v>
      </c>
      <c r="D1679">
        <v>79.962295531999999</v>
      </c>
      <c r="E1679">
        <v>60</v>
      </c>
      <c r="F1679">
        <v>59.093715668000002</v>
      </c>
      <c r="G1679">
        <v>1393.130249</v>
      </c>
      <c r="H1679">
        <v>1376.5610352000001</v>
      </c>
      <c r="I1679">
        <v>1289.2193603999999</v>
      </c>
      <c r="J1679">
        <v>1270.4937743999999</v>
      </c>
      <c r="K1679">
        <v>2750</v>
      </c>
      <c r="L1679">
        <v>0</v>
      </c>
      <c r="M1679">
        <v>0</v>
      </c>
      <c r="N1679">
        <v>2750</v>
      </c>
    </row>
    <row r="1680" spans="1:14" x14ac:dyDescent="0.25">
      <c r="A1680">
        <v>1105.061958</v>
      </c>
      <c r="B1680" s="1">
        <f>DATE(2013,5,10) + TIME(1,29,13)</f>
        <v>41404.061956018515</v>
      </c>
      <c r="C1680">
        <v>80</v>
      </c>
      <c r="D1680">
        <v>79.962356567</v>
      </c>
      <c r="E1680">
        <v>60</v>
      </c>
      <c r="F1680">
        <v>59.069156647</v>
      </c>
      <c r="G1680">
        <v>1393.0678711</v>
      </c>
      <c r="H1680">
        <v>1376.5108643000001</v>
      </c>
      <c r="I1680">
        <v>1289.2119141000001</v>
      </c>
      <c r="J1680">
        <v>1270.4844971</v>
      </c>
      <c r="K1680">
        <v>2750</v>
      </c>
      <c r="L1680">
        <v>0</v>
      </c>
      <c r="M1680">
        <v>0</v>
      </c>
      <c r="N1680">
        <v>2750</v>
      </c>
    </row>
    <row r="1681" spans="1:14" x14ac:dyDescent="0.25">
      <c r="A1681">
        <v>1105.35868</v>
      </c>
      <c r="B1681" s="1">
        <f>DATE(2013,5,10) + TIME(8,36,29)</f>
        <v>41404.358668981484</v>
      </c>
      <c r="C1681">
        <v>80</v>
      </c>
      <c r="D1681">
        <v>79.962409973000007</v>
      </c>
      <c r="E1681">
        <v>60</v>
      </c>
      <c r="F1681">
        <v>59.043937683000003</v>
      </c>
      <c r="G1681">
        <v>1393.0053711</v>
      </c>
      <c r="H1681">
        <v>1376.4606934000001</v>
      </c>
      <c r="I1681">
        <v>1289.2043457</v>
      </c>
      <c r="J1681">
        <v>1270.4749756000001</v>
      </c>
      <c r="K1681">
        <v>2750</v>
      </c>
      <c r="L1681">
        <v>0</v>
      </c>
      <c r="M1681">
        <v>0</v>
      </c>
      <c r="N1681">
        <v>2750</v>
      </c>
    </row>
    <row r="1682" spans="1:14" x14ac:dyDescent="0.25">
      <c r="A1682">
        <v>1105.6661079999999</v>
      </c>
      <c r="B1682" s="1">
        <f>DATE(2013,5,10) + TIME(15,59,11)</f>
        <v>41404.66609953704</v>
      </c>
      <c r="C1682">
        <v>80</v>
      </c>
      <c r="D1682">
        <v>79.962455750000004</v>
      </c>
      <c r="E1682">
        <v>60</v>
      </c>
      <c r="F1682">
        <v>59.017986297999997</v>
      </c>
      <c r="G1682">
        <v>1392.9423827999999</v>
      </c>
      <c r="H1682">
        <v>1376.4101562000001</v>
      </c>
      <c r="I1682">
        <v>1289.1964111</v>
      </c>
      <c r="J1682">
        <v>1270.4652100000001</v>
      </c>
      <c r="K1682">
        <v>2750</v>
      </c>
      <c r="L1682">
        <v>0</v>
      </c>
      <c r="M1682">
        <v>0</v>
      </c>
      <c r="N1682">
        <v>2750</v>
      </c>
    </row>
    <row r="1683" spans="1:14" x14ac:dyDescent="0.25">
      <c r="A1683">
        <v>1105.985418</v>
      </c>
      <c r="B1683" s="1">
        <f>DATE(2013,5,10) + TIME(23,39,0)</f>
        <v>41404.98541666667</v>
      </c>
      <c r="C1683">
        <v>80</v>
      </c>
      <c r="D1683">
        <v>79.962486267000003</v>
      </c>
      <c r="E1683">
        <v>60</v>
      </c>
      <c r="F1683">
        <v>58.991210938000002</v>
      </c>
      <c r="G1683">
        <v>1392.8789062000001</v>
      </c>
      <c r="H1683">
        <v>1376.3592529</v>
      </c>
      <c r="I1683">
        <v>1289.1882324000001</v>
      </c>
      <c r="J1683">
        <v>1270.4549560999999</v>
      </c>
      <c r="K1683">
        <v>2750</v>
      </c>
      <c r="L1683">
        <v>0</v>
      </c>
      <c r="M1683">
        <v>0</v>
      </c>
      <c r="N1683">
        <v>2750</v>
      </c>
    </row>
    <row r="1684" spans="1:14" x14ac:dyDescent="0.25">
      <c r="A1684">
        <v>1106.309336</v>
      </c>
      <c r="B1684" s="1">
        <f>DATE(2013,5,11) + TIME(7,25,26)</f>
        <v>41405.309328703705</v>
      </c>
      <c r="C1684">
        <v>80</v>
      </c>
      <c r="D1684">
        <v>79.962509155000006</v>
      </c>
      <c r="E1684">
        <v>60</v>
      </c>
      <c r="F1684">
        <v>58.964027405000003</v>
      </c>
      <c r="G1684">
        <v>1392.8145752</v>
      </c>
      <c r="H1684">
        <v>1376.3077393000001</v>
      </c>
      <c r="I1684">
        <v>1289.1796875</v>
      </c>
      <c r="J1684">
        <v>1270.4444579999999</v>
      </c>
      <c r="K1684">
        <v>2750</v>
      </c>
      <c r="L1684">
        <v>0</v>
      </c>
      <c r="M1684">
        <v>0</v>
      </c>
      <c r="N1684">
        <v>2750</v>
      </c>
    </row>
    <row r="1685" spans="1:14" x14ac:dyDescent="0.25">
      <c r="A1685">
        <v>1106.635833</v>
      </c>
      <c r="B1685" s="1">
        <f>DATE(2013,5,11) + TIME(15,15,36)</f>
        <v>41405.635833333334</v>
      </c>
      <c r="C1685">
        <v>80</v>
      </c>
      <c r="D1685">
        <v>79.962524414000001</v>
      </c>
      <c r="E1685">
        <v>60</v>
      </c>
      <c r="F1685">
        <v>58.936588286999999</v>
      </c>
      <c r="G1685">
        <v>1392.7509766000001</v>
      </c>
      <c r="H1685">
        <v>1376.2568358999999</v>
      </c>
      <c r="I1685">
        <v>1289.1708983999999</v>
      </c>
      <c r="J1685">
        <v>1270.4337158000001</v>
      </c>
      <c r="K1685">
        <v>2750</v>
      </c>
      <c r="L1685">
        <v>0</v>
      </c>
      <c r="M1685">
        <v>0</v>
      </c>
      <c r="N1685">
        <v>2750</v>
      </c>
    </row>
    <row r="1686" spans="1:14" x14ac:dyDescent="0.25">
      <c r="A1686">
        <v>1106.9658380000001</v>
      </c>
      <c r="B1686" s="1">
        <f>DATE(2013,5,11) + TIME(23,10,48)</f>
        <v>41405.965833333335</v>
      </c>
      <c r="C1686">
        <v>80</v>
      </c>
      <c r="D1686">
        <v>79.962539672999995</v>
      </c>
      <c r="E1686">
        <v>60</v>
      </c>
      <c r="F1686">
        <v>58.908897400000001</v>
      </c>
      <c r="G1686">
        <v>1392.6885986</v>
      </c>
      <c r="H1686">
        <v>1376.2070312000001</v>
      </c>
      <c r="I1686">
        <v>1289.1621094</v>
      </c>
      <c r="J1686">
        <v>1270.4228516000001</v>
      </c>
      <c r="K1686">
        <v>2750</v>
      </c>
      <c r="L1686">
        <v>0</v>
      </c>
      <c r="M1686">
        <v>0</v>
      </c>
      <c r="N1686">
        <v>2750</v>
      </c>
    </row>
    <row r="1687" spans="1:14" x14ac:dyDescent="0.25">
      <c r="A1687">
        <v>1107.3002719999999</v>
      </c>
      <c r="B1687" s="1">
        <f>DATE(2013,5,12) + TIME(7,12,23)</f>
        <v>41406.300266203703</v>
      </c>
      <c r="C1687">
        <v>80</v>
      </c>
      <c r="D1687">
        <v>79.962539672999995</v>
      </c>
      <c r="E1687">
        <v>60</v>
      </c>
      <c r="F1687">
        <v>58.880916595000002</v>
      </c>
      <c r="G1687">
        <v>1392.6270752</v>
      </c>
      <c r="H1687">
        <v>1376.1578368999999</v>
      </c>
      <c r="I1687">
        <v>1289.1533202999999</v>
      </c>
      <c r="J1687">
        <v>1270.4118652</v>
      </c>
      <c r="K1687">
        <v>2750</v>
      </c>
      <c r="L1687">
        <v>0</v>
      </c>
      <c r="M1687">
        <v>0</v>
      </c>
      <c r="N1687">
        <v>2750</v>
      </c>
    </row>
    <row r="1688" spans="1:14" x14ac:dyDescent="0.25">
      <c r="A1688">
        <v>1107.6400759999999</v>
      </c>
      <c r="B1688" s="1">
        <f>DATE(2013,5,12) + TIME(15,21,42)</f>
        <v>41406.640069444446</v>
      </c>
      <c r="C1688">
        <v>80</v>
      </c>
      <c r="D1688">
        <v>79.962547302000004</v>
      </c>
      <c r="E1688">
        <v>60</v>
      </c>
      <c r="F1688">
        <v>58.852615356000001</v>
      </c>
      <c r="G1688">
        <v>1392.5662841999999</v>
      </c>
      <c r="H1688">
        <v>1376.1092529</v>
      </c>
      <c r="I1688">
        <v>1289.1442870999999</v>
      </c>
      <c r="J1688">
        <v>1270.4006348</v>
      </c>
      <c r="K1688">
        <v>2750</v>
      </c>
      <c r="L1688">
        <v>0</v>
      </c>
      <c r="M1688">
        <v>0</v>
      </c>
      <c r="N1688">
        <v>2750</v>
      </c>
    </row>
    <row r="1689" spans="1:14" x14ac:dyDescent="0.25">
      <c r="A1689">
        <v>1107.986228</v>
      </c>
      <c r="B1689" s="1">
        <f>DATE(2013,5,12) + TIME(23,40,10)</f>
        <v>41406.986226851855</v>
      </c>
      <c r="C1689">
        <v>80</v>
      </c>
      <c r="D1689">
        <v>79.962547302000004</v>
      </c>
      <c r="E1689">
        <v>60</v>
      </c>
      <c r="F1689">
        <v>58.823936461999999</v>
      </c>
      <c r="G1689">
        <v>1392.5058594</v>
      </c>
      <c r="H1689">
        <v>1376.0611572</v>
      </c>
      <c r="I1689">
        <v>1289.1351318</v>
      </c>
      <c r="J1689">
        <v>1270.3892822</v>
      </c>
      <c r="K1689">
        <v>2750</v>
      </c>
      <c r="L1689">
        <v>0</v>
      </c>
      <c r="M1689">
        <v>0</v>
      </c>
      <c r="N1689">
        <v>2750</v>
      </c>
    </row>
    <row r="1690" spans="1:14" x14ac:dyDescent="0.25">
      <c r="A1690">
        <v>1108.3397649999999</v>
      </c>
      <c r="B1690" s="1">
        <f>DATE(2013,5,13) + TIME(8,9,15)</f>
        <v>41407.339756944442</v>
      </c>
      <c r="C1690">
        <v>80</v>
      </c>
      <c r="D1690">
        <v>79.962539672999995</v>
      </c>
      <c r="E1690">
        <v>60</v>
      </c>
      <c r="F1690">
        <v>58.794815063000001</v>
      </c>
      <c r="G1690">
        <v>1392.4458007999999</v>
      </c>
      <c r="H1690">
        <v>1376.0133057</v>
      </c>
      <c r="I1690">
        <v>1289.1257324000001</v>
      </c>
      <c r="J1690">
        <v>1270.3776855000001</v>
      </c>
      <c r="K1690">
        <v>2750</v>
      </c>
      <c r="L1690">
        <v>0</v>
      </c>
      <c r="M1690">
        <v>0</v>
      </c>
      <c r="N1690">
        <v>2750</v>
      </c>
    </row>
    <row r="1691" spans="1:14" x14ac:dyDescent="0.25">
      <c r="A1691">
        <v>1108.7017920000001</v>
      </c>
      <c r="B1691" s="1">
        <f>DATE(2013,5,13) + TIME(16,50,34)</f>
        <v>41407.701782407406</v>
      </c>
      <c r="C1691">
        <v>80</v>
      </c>
      <c r="D1691">
        <v>79.962539672999995</v>
      </c>
      <c r="E1691">
        <v>60</v>
      </c>
      <c r="F1691">
        <v>58.765186309999997</v>
      </c>
      <c r="G1691">
        <v>1392.3859863</v>
      </c>
      <c r="H1691">
        <v>1375.9655762</v>
      </c>
      <c r="I1691">
        <v>1289.1162108999999</v>
      </c>
      <c r="J1691">
        <v>1270.3658447</v>
      </c>
      <c r="K1691">
        <v>2750</v>
      </c>
      <c r="L1691">
        <v>0</v>
      </c>
      <c r="M1691">
        <v>0</v>
      </c>
      <c r="N1691">
        <v>2750</v>
      </c>
    </row>
    <row r="1692" spans="1:14" x14ac:dyDescent="0.25">
      <c r="A1692">
        <v>1109.073515</v>
      </c>
      <c r="B1692" s="1">
        <f>DATE(2013,5,14) + TIME(1,45,51)</f>
        <v>41408.073506944442</v>
      </c>
      <c r="C1692">
        <v>80</v>
      </c>
      <c r="D1692">
        <v>79.962532042999996</v>
      </c>
      <c r="E1692">
        <v>60</v>
      </c>
      <c r="F1692">
        <v>58.734966278000002</v>
      </c>
      <c r="G1692">
        <v>1392.3260498</v>
      </c>
      <c r="H1692">
        <v>1375.9178466999999</v>
      </c>
      <c r="I1692">
        <v>1289.1063231999999</v>
      </c>
      <c r="J1692">
        <v>1270.3536377</v>
      </c>
      <c r="K1692">
        <v>2750</v>
      </c>
      <c r="L1692">
        <v>0</v>
      </c>
      <c r="M1692">
        <v>0</v>
      </c>
      <c r="N1692">
        <v>2750</v>
      </c>
    </row>
    <row r="1693" spans="1:14" x14ac:dyDescent="0.25">
      <c r="A1693">
        <v>1109.456408</v>
      </c>
      <c r="B1693" s="1">
        <f>DATE(2013,5,14) + TIME(10,57,13)</f>
        <v>41408.456400462965</v>
      </c>
      <c r="C1693">
        <v>80</v>
      </c>
      <c r="D1693">
        <v>79.962524414000001</v>
      </c>
      <c r="E1693">
        <v>60</v>
      </c>
      <c r="F1693">
        <v>58.704063415999997</v>
      </c>
      <c r="G1693">
        <v>1392.2659911999999</v>
      </c>
      <c r="H1693">
        <v>1375.8699951000001</v>
      </c>
      <c r="I1693">
        <v>1289.0963135</v>
      </c>
      <c r="J1693">
        <v>1270.3411865</v>
      </c>
      <c r="K1693">
        <v>2750</v>
      </c>
      <c r="L1693">
        <v>0</v>
      </c>
      <c r="M1693">
        <v>0</v>
      </c>
      <c r="N1693">
        <v>2750</v>
      </c>
    </row>
    <row r="1694" spans="1:14" x14ac:dyDescent="0.25">
      <c r="A1694">
        <v>1109.8519670000001</v>
      </c>
      <c r="B1694" s="1">
        <f>DATE(2013,5,14) + TIME(20,26,49)</f>
        <v>41408.851956018516</v>
      </c>
      <c r="C1694">
        <v>80</v>
      </c>
      <c r="D1694">
        <v>79.962509155000006</v>
      </c>
      <c r="E1694">
        <v>60</v>
      </c>
      <c r="F1694">
        <v>58.672374724999997</v>
      </c>
      <c r="G1694">
        <v>1392.2054443</v>
      </c>
      <c r="H1694">
        <v>1375.8218993999999</v>
      </c>
      <c r="I1694">
        <v>1289.0858154</v>
      </c>
      <c r="J1694">
        <v>1270.3282471</v>
      </c>
      <c r="K1694">
        <v>2750</v>
      </c>
      <c r="L1694">
        <v>0</v>
      </c>
      <c r="M1694">
        <v>0</v>
      </c>
      <c r="N1694">
        <v>2750</v>
      </c>
    </row>
    <row r="1695" spans="1:14" x14ac:dyDescent="0.25">
      <c r="A1695">
        <v>1110.2539959999999</v>
      </c>
      <c r="B1695" s="1">
        <f>DATE(2013,5,15) + TIME(6,5,45)</f>
        <v>41409.253993055558</v>
      </c>
      <c r="C1695">
        <v>80</v>
      </c>
      <c r="D1695">
        <v>79.962501525999997</v>
      </c>
      <c r="E1695">
        <v>60</v>
      </c>
      <c r="F1695">
        <v>58.640193939</v>
      </c>
      <c r="G1695">
        <v>1392.1444091999999</v>
      </c>
      <c r="H1695">
        <v>1375.7733154</v>
      </c>
      <c r="I1695">
        <v>1289.0750731999999</v>
      </c>
      <c r="J1695">
        <v>1270.3149414</v>
      </c>
      <c r="K1695">
        <v>2750</v>
      </c>
      <c r="L1695">
        <v>0</v>
      </c>
      <c r="M1695">
        <v>0</v>
      </c>
      <c r="N1695">
        <v>2750</v>
      </c>
    </row>
    <row r="1696" spans="1:14" x14ac:dyDescent="0.25">
      <c r="A1696">
        <v>1110.662032</v>
      </c>
      <c r="B1696" s="1">
        <f>DATE(2013,5,15) + TIME(15,53,19)</f>
        <v>41409.66202546296</v>
      </c>
      <c r="C1696">
        <v>80</v>
      </c>
      <c r="D1696">
        <v>79.962486267000003</v>
      </c>
      <c r="E1696">
        <v>60</v>
      </c>
      <c r="F1696">
        <v>58.607589722</v>
      </c>
      <c r="G1696">
        <v>1392.0837402</v>
      </c>
      <c r="H1696">
        <v>1375.7250977000001</v>
      </c>
      <c r="I1696">
        <v>1289.0639647999999</v>
      </c>
      <c r="J1696">
        <v>1270.3012695</v>
      </c>
      <c r="K1696">
        <v>2750</v>
      </c>
      <c r="L1696">
        <v>0</v>
      </c>
      <c r="M1696">
        <v>0</v>
      </c>
      <c r="N1696">
        <v>2750</v>
      </c>
    </row>
    <row r="1697" spans="1:14" x14ac:dyDescent="0.25">
      <c r="A1697">
        <v>1111.077092</v>
      </c>
      <c r="B1697" s="1">
        <f>DATE(2013,5,16) + TIME(1,51,0)</f>
        <v>41410.07708333333</v>
      </c>
      <c r="C1697">
        <v>80</v>
      </c>
      <c r="D1697">
        <v>79.962478637999993</v>
      </c>
      <c r="E1697">
        <v>60</v>
      </c>
      <c r="F1697">
        <v>58.574546814000001</v>
      </c>
      <c r="G1697">
        <v>1392.0235596</v>
      </c>
      <c r="H1697">
        <v>1375.6772461</v>
      </c>
      <c r="I1697">
        <v>1289.0528564000001</v>
      </c>
      <c r="J1697">
        <v>1270.2874756000001</v>
      </c>
      <c r="K1697">
        <v>2750</v>
      </c>
      <c r="L1697">
        <v>0</v>
      </c>
      <c r="M1697">
        <v>0</v>
      </c>
      <c r="N1697">
        <v>2750</v>
      </c>
    </row>
    <row r="1698" spans="1:14" x14ac:dyDescent="0.25">
      <c r="A1698">
        <v>1111.500231</v>
      </c>
      <c r="B1698" s="1">
        <f>DATE(2013,5,16) + TIME(12,0,19)</f>
        <v>41410.500219907408</v>
      </c>
      <c r="C1698">
        <v>80</v>
      </c>
      <c r="D1698">
        <v>79.962463378999999</v>
      </c>
      <c r="E1698">
        <v>60</v>
      </c>
      <c r="F1698">
        <v>58.541023254000002</v>
      </c>
      <c r="G1698">
        <v>1391.9636230000001</v>
      </c>
      <c r="H1698">
        <v>1375.6297606999999</v>
      </c>
      <c r="I1698">
        <v>1289.0413818</v>
      </c>
      <c r="J1698">
        <v>1270.2733154</v>
      </c>
      <c r="K1698">
        <v>2750</v>
      </c>
      <c r="L1698">
        <v>0</v>
      </c>
      <c r="M1698">
        <v>0</v>
      </c>
      <c r="N1698">
        <v>2750</v>
      </c>
    </row>
    <row r="1699" spans="1:14" x14ac:dyDescent="0.25">
      <c r="A1699">
        <v>1111.932573</v>
      </c>
      <c r="B1699" s="1">
        <f>DATE(2013,5,16) + TIME(22,22,54)</f>
        <v>41410.932569444441</v>
      </c>
      <c r="C1699">
        <v>80</v>
      </c>
      <c r="D1699">
        <v>79.962448120000005</v>
      </c>
      <c r="E1699">
        <v>60</v>
      </c>
      <c r="F1699">
        <v>58.506965637</v>
      </c>
      <c r="G1699">
        <v>1391.9039307</v>
      </c>
      <c r="H1699">
        <v>1375.5822754000001</v>
      </c>
      <c r="I1699">
        <v>1289.0297852000001</v>
      </c>
      <c r="J1699">
        <v>1270.2589111</v>
      </c>
      <c r="K1699">
        <v>2750</v>
      </c>
      <c r="L1699">
        <v>0</v>
      </c>
      <c r="M1699">
        <v>0</v>
      </c>
      <c r="N1699">
        <v>2750</v>
      </c>
    </row>
    <row r="1700" spans="1:14" x14ac:dyDescent="0.25">
      <c r="A1700">
        <v>1112.3747989999999</v>
      </c>
      <c r="B1700" s="1">
        <f>DATE(2013,5,17) + TIME(8,59,42)</f>
        <v>41411.374791666669</v>
      </c>
      <c r="C1700">
        <v>80</v>
      </c>
      <c r="D1700">
        <v>79.962432860999996</v>
      </c>
      <c r="E1700">
        <v>60</v>
      </c>
      <c r="F1700">
        <v>58.472332000999998</v>
      </c>
      <c r="G1700">
        <v>1391.8442382999999</v>
      </c>
      <c r="H1700">
        <v>1375.5349120999999</v>
      </c>
      <c r="I1700">
        <v>1289.0178223</v>
      </c>
      <c r="J1700">
        <v>1270.2441406</v>
      </c>
      <c r="K1700">
        <v>2750</v>
      </c>
      <c r="L1700">
        <v>0</v>
      </c>
      <c r="M1700">
        <v>0</v>
      </c>
      <c r="N1700">
        <v>2750</v>
      </c>
    </row>
    <row r="1701" spans="1:14" x14ac:dyDescent="0.25">
      <c r="A1701">
        <v>1112.821287</v>
      </c>
      <c r="B1701" s="1">
        <f>DATE(2013,5,17) + TIME(19,42,39)</f>
        <v>41411.821284722224</v>
      </c>
      <c r="C1701">
        <v>80</v>
      </c>
      <c r="D1701">
        <v>79.962417603000006</v>
      </c>
      <c r="E1701">
        <v>60</v>
      </c>
      <c r="F1701">
        <v>58.437389373999999</v>
      </c>
      <c r="G1701">
        <v>1391.7845459</v>
      </c>
      <c r="H1701">
        <v>1375.4875488</v>
      </c>
      <c r="I1701">
        <v>1289.0054932</v>
      </c>
      <c r="J1701">
        <v>1270.2290039</v>
      </c>
      <c r="K1701">
        <v>2750</v>
      </c>
      <c r="L1701">
        <v>0</v>
      </c>
      <c r="M1701">
        <v>0</v>
      </c>
      <c r="N1701">
        <v>2750</v>
      </c>
    </row>
    <row r="1702" spans="1:14" x14ac:dyDescent="0.25">
      <c r="A1702">
        <v>1113.273373</v>
      </c>
      <c r="B1702" s="1">
        <f>DATE(2013,5,18) + TIME(6,33,39)</f>
        <v>41412.273368055554</v>
      </c>
      <c r="C1702">
        <v>80</v>
      </c>
      <c r="D1702">
        <v>79.962409973000007</v>
      </c>
      <c r="E1702">
        <v>60</v>
      </c>
      <c r="F1702">
        <v>58.402130127</v>
      </c>
      <c r="G1702">
        <v>1391.7255858999999</v>
      </c>
      <c r="H1702">
        <v>1375.4406738</v>
      </c>
      <c r="I1702">
        <v>1288.9931641000001</v>
      </c>
      <c r="J1702">
        <v>1270.2136230000001</v>
      </c>
      <c r="K1702">
        <v>2750</v>
      </c>
      <c r="L1702">
        <v>0</v>
      </c>
      <c r="M1702">
        <v>0</v>
      </c>
      <c r="N1702">
        <v>2750</v>
      </c>
    </row>
    <row r="1703" spans="1:14" x14ac:dyDescent="0.25">
      <c r="A1703">
        <v>1113.7323779999999</v>
      </c>
      <c r="B1703" s="1">
        <f>DATE(2013,5,18) + TIME(17,34,37)</f>
        <v>41412.732372685183</v>
      </c>
      <c r="C1703">
        <v>80</v>
      </c>
      <c r="D1703">
        <v>79.962394713999998</v>
      </c>
      <c r="E1703">
        <v>60</v>
      </c>
      <c r="F1703">
        <v>58.366504669000001</v>
      </c>
      <c r="G1703">
        <v>1391.6669922000001</v>
      </c>
      <c r="H1703">
        <v>1375.3942870999999</v>
      </c>
      <c r="I1703">
        <v>1288.9805908000001</v>
      </c>
      <c r="J1703">
        <v>1270.1979980000001</v>
      </c>
      <c r="K1703">
        <v>2750</v>
      </c>
      <c r="L1703">
        <v>0</v>
      </c>
      <c r="M1703">
        <v>0</v>
      </c>
      <c r="N1703">
        <v>2750</v>
      </c>
    </row>
    <row r="1704" spans="1:14" x14ac:dyDescent="0.25">
      <c r="A1704">
        <v>1114.199697</v>
      </c>
      <c r="B1704" s="1">
        <f>DATE(2013,5,19) + TIME(4,47,33)</f>
        <v>41413.199687499997</v>
      </c>
      <c r="C1704">
        <v>80</v>
      </c>
      <c r="D1704">
        <v>79.962379455999994</v>
      </c>
      <c r="E1704">
        <v>60</v>
      </c>
      <c r="F1704">
        <v>58.330455780000001</v>
      </c>
      <c r="G1704">
        <v>1391.6088867000001</v>
      </c>
      <c r="H1704">
        <v>1375.3481445</v>
      </c>
      <c r="I1704">
        <v>1288.9677733999999</v>
      </c>
      <c r="J1704">
        <v>1270.1821289</v>
      </c>
      <c r="K1704">
        <v>2750</v>
      </c>
      <c r="L1704">
        <v>0</v>
      </c>
      <c r="M1704">
        <v>0</v>
      </c>
      <c r="N1704">
        <v>2750</v>
      </c>
    </row>
    <row r="1705" spans="1:14" x14ac:dyDescent="0.25">
      <c r="A1705">
        <v>1114.676809</v>
      </c>
      <c r="B1705" s="1">
        <f>DATE(2013,5,19) + TIME(16,14,36)</f>
        <v>41413.676805555559</v>
      </c>
      <c r="C1705">
        <v>80</v>
      </c>
      <c r="D1705">
        <v>79.962364196999999</v>
      </c>
      <c r="E1705">
        <v>60</v>
      </c>
      <c r="F1705">
        <v>58.293899535999998</v>
      </c>
      <c r="G1705">
        <v>1391.5509033000001</v>
      </c>
      <c r="H1705">
        <v>1375.302124</v>
      </c>
      <c r="I1705">
        <v>1288.9545897999999</v>
      </c>
      <c r="J1705">
        <v>1270.1660156</v>
      </c>
      <c r="K1705">
        <v>2750</v>
      </c>
      <c r="L1705">
        <v>0</v>
      </c>
      <c r="M1705">
        <v>0</v>
      </c>
      <c r="N1705">
        <v>2750</v>
      </c>
    </row>
    <row r="1706" spans="1:14" x14ac:dyDescent="0.25">
      <c r="A1706">
        <v>1115.1653100000001</v>
      </c>
      <c r="B1706" s="1">
        <f>DATE(2013,5,20) + TIME(3,58,2)</f>
        <v>41414.165300925924</v>
      </c>
      <c r="C1706">
        <v>80</v>
      </c>
      <c r="D1706">
        <v>79.962356567</v>
      </c>
      <c r="E1706">
        <v>60</v>
      </c>
      <c r="F1706">
        <v>58.256744384999998</v>
      </c>
      <c r="G1706">
        <v>1391.4927978999999</v>
      </c>
      <c r="H1706">
        <v>1375.2561035000001</v>
      </c>
      <c r="I1706">
        <v>1288.9412841999999</v>
      </c>
      <c r="J1706">
        <v>1270.1494141000001</v>
      </c>
      <c r="K1706">
        <v>2750</v>
      </c>
      <c r="L1706">
        <v>0</v>
      </c>
      <c r="M1706">
        <v>0</v>
      </c>
      <c r="N1706">
        <v>2750</v>
      </c>
    </row>
    <row r="1707" spans="1:14" x14ac:dyDescent="0.25">
      <c r="A1707">
        <v>1115.6671839999999</v>
      </c>
      <c r="B1707" s="1">
        <f>DATE(2013,5,20) + TIME(16,0,44)</f>
        <v>41414.667175925926</v>
      </c>
      <c r="C1707">
        <v>80</v>
      </c>
      <c r="D1707">
        <v>79.962341308999996</v>
      </c>
      <c r="E1707">
        <v>60</v>
      </c>
      <c r="F1707">
        <v>58.218868256</v>
      </c>
      <c r="G1707">
        <v>1391.4346923999999</v>
      </c>
      <c r="H1707">
        <v>1375.2098389</v>
      </c>
      <c r="I1707">
        <v>1288.9274902</v>
      </c>
      <c r="J1707">
        <v>1270.1323242000001</v>
      </c>
      <c r="K1707">
        <v>2750</v>
      </c>
      <c r="L1707">
        <v>0</v>
      </c>
      <c r="M1707">
        <v>0</v>
      </c>
      <c r="N1707">
        <v>2750</v>
      </c>
    </row>
    <row r="1708" spans="1:14" x14ac:dyDescent="0.25">
      <c r="A1708">
        <v>1116.1843269999999</v>
      </c>
      <c r="B1708" s="1">
        <f>DATE(2013,5,21) + TIME(4,25,25)</f>
        <v>41415.184317129628</v>
      </c>
      <c r="C1708">
        <v>80</v>
      </c>
      <c r="D1708">
        <v>79.962326050000001</v>
      </c>
      <c r="E1708">
        <v>60</v>
      </c>
      <c r="F1708">
        <v>58.180152892999999</v>
      </c>
      <c r="G1708">
        <v>1391.3760986</v>
      </c>
      <c r="H1708">
        <v>1375.1633300999999</v>
      </c>
      <c r="I1708">
        <v>1288.9133300999999</v>
      </c>
      <c r="J1708">
        <v>1270.1147461</v>
      </c>
      <c r="K1708">
        <v>2750</v>
      </c>
      <c r="L1708">
        <v>0</v>
      </c>
      <c r="M1708">
        <v>0</v>
      </c>
      <c r="N1708">
        <v>2750</v>
      </c>
    </row>
    <row r="1709" spans="1:14" x14ac:dyDescent="0.25">
      <c r="A1709">
        <v>1116.718852</v>
      </c>
      <c r="B1709" s="1">
        <f>DATE(2013,5,21) + TIME(17,15,8)</f>
        <v>41415.718842592592</v>
      </c>
      <c r="C1709">
        <v>80</v>
      </c>
      <c r="D1709">
        <v>79.962310790999993</v>
      </c>
      <c r="E1709">
        <v>60</v>
      </c>
      <c r="F1709">
        <v>58.140468597000002</v>
      </c>
      <c r="G1709">
        <v>1391.3168945</v>
      </c>
      <c r="H1709">
        <v>1375.1164550999999</v>
      </c>
      <c r="I1709">
        <v>1288.8986815999999</v>
      </c>
      <c r="J1709">
        <v>1270.0965576000001</v>
      </c>
      <c r="K1709">
        <v>2750</v>
      </c>
      <c r="L1709">
        <v>0</v>
      </c>
      <c r="M1709">
        <v>0</v>
      </c>
      <c r="N1709">
        <v>2750</v>
      </c>
    </row>
    <row r="1710" spans="1:14" x14ac:dyDescent="0.25">
      <c r="A1710">
        <v>1117.262131</v>
      </c>
      <c r="B1710" s="1">
        <f>DATE(2013,5,22) + TIME(6,17,28)</f>
        <v>41416.262129629627</v>
      </c>
      <c r="C1710">
        <v>80</v>
      </c>
      <c r="D1710">
        <v>79.962303161999998</v>
      </c>
      <c r="E1710">
        <v>60</v>
      </c>
      <c r="F1710">
        <v>58.100135803000001</v>
      </c>
      <c r="G1710">
        <v>1391.2569579999999</v>
      </c>
      <c r="H1710">
        <v>1375.0688477000001</v>
      </c>
      <c r="I1710">
        <v>1288.8834228999999</v>
      </c>
      <c r="J1710">
        <v>1270.0776367000001</v>
      </c>
      <c r="K1710">
        <v>2750</v>
      </c>
      <c r="L1710">
        <v>0</v>
      </c>
      <c r="M1710">
        <v>0</v>
      </c>
      <c r="N1710">
        <v>2750</v>
      </c>
    </row>
    <row r="1711" spans="1:14" x14ac:dyDescent="0.25">
      <c r="A1711">
        <v>1117.8136959999999</v>
      </c>
      <c r="B1711" s="1">
        <f>DATE(2013,5,22) + TIME(19,31,43)</f>
        <v>41416.813692129632</v>
      </c>
      <c r="C1711">
        <v>80</v>
      </c>
      <c r="D1711">
        <v>79.962287903000004</v>
      </c>
      <c r="E1711">
        <v>60</v>
      </c>
      <c r="F1711">
        <v>58.059261321999998</v>
      </c>
      <c r="G1711">
        <v>1391.1972656</v>
      </c>
      <c r="H1711">
        <v>1375.0214844</v>
      </c>
      <c r="I1711">
        <v>1288.8679199000001</v>
      </c>
      <c r="J1711">
        <v>1270.0584716999999</v>
      </c>
      <c r="K1711">
        <v>2750</v>
      </c>
      <c r="L1711">
        <v>0</v>
      </c>
      <c r="M1711">
        <v>0</v>
      </c>
      <c r="N1711">
        <v>2750</v>
      </c>
    </row>
    <row r="1712" spans="1:14" x14ac:dyDescent="0.25">
      <c r="A1712">
        <v>1118.3750749999999</v>
      </c>
      <c r="B1712" s="1">
        <f>DATE(2013,5,23) + TIME(9,0,6)</f>
        <v>41417.375069444446</v>
      </c>
      <c r="C1712">
        <v>80</v>
      </c>
      <c r="D1712">
        <v>79.962272643999995</v>
      </c>
      <c r="E1712">
        <v>60</v>
      </c>
      <c r="F1712">
        <v>58.017845154</v>
      </c>
      <c r="G1712">
        <v>1391.1378173999999</v>
      </c>
      <c r="H1712">
        <v>1374.9743652</v>
      </c>
      <c r="I1712">
        <v>1288.8520507999999</v>
      </c>
      <c r="J1712">
        <v>1270.0388184000001</v>
      </c>
      <c r="K1712">
        <v>2750</v>
      </c>
      <c r="L1712">
        <v>0</v>
      </c>
      <c r="M1712">
        <v>0</v>
      </c>
      <c r="N1712">
        <v>2750</v>
      </c>
    </row>
    <row r="1713" spans="1:14" x14ac:dyDescent="0.25">
      <c r="A1713">
        <v>1118.9478779999999</v>
      </c>
      <c r="B1713" s="1">
        <f>DATE(2013,5,23) + TIME(22,44,56)</f>
        <v>41417.947870370372</v>
      </c>
      <c r="C1713">
        <v>80</v>
      </c>
      <c r="D1713">
        <v>79.962265015</v>
      </c>
      <c r="E1713">
        <v>60</v>
      </c>
      <c r="F1713">
        <v>57.975833893000001</v>
      </c>
      <c r="G1713">
        <v>1391.0786132999999</v>
      </c>
      <c r="H1713">
        <v>1374.9273682</v>
      </c>
      <c r="I1713">
        <v>1288.8358154</v>
      </c>
      <c r="J1713">
        <v>1270.0186768000001</v>
      </c>
      <c r="K1713">
        <v>2750</v>
      </c>
      <c r="L1713">
        <v>0</v>
      </c>
      <c r="M1713">
        <v>0</v>
      </c>
      <c r="N1713">
        <v>2750</v>
      </c>
    </row>
    <row r="1714" spans="1:14" x14ac:dyDescent="0.25">
      <c r="A1714">
        <v>1119.528153</v>
      </c>
      <c r="B1714" s="1">
        <f>DATE(2013,5,24) + TIME(12,40,32)</f>
        <v>41418.528148148151</v>
      </c>
      <c r="C1714">
        <v>80</v>
      </c>
      <c r="D1714">
        <v>79.962249756000006</v>
      </c>
      <c r="E1714">
        <v>60</v>
      </c>
      <c r="F1714">
        <v>57.933391571000001</v>
      </c>
      <c r="G1714">
        <v>1391.0192870999999</v>
      </c>
      <c r="H1714">
        <v>1374.880249</v>
      </c>
      <c r="I1714">
        <v>1288.8192139</v>
      </c>
      <c r="J1714">
        <v>1269.9980469</v>
      </c>
      <c r="K1714">
        <v>2750</v>
      </c>
      <c r="L1714">
        <v>0</v>
      </c>
      <c r="M1714">
        <v>0</v>
      </c>
      <c r="N1714">
        <v>2750</v>
      </c>
    </row>
    <row r="1715" spans="1:14" x14ac:dyDescent="0.25">
      <c r="A1715">
        <v>1120.1141950000001</v>
      </c>
      <c r="B1715" s="1">
        <f>DATE(2013,5,25) + TIME(2,44,26)</f>
        <v>41419.114189814813</v>
      </c>
      <c r="C1715">
        <v>80</v>
      </c>
      <c r="D1715">
        <v>79.962242126000007</v>
      </c>
      <c r="E1715">
        <v>60</v>
      </c>
      <c r="F1715">
        <v>57.890632629000002</v>
      </c>
      <c r="G1715">
        <v>1390.9604492000001</v>
      </c>
      <c r="H1715">
        <v>1374.8334961</v>
      </c>
      <c r="I1715">
        <v>1288.8023682</v>
      </c>
      <c r="J1715">
        <v>1269.9770507999999</v>
      </c>
      <c r="K1715">
        <v>2750</v>
      </c>
      <c r="L1715">
        <v>0</v>
      </c>
      <c r="M1715">
        <v>0</v>
      </c>
      <c r="N1715">
        <v>2750</v>
      </c>
    </row>
    <row r="1716" spans="1:14" x14ac:dyDescent="0.25">
      <c r="A1716">
        <v>1120.707821</v>
      </c>
      <c r="B1716" s="1">
        <f>DATE(2013,5,25) + TIME(16,59,15)</f>
        <v>41419.707812499997</v>
      </c>
      <c r="C1716">
        <v>80</v>
      </c>
      <c r="D1716">
        <v>79.962226868000002</v>
      </c>
      <c r="E1716">
        <v>60</v>
      </c>
      <c r="F1716">
        <v>57.847545623999999</v>
      </c>
      <c r="G1716">
        <v>1390.9020995999999</v>
      </c>
      <c r="H1716">
        <v>1374.7871094</v>
      </c>
      <c r="I1716">
        <v>1288.7851562000001</v>
      </c>
      <c r="J1716">
        <v>1269.9556885</v>
      </c>
      <c r="K1716">
        <v>2750</v>
      </c>
      <c r="L1716">
        <v>0</v>
      </c>
      <c r="M1716">
        <v>0</v>
      </c>
      <c r="N1716">
        <v>2750</v>
      </c>
    </row>
    <row r="1717" spans="1:14" x14ac:dyDescent="0.25">
      <c r="A1717">
        <v>1121.31089</v>
      </c>
      <c r="B1717" s="1">
        <f>DATE(2013,5,26) + TIME(7,27,40)</f>
        <v>41420.310879629629</v>
      </c>
      <c r="C1717">
        <v>80</v>
      </c>
      <c r="D1717">
        <v>79.962219238000003</v>
      </c>
      <c r="E1717">
        <v>60</v>
      </c>
      <c r="F1717">
        <v>57.804058075</v>
      </c>
      <c r="G1717">
        <v>1390.8441161999999</v>
      </c>
      <c r="H1717">
        <v>1374.7409668</v>
      </c>
      <c r="I1717">
        <v>1288.7677002</v>
      </c>
      <c r="J1717">
        <v>1269.9339600000001</v>
      </c>
      <c r="K1717">
        <v>2750</v>
      </c>
      <c r="L1717">
        <v>0</v>
      </c>
      <c r="M1717">
        <v>0</v>
      </c>
      <c r="N1717">
        <v>2750</v>
      </c>
    </row>
    <row r="1718" spans="1:14" x14ac:dyDescent="0.25">
      <c r="A1718">
        <v>1121.925358</v>
      </c>
      <c r="B1718" s="1">
        <f>DATE(2013,5,26) + TIME(22,12,30)</f>
        <v>41420.925347222219</v>
      </c>
      <c r="C1718">
        <v>80</v>
      </c>
      <c r="D1718">
        <v>79.962211608999993</v>
      </c>
      <c r="E1718">
        <v>60</v>
      </c>
      <c r="F1718">
        <v>57.76007843</v>
      </c>
      <c r="G1718">
        <v>1390.7863769999999</v>
      </c>
      <c r="H1718">
        <v>1374.6950684000001</v>
      </c>
      <c r="I1718">
        <v>1288.7498779</v>
      </c>
      <c r="J1718">
        <v>1269.9117432</v>
      </c>
      <c r="K1718">
        <v>2750</v>
      </c>
      <c r="L1718">
        <v>0</v>
      </c>
      <c r="M1718">
        <v>0</v>
      </c>
      <c r="N1718">
        <v>2750</v>
      </c>
    </row>
    <row r="1719" spans="1:14" x14ac:dyDescent="0.25">
      <c r="A1719">
        <v>1122.5512859999999</v>
      </c>
      <c r="B1719" s="1">
        <f>DATE(2013,5,27) + TIME(13,13,51)</f>
        <v>41421.55128472222</v>
      </c>
      <c r="C1719">
        <v>80</v>
      </c>
      <c r="D1719">
        <v>79.962196349999999</v>
      </c>
      <c r="E1719">
        <v>60</v>
      </c>
      <c r="F1719">
        <v>57.715572356999999</v>
      </c>
      <c r="G1719">
        <v>1390.7285156</v>
      </c>
      <c r="H1719">
        <v>1374.6490478999999</v>
      </c>
      <c r="I1719">
        <v>1288.7316894999999</v>
      </c>
      <c r="J1719">
        <v>1269.8890381000001</v>
      </c>
      <c r="K1719">
        <v>2750</v>
      </c>
      <c r="L1719">
        <v>0</v>
      </c>
      <c r="M1719">
        <v>0</v>
      </c>
      <c r="N1719">
        <v>2750</v>
      </c>
    </row>
    <row r="1720" spans="1:14" x14ac:dyDescent="0.25">
      <c r="A1720">
        <v>1123.1881659999999</v>
      </c>
      <c r="B1720" s="1">
        <f>DATE(2013,5,28) + TIME(4,30,57)</f>
        <v>41422.188159722224</v>
      </c>
      <c r="C1720">
        <v>80</v>
      </c>
      <c r="D1720">
        <v>79.962188721000004</v>
      </c>
      <c r="E1720">
        <v>60</v>
      </c>
      <c r="F1720">
        <v>57.670536040999998</v>
      </c>
      <c r="G1720">
        <v>1390.6706543</v>
      </c>
      <c r="H1720">
        <v>1374.6030272999999</v>
      </c>
      <c r="I1720">
        <v>1288.7130127</v>
      </c>
      <c r="J1720">
        <v>1269.8656006000001</v>
      </c>
      <c r="K1720">
        <v>2750</v>
      </c>
      <c r="L1720">
        <v>0</v>
      </c>
      <c r="M1720">
        <v>0</v>
      </c>
      <c r="N1720">
        <v>2750</v>
      </c>
    </row>
    <row r="1721" spans="1:14" x14ac:dyDescent="0.25">
      <c r="A1721">
        <v>1123.837996</v>
      </c>
      <c r="B1721" s="1">
        <f>DATE(2013,5,28) + TIME(20,6,42)</f>
        <v>41422.83798611111</v>
      </c>
      <c r="C1721">
        <v>80</v>
      </c>
      <c r="D1721">
        <v>79.962181091000005</v>
      </c>
      <c r="E1721">
        <v>60</v>
      </c>
      <c r="F1721">
        <v>57.624900818</v>
      </c>
      <c r="G1721">
        <v>1390.6129149999999</v>
      </c>
      <c r="H1721">
        <v>1374.5570068</v>
      </c>
      <c r="I1721">
        <v>1288.6938477000001</v>
      </c>
      <c r="J1721">
        <v>1269.8416748</v>
      </c>
      <c r="K1721">
        <v>2750</v>
      </c>
      <c r="L1721">
        <v>0</v>
      </c>
      <c r="M1721">
        <v>0</v>
      </c>
      <c r="N1721">
        <v>2750</v>
      </c>
    </row>
    <row r="1722" spans="1:14" x14ac:dyDescent="0.25">
      <c r="A1722">
        <v>1124.5029079999999</v>
      </c>
      <c r="B1722" s="1">
        <f>DATE(2013,5,29) + TIME(12,4,11)</f>
        <v>41423.502905092595</v>
      </c>
      <c r="C1722">
        <v>80</v>
      </c>
      <c r="D1722">
        <v>79.962173461999996</v>
      </c>
      <c r="E1722">
        <v>60</v>
      </c>
      <c r="F1722">
        <v>57.578559875000003</v>
      </c>
      <c r="G1722">
        <v>1390.5550536999999</v>
      </c>
      <c r="H1722">
        <v>1374.5108643000001</v>
      </c>
      <c r="I1722">
        <v>1288.6741943</v>
      </c>
      <c r="J1722">
        <v>1269.8171387</v>
      </c>
      <c r="K1722">
        <v>2750</v>
      </c>
      <c r="L1722">
        <v>0</v>
      </c>
      <c r="M1722">
        <v>0</v>
      </c>
      <c r="N1722">
        <v>2750</v>
      </c>
    </row>
    <row r="1723" spans="1:14" x14ac:dyDescent="0.25">
      <c r="A1723">
        <v>1125.1852369999999</v>
      </c>
      <c r="B1723" s="1">
        <f>DATE(2013,5,30) + TIME(4,26,44)</f>
        <v>41424.185231481482</v>
      </c>
      <c r="C1723">
        <v>80</v>
      </c>
      <c r="D1723">
        <v>79.962165833</v>
      </c>
      <c r="E1723">
        <v>60</v>
      </c>
      <c r="F1723">
        <v>57.531391143999997</v>
      </c>
      <c r="G1723">
        <v>1390.4969481999999</v>
      </c>
      <c r="H1723">
        <v>1374.4645995999999</v>
      </c>
      <c r="I1723">
        <v>1288.6539307</v>
      </c>
      <c r="J1723">
        <v>1269.7917480000001</v>
      </c>
      <c r="K1723">
        <v>2750</v>
      </c>
      <c r="L1723">
        <v>0</v>
      </c>
      <c r="M1723">
        <v>0</v>
      </c>
      <c r="N1723">
        <v>2750</v>
      </c>
    </row>
    <row r="1724" spans="1:14" x14ac:dyDescent="0.25">
      <c r="A1724">
        <v>1125.8784430000001</v>
      </c>
      <c r="B1724" s="1">
        <f>DATE(2013,5,30) + TIME(21,4,57)</f>
        <v>41424.878437500003</v>
      </c>
      <c r="C1724">
        <v>80</v>
      </c>
      <c r="D1724">
        <v>79.962158203000001</v>
      </c>
      <c r="E1724">
        <v>60</v>
      </c>
      <c r="F1724">
        <v>57.483577728</v>
      </c>
      <c r="G1724">
        <v>1390.4383545000001</v>
      </c>
      <c r="H1724">
        <v>1374.4178466999999</v>
      </c>
      <c r="I1724">
        <v>1288.6330565999999</v>
      </c>
      <c r="J1724">
        <v>1269.765625</v>
      </c>
      <c r="K1724">
        <v>2750</v>
      </c>
      <c r="L1724">
        <v>0</v>
      </c>
      <c r="M1724">
        <v>0</v>
      </c>
      <c r="N1724">
        <v>2750</v>
      </c>
    </row>
    <row r="1725" spans="1:14" x14ac:dyDescent="0.25">
      <c r="A1725">
        <v>1126.577648</v>
      </c>
      <c r="B1725" s="1">
        <f>DATE(2013,5,31) + TIME(13,51,48)</f>
        <v>41425.577638888892</v>
      </c>
      <c r="C1725">
        <v>80</v>
      </c>
      <c r="D1725">
        <v>79.962150574000006</v>
      </c>
      <c r="E1725">
        <v>60</v>
      </c>
      <c r="F1725">
        <v>57.435367583999998</v>
      </c>
      <c r="G1725">
        <v>1390.3798827999999</v>
      </c>
      <c r="H1725">
        <v>1374.3710937999999</v>
      </c>
      <c r="I1725">
        <v>1288.6115723</v>
      </c>
      <c r="J1725">
        <v>1269.7387695</v>
      </c>
      <c r="K1725">
        <v>2750</v>
      </c>
      <c r="L1725">
        <v>0</v>
      </c>
      <c r="M1725">
        <v>0</v>
      </c>
      <c r="N1725">
        <v>2750</v>
      </c>
    </row>
    <row r="1726" spans="1:14" x14ac:dyDescent="0.25">
      <c r="A1726">
        <v>1127</v>
      </c>
      <c r="B1726" s="1">
        <f>DATE(2013,6,1) + TIME(0,0,0)</f>
        <v>41426</v>
      </c>
      <c r="C1726">
        <v>80</v>
      </c>
      <c r="D1726">
        <v>79.962135314999998</v>
      </c>
      <c r="E1726">
        <v>60</v>
      </c>
      <c r="F1726">
        <v>57.399330139</v>
      </c>
      <c r="G1726">
        <v>1390.3220214999999</v>
      </c>
      <c r="H1726">
        <v>1374.3248291</v>
      </c>
      <c r="I1726">
        <v>1288.5887451000001</v>
      </c>
      <c r="J1726">
        <v>1269.7125243999999</v>
      </c>
      <c r="K1726">
        <v>2750</v>
      </c>
      <c r="L1726">
        <v>0</v>
      </c>
      <c r="M1726">
        <v>0</v>
      </c>
      <c r="N1726">
        <v>2750</v>
      </c>
    </row>
    <row r="1727" spans="1:14" x14ac:dyDescent="0.25">
      <c r="A1727">
        <v>1127.707429</v>
      </c>
      <c r="B1727" s="1">
        <f>DATE(2013,6,1) + TIME(16,58,41)</f>
        <v>41426.707418981481</v>
      </c>
      <c r="C1727">
        <v>80</v>
      </c>
      <c r="D1727">
        <v>79.962135314999998</v>
      </c>
      <c r="E1727">
        <v>60</v>
      </c>
      <c r="F1727">
        <v>57.354156494000001</v>
      </c>
      <c r="G1727">
        <v>1390.2873535000001</v>
      </c>
      <c r="H1727">
        <v>1374.2971190999999</v>
      </c>
      <c r="I1727">
        <v>1288.5766602000001</v>
      </c>
      <c r="J1727">
        <v>1269.6940918</v>
      </c>
      <c r="K1727">
        <v>2750</v>
      </c>
      <c r="L1727">
        <v>0</v>
      </c>
      <c r="M1727">
        <v>0</v>
      </c>
      <c r="N1727">
        <v>2750</v>
      </c>
    </row>
    <row r="1728" spans="1:14" x14ac:dyDescent="0.25">
      <c r="A1728">
        <v>1128.4328840000001</v>
      </c>
      <c r="B1728" s="1">
        <f>DATE(2013,6,2) + TIME(10,23,21)</f>
        <v>41427.432881944442</v>
      </c>
      <c r="C1728">
        <v>80</v>
      </c>
      <c r="D1728">
        <v>79.962127686000002</v>
      </c>
      <c r="E1728">
        <v>60</v>
      </c>
      <c r="F1728">
        <v>57.306774138999998</v>
      </c>
      <c r="G1728">
        <v>1390.2305908000001</v>
      </c>
      <c r="H1728">
        <v>1374.2517089999999</v>
      </c>
      <c r="I1728">
        <v>1288.5544434000001</v>
      </c>
      <c r="J1728">
        <v>1269.6663818</v>
      </c>
      <c r="K1728">
        <v>2750</v>
      </c>
      <c r="L1728">
        <v>0</v>
      </c>
      <c r="M1728">
        <v>0</v>
      </c>
      <c r="N1728">
        <v>2750</v>
      </c>
    </row>
    <row r="1729" spans="1:14" x14ac:dyDescent="0.25">
      <c r="A1729">
        <v>1129.1724730000001</v>
      </c>
      <c r="B1729" s="1">
        <f>DATE(2013,6,3) + TIME(4,8,21)</f>
        <v>41428.172465277778</v>
      </c>
      <c r="C1729">
        <v>80</v>
      </c>
      <c r="D1729">
        <v>79.962120056000003</v>
      </c>
      <c r="E1729">
        <v>60</v>
      </c>
      <c r="F1729">
        <v>57.257907867</v>
      </c>
      <c r="G1729">
        <v>1390.1730957</v>
      </c>
      <c r="H1729">
        <v>1374.2058105000001</v>
      </c>
      <c r="I1729">
        <v>1288.5313721</v>
      </c>
      <c r="J1729">
        <v>1269.6374512</v>
      </c>
      <c r="K1729">
        <v>2750</v>
      </c>
      <c r="L1729">
        <v>0</v>
      </c>
      <c r="M1729">
        <v>0</v>
      </c>
      <c r="N1729">
        <v>2750</v>
      </c>
    </row>
    <row r="1730" spans="1:14" x14ac:dyDescent="0.25">
      <c r="A1730">
        <v>1129.920705</v>
      </c>
      <c r="B1730" s="1">
        <f>DATE(2013,6,3) + TIME(22,5,48)</f>
        <v>41428.920694444445</v>
      </c>
      <c r="C1730">
        <v>80</v>
      </c>
      <c r="D1730">
        <v>79.962120056000003</v>
      </c>
      <c r="E1730">
        <v>60</v>
      </c>
      <c r="F1730">
        <v>57.208133697999997</v>
      </c>
      <c r="G1730">
        <v>1390.1156006000001</v>
      </c>
      <c r="H1730">
        <v>1374.159668</v>
      </c>
      <c r="I1730">
        <v>1288.5075684000001</v>
      </c>
      <c r="J1730">
        <v>1269.6075439000001</v>
      </c>
      <c r="K1730">
        <v>2750</v>
      </c>
      <c r="L1730">
        <v>0</v>
      </c>
      <c r="M1730">
        <v>0</v>
      </c>
      <c r="N1730">
        <v>2750</v>
      </c>
    </row>
    <row r="1731" spans="1:14" x14ac:dyDescent="0.25">
      <c r="A1731">
        <v>1130.6783800000001</v>
      </c>
      <c r="B1731" s="1">
        <f>DATE(2013,6,4) + TIME(16,16,52)</f>
        <v>41429.678379629629</v>
      </c>
      <c r="C1731">
        <v>80</v>
      </c>
      <c r="D1731">
        <v>79.962112426999994</v>
      </c>
      <c r="E1731">
        <v>60</v>
      </c>
      <c r="F1731">
        <v>57.157722473</v>
      </c>
      <c r="G1731">
        <v>1390.0583495999999</v>
      </c>
      <c r="H1731">
        <v>1374.1137695</v>
      </c>
      <c r="I1731">
        <v>1288.4833983999999</v>
      </c>
      <c r="J1731">
        <v>1269.5770264</v>
      </c>
      <c r="K1731">
        <v>2750</v>
      </c>
      <c r="L1731">
        <v>0</v>
      </c>
      <c r="M1731">
        <v>0</v>
      </c>
      <c r="N1731">
        <v>2750</v>
      </c>
    </row>
    <row r="1732" spans="1:14" x14ac:dyDescent="0.25">
      <c r="A1732">
        <v>1131.4477569999999</v>
      </c>
      <c r="B1732" s="1">
        <f>DATE(2013,6,5) + TIME(10,44,46)</f>
        <v>41430.447754629633</v>
      </c>
      <c r="C1732">
        <v>80</v>
      </c>
      <c r="D1732">
        <v>79.962104796999995</v>
      </c>
      <c r="E1732">
        <v>60</v>
      </c>
      <c r="F1732">
        <v>57.106742859000001</v>
      </c>
      <c r="G1732">
        <v>1390.0013428</v>
      </c>
      <c r="H1732">
        <v>1374.0679932</v>
      </c>
      <c r="I1732">
        <v>1288.4587402</v>
      </c>
      <c r="J1732">
        <v>1269.5456543</v>
      </c>
      <c r="K1732">
        <v>2750</v>
      </c>
      <c r="L1732">
        <v>0</v>
      </c>
      <c r="M1732">
        <v>0</v>
      </c>
      <c r="N1732">
        <v>2750</v>
      </c>
    </row>
    <row r="1733" spans="1:14" x14ac:dyDescent="0.25">
      <c r="A1733">
        <v>1132.231211</v>
      </c>
      <c r="B1733" s="1">
        <f>DATE(2013,6,6) + TIME(5,32,56)</f>
        <v>41431.231203703705</v>
      </c>
      <c r="C1733">
        <v>80</v>
      </c>
      <c r="D1733">
        <v>79.962104796999995</v>
      </c>
      <c r="E1733">
        <v>60</v>
      </c>
      <c r="F1733">
        <v>57.055152892999999</v>
      </c>
      <c r="G1733">
        <v>1389.9443358999999</v>
      </c>
      <c r="H1733">
        <v>1374.0223389</v>
      </c>
      <c r="I1733">
        <v>1288.4333495999999</v>
      </c>
      <c r="J1733">
        <v>1269.5135498</v>
      </c>
      <c r="K1733">
        <v>2750</v>
      </c>
      <c r="L1733">
        <v>0</v>
      </c>
      <c r="M1733">
        <v>0</v>
      </c>
      <c r="N1733">
        <v>2750</v>
      </c>
    </row>
    <row r="1734" spans="1:14" x14ac:dyDescent="0.25">
      <c r="A1734">
        <v>1133.0313000000001</v>
      </c>
      <c r="B1734" s="1">
        <f>DATE(2013,6,7) + TIME(0,45,4)</f>
        <v>41432.0312962963</v>
      </c>
      <c r="C1734">
        <v>80</v>
      </c>
      <c r="D1734">
        <v>79.962097168</v>
      </c>
      <c r="E1734">
        <v>60</v>
      </c>
      <c r="F1734">
        <v>57.002853393999999</v>
      </c>
      <c r="G1734">
        <v>1389.8873291</v>
      </c>
      <c r="H1734">
        <v>1373.9765625</v>
      </c>
      <c r="I1734">
        <v>1288.4073486</v>
      </c>
      <c r="J1734">
        <v>1269.4803466999999</v>
      </c>
      <c r="K1734">
        <v>2750</v>
      </c>
      <c r="L1734">
        <v>0</v>
      </c>
      <c r="M1734">
        <v>0</v>
      </c>
      <c r="N1734">
        <v>2750</v>
      </c>
    </row>
    <row r="1735" spans="1:14" x14ac:dyDescent="0.25">
      <c r="A1735">
        <v>1133.850833</v>
      </c>
      <c r="B1735" s="1">
        <f>DATE(2013,6,7) + TIME(20,25,12)</f>
        <v>41432.85083333333</v>
      </c>
      <c r="C1735">
        <v>80</v>
      </c>
      <c r="D1735">
        <v>79.962097168</v>
      </c>
      <c r="E1735">
        <v>60</v>
      </c>
      <c r="F1735">
        <v>56.949710846000002</v>
      </c>
      <c r="G1735">
        <v>1389.8300781</v>
      </c>
      <c r="H1735">
        <v>1373.9305420000001</v>
      </c>
      <c r="I1735">
        <v>1288.3804932</v>
      </c>
      <c r="J1735">
        <v>1269.4460449000001</v>
      </c>
      <c r="K1735">
        <v>2750</v>
      </c>
      <c r="L1735">
        <v>0</v>
      </c>
      <c r="M1735">
        <v>0</v>
      </c>
      <c r="N1735">
        <v>2750</v>
      </c>
    </row>
    <row r="1736" spans="1:14" x14ac:dyDescent="0.25">
      <c r="A1736">
        <v>1134.681615</v>
      </c>
      <c r="B1736" s="1">
        <f>DATE(2013,6,8) + TIME(16,21,31)</f>
        <v>41433.681608796294</v>
      </c>
      <c r="C1736">
        <v>80</v>
      </c>
      <c r="D1736">
        <v>79.962089539000004</v>
      </c>
      <c r="E1736">
        <v>60</v>
      </c>
      <c r="F1736">
        <v>56.895908356</v>
      </c>
      <c r="G1736">
        <v>1389.7723389</v>
      </c>
      <c r="H1736">
        <v>1373.8840332</v>
      </c>
      <c r="I1736">
        <v>1288.3526611</v>
      </c>
      <c r="J1736">
        <v>1269.4106445</v>
      </c>
      <c r="K1736">
        <v>2750</v>
      </c>
      <c r="L1736">
        <v>0</v>
      </c>
      <c r="M1736">
        <v>0</v>
      </c>
      <c r="N1736">
        <v>2750</v>
      </c>
    </row>
    <row r="1737" spans="1:14" x14ac:dyDescent="0.25">
      <c r="A1737">
        <v>1135.5205840000001</v>
      </c>
      <c r="B1737" s="1">
        <f>DATE(2013,6,9) + TIME(12,29,38)</f>
        <v>41434.520578703705</v>
      </c>
      <c r="C1737">
        <v>80</v>
      </c>
      <c r="D1737">
        <v>79.962089539000004</v>
      </c>
      <c r="E1737">
        <v>60</v>
      </c>
      <c r="F1737">
        <v>56.841651917</v>
      </c>
      <c r="G1737">
        <v>1389.7148437999999</v>
      </c>
      <c r="H1737">
        <v>1373.8376464999999</v>
      </c>
      <c r="I1737">
        <v>1288.3242187999999</v>
      </c>
      <c r="J1737">
        <v>1269.3741454999999</v>
      </c>
      <c r="K1737">
        <v>2750</v>
      </c>
      <c r="L1737">
        <v>0</v>
      </c>
      <c r="M1737">
        <v>0</v>
      </c>
      <c r="N1737">
        <v>2750</v>
      </c>
    </row>
    <row r="1738" spans="1:14" x14ac:dyDescent="0.25">
      <c r="A1738">
        <v>1136.3704729999999</v>
      </c>
      <c r="B1738" s="1">
        <f>DATE(2013,6,10) + TIME(8,53,28)</f>
        <v>41435.370462962965</v>
      </c>
      <c r="C1738">
        <v>80</v>
      </c>
      <c r="D1738">
        <v>79.962089539000004</v>
      </c>
      <c r="E1738">
        <v>60</v>
      </c>
      <c r="F1738">
        <v>56.786972046000002</v>
      </c>
      <c r="G1738">
        <v>1389.6575928</v>
      </c>
      <c r="H1738">
        <v>1373.7915039</v>
      </c>
      <c r="I1738">
        <v>1288.2951660000001</v>
      </c>
      <c r="J1738">
        <v>1269.3367920000001</v>
      </c>
      <c r="K1738">
        <v>2750</v>
      </c>
      <c r="L1738">
        <v>0</v>
      </c>
      <c r="M1738">
        <v>0</v>
      </c>
      <c r="N1738">
        <v>2750</v>
      </c>
    </row>
    <row r="1739" spans="1:14" x14ac:dyDescent="0.25">
      <c r="A1739">
        <v>1137.2340799999999</v>
      </c>
      <c r="B1739" s="1">
        <f>DATE(2013,6,11) + TIME(5,37,4)</f>
        <v>41436.234074074076</v>
      </c>
      <c r="C1739">
        <v>80</v>
      </c>
      <c r="D1739">
        <v>79.962081909000005</v>
      </c>
      <c r="E1739">
        <v>60</v>
      </c>
      <c r="F1739">
        <v>56.731788635000001</v>
      </c>
      <c r="G1739">
        <v>1389.6005858999999</v>
      </c>
      <c r="H1739">
        <v>1373.7454834</v>
      </c>
      <c r="I1739">
        <v>1288.2653809000001</v>
      </c>
      <c r="J1739">
        <v>1269.2984618999999</v>
      </c>
      <c r="K1739">
        <v>2750</v>
      </c>
      <c r="L1739">
        <v>0</v>
      </c>
      <c r="M1739">
        <v>0</v>
      </c>
      <c r="N1739">
        <v>2750</v>
      </c>
    </row>
    <row r="1740" spans="1:14" x14ac:dyDescent="0.25">
      <c r="A1740">
        <v>1138.113642</v>
      </c>
      <c r="B1740" s="1">
        <f>DATE(2013,6,12) + TIME(2,43,38)</f>
        <v>41437.113634259258</v>
      </c>
      <c r="C1740">
        <v>80</v>
      </c>
      <c r="D1740">
        <v>79.962081909000005</v>
      </c>
      <c r="E1740">
        <v>60</v>
      </c>
      <c r="F1740">
        <v>56.675991058000001</v>
      </c>
      <c r="G1740">
        <v>1389.5435791</v>
      </c>
      <c r="H1740">
        <v>1373.6994629000001</v>
      </c>
      <c r="I1740">
        <v>1288.2347411999999</v>
      </c>
      <c r="J1740">
        <v>1269.2589111</v>
      </c>
      <c r="K1740">
        <v>2750</v>
      </c>
      <c r="L1740">
        <v>0</v>
      </c>
      <c r="M1740">
        <v>0</v>
      </c>
      <c r="N1740">
        <v>2750</v>
      </c>
    </row>
    <row r="1741" spans="1:14" x14ac:dyDescent="0.25">
      <c r="A1741">
        <v>1139.004995</v>
      </c>
      <c r="B1741" s="1">
        <f>DATE(2013,6,13) + TIME(0,7,11)</f>
        <v>41438.004988425928</v>
      </c>
      <c r="C1741">
        <v>80</v>
      </c>
      <c r="D1741">
        <v>79.962081909000005</v>
      </c>
      <c r="E1741">
        <v>60</v>
      </c>
      <c r="F1741">
        <v>56.619640349999997</v>
      </c>
      <c r="G1741">
        <v>1389.4864502</v>
      </c>
      <c r="H1741">
        <v>1373.6531981999999</v>
      </c>
      <c r="I1741">
        <v>1288.203125</v>
      </c>
      <c r="J1741">
        <v>1269.2181396000001</v>
      </c>
      <c r="K1741">
        <v>2750</v>
      </c>
      <c r="L1741">
        <v>0</v>
      </c>
      <c r="M1741">
        <v>0</v>
      </c>
      <c r="N1741">
        <v>2750</v>
      </c>
    </row>
    <row r="1742" spans="1:14" x14ac:dyDescent="0.25">
      <c r="A1742">
        <v>1139.9109229999999</v>
      </c>
      <c r="B1742" s="1">
        <f>DATE(2013,6,13) + TIME(21,51,43)</f>
        <v>41438.910914351851</v>
      </c>
      <c r="C1742">
        <v>80</v>
      </c>
      <c r="D1742">
        <v>79.962081909000005</v>
      </c>
      <c r="E1742">
        <v>60</v>
      </c>
      <c r="F1742">
        <v>56.562705993999998</v>
      </c>
      <c r="G1742">
        <v>1389.4294434000001</v>
      </c>
      <c r="H1742">
        <v>1373.6070557</v>
      </c>
      <c r="I1742">
        <v>1288.1707764</v>
      </c>
      <c r="J1742">
        <v>1269.1761475000001</v>
      </c>
      <c r="K1742">
        <v>2750</v>
      </c>
      <c r="L1742">
        <v>0</v>
      </c>
      <c r="M1742">
        <v>0</v>
      </c>
      <c r="N1742">
        <v>2750</v>
      </c>
    </row>
    <row r="1743" spans="1:14" x14ac:dyDescent="0.25">
      <c r="A1743">
        <v>1140.8336240000001</v>
      </c>
      <c r="B1743" s="1">
        <f>DATE(2013,6,14) + TIME(20,0,25)</f>
        <v>41439.833622685182</v>
      </c>
      <c r="C1743">
        <v>80</v>
      </c>
      <c r="D1743">
        <v>79.962081909000005</v>
      </c>
      <c r="E1743">
        <v>60</v>
      </c>
      <c r="F1743">
        <v>56.505096436000002</v>
      </c>
      <c r="G1743">
        <v>1389.3723144999999</v>
      </c>
      <c r="H1743">
        <v>1373.5607910000001</v>
      </c>
      <c r="I1743">
        <v>1288.1374512</v>
      </c>
      <c r="J1743">
        <v>1269.1328125</v>
      </c>
      <c r="K1743">
        <v>2750</v>
      </c>
      <c r="L1743">
        <v>0</v>
      </c>
      <c r="M1743">
        <v>0</v>
      </c>
      <c r="N1743">
        <v>2750</v>
      </c>
    </row>
    <row r="1744" spans="1:14" x14ac:dyDescent="0.25">
      <c r="A1744">
        <v>1141.770859</v>
      </c>
      <c r="B1744" s="1">
        <f>DATE(2013,6,15) + TIME(18,30,2)</f>
        <v>41440.770856481482</v>
      </c>
      <c r="C1744">
        <v>80</v>
      </c>
      <c r="D1744">
        <v>79.962081909000005</v>
      </c>
      <c r="E1744">
        <v>60</v>
      </c>
      <c r="F1744">
        <v>56.446819304999998</v>
      </c>
      <c r="G1744">
        <v>1389.3150635</v>
      </c>
      <c r="H1744">
        <v>1373.5144043</v>
      </c>
      <c r="I1744">
        <v>1288.1030272999999</v>
      </c>
      <c r="J1744">
        <v>1269.0880127</v>
      </c>
      <c r="K1744">
        <v>2750</v>
      </c>
      <c r="L1744">
        <v>0</v>
      </c>
      <c r="M1744">
        <v>0</v>
      </c>
      <c r="N1744">
        <v>2750</v>
      </c>
    </row>
    <row r="1745" spans="1:14" x14ac:dyDescent="0.25">
      <c r="A1745">
        <v>1142.7257360000001</v>
      </c>
      <c r="B1745" s="1">
        <f>DATE(2013,6,16) + TIME(17,25,3)</f>
        <v>41441.725729166668</v>
      </c>
      <c r="C1745">
        <v>80</v>
      </c>
      <c r="D1745">
        <v>79.962081909000005</v>
      </c>
      <c r="E1745">
        <v>60</v>
      </c>
      <c r="F1745">
        <v>56.387817382999998</v>
      </c>
      <c r="G1745">
        <v>1389.2578125</v>
      </c>
      <c r="H1745">
        <v>1373.4678954999999</v>
      </c>
      <c r="I1745">
        <v>1288.0676269999999</v>
      </c>
      <c r="J1745">
        <v>1269.0417480000001</v>
      </c>
      <c r="K1745">
        <v>2750</v>
      </c>
      <c r="L1745">
        <v>0</v>
      </c>
      <c r="M1745">
        <v>0</v>
      </c>
      <c r="N1745">
        <v>2750</v>
      </c>
    </row>
    <row r="1746" spans="1:14" x14ac:dyDescent="0.25">
      <c r="A1746">
        <v>1143.701562</v>
      </c>
      <c r="B1746" s="1">
        <f>DATE(2013,6,17) + TIME(16,50,14)</f>
        <v>41442.701550925929</v>
      </c>
      <c r="C1746">
        <v>80</v>
      </c>
      <c r="D1746">
        <v>79.962089539000004</v>
      </c>
      <c r="E1746">
        <v>60</v>
      </c>
      <c r="F1746">
        <v>56.327941895000002</v>
      </c>
      <c r="G1746">
        <v>1389.2004394999999</v>
      </c>
      <c r="H1746">
        <v>1373.4211425999999</v>
      </c>
      <c r="I1746">
        <v>1288.0311279</v>
      </c>
      <c r="J1746">
        <v>1268.9938964999999</v>
      </c>
      <c r="K1746">
        <v>2750</v>
      </c>
      <c r="L1746">
        <v>0</v>
      </c>
      <c r="M1746">
        <v>0</v>
      </c>
      <c r="N1746">
        <v>2750</v>
      </c>
    </row>
    <row r="1747" spans="1:14" x14ac:dyDescent="0.25">
      <c r="A1747">
        <v>1144.684947</v>
      </c>
      <c r="B1747" s="1">
        <f>DATE(2013,6,18) + TIME(16,26,19)</f>
        <v>41443.684942129628</v>
      </c>
      <c r="C1747">
        <v>80</v>
      </c>
      <c r="D1747">
        <v>79.962089539000004</v>
      </c>
      <c r="E1747">
        <v>60</v>
      </c>
      <c r="F1747">
        <v>56.267471313000001</v>
      </c>
      <c r="G1747">
        <v>1389.1425781</v>
      </c>
      <c r="H1747">
        <v>1373.3741454999999</v>
      </c>
      <c r="I1747">
        <v>1287.9931641000001</v>
      </c>
      <c r="J1747">
        <v>1268.9440918</v>
      </c>
      <c r="K1747">
        <v>2750</v>
      </c>
      <c r="L1747">
        <v>0</v>
      </c>
      <c r="M1747">
        <v>0</v>
      </c>
      <c r="N1747">
        <v>2750</v>
      </c>
    </row>
    <row r="1748" spans="1:14" x14ac:dyDescent="0.25">
      <c r="A1748">
        <v>1145.67263</v>
      </c>
      <c r="B1748" s="1">
        <f>DATE(2013,6,19) + TIME(16,8,35)</f>
        <v>41444.672627314816</v>
      </c>
      <c r="C1748">
        <v>80</v>
      </c>
      <c r="D1748">
        <v>79.962089539000004</v>
      </c>
      <c r="E1748">
        <v>60</v>
      </c>
      <c r="F1748">
        <v>56.20671463</v>
      </c>
      <c r="G1748">
        <v>1389.0852050999999</v>
      </c>
      <c r="H1748">
        <v>1373.3273925999999</v>
      </c>
      <c r="I1748">
        <v>1287.9544678</v>
      </c>
      <c r="J1748">
        <v>1268.8930664</v>
      </c>
      <c r="K1748">
        <v>2750</v>
      </c>
      <c r="L1748">
        <v>0</v>
      </c>
      <c r="M1748">
        <v>0</v>
      </c>
      <c r="N1748">
        <v>2750</v>
      </c>
    </row>
    <row r="1749" spans="1:14" x14ac:dyDescent="0.25">
      <c r="A1749">
        <v>1146.6675299999999</v>
      </c>
      <c r="B1749" s="1">
        <f>DATE(2013,6,20) + TIME(16,1,14)</f>
        <v>41445.667523148149</v>
      </c>
      <c r="C1749">
        <v>80</v>
      </c>
      <c r="D1749">
        <v>79.962089539000004</v>
      </c>
      <c r="E1749">
        <v>60</v>
      </c>
      <c r="F1749">
        <v>56.145751953000001</v>
      </c>
      <c r="G1749">
        <v>1389.0284423999999</v>
      </c>
      <c r="H1749">
        <v>1373.2810059000001</v>
      </c>
      <c r="I1749">
        <v>1287.9150391000001</v>
      </c>
      <c r="J1749">
        <v>1268.8409423999999</v>
      </c>
      <c r="K1749">
        <v>2750</v>
      </c>
      <c r="L1749">
        <v>0</v>
      </c>
      <c r="M1749">
        <v>0</v>
      </c>
      <c r="N1749">
        <v>2750</v>
      </c>
    </row>
    <row r="1750" spans="1:14" x14ac:dyDescent="0.25">
      <c r="A1750">
        <v>1147.6725630000001</v>
      </c>
      <c r="B1750" s="1">
        <f>DATE(2013,6,21) + TIME(16,8,29)</f>
        <v>41446.67255787037</v>
      </c>
      <c r="C1750">
        <v>80</v>
      </c>
      <c r="D1750">
        <v>79.962097168</v>
      </c>
      <c r="E1750">
        <v>60</v>
      </c>
      <c r="F1750">
        <v>56.084510803000001</v>
      </c>
      <c r="G1750">
        <v>1388.9720459</v>
      </c>
      <c r="H1750">
        <v>1373.2349853999999</v>
      </c>
      <c r="I1750">
        <v>1287.8747559000001</v>
      </c>
      <c r="J1750">
        <v>1268.7874756000001</v>
      </c>
      <c r="K1750">
        <v>2750</v>
      </c>
      <c r="L1750">
        <v>0</v>
      </c>
      <c r="M1750">
        <v>0</v>
      </c>
      <c r="N1750">
        <v>2750</v>
      </c>
    </row>
    <row r="1751" spans="1:14" x14ac:dyDescent="0.25">
      <c r="A1751">
        <v>1148.690728</v>
      </c>
      <c r="B1751" s="1">
        <f>DATE(2013,6,22) + TIME(16,34,38)</f>
        <v>41447.690717592595</v>
      </c>
      <c r="C1751">
        <v>80</v>
      </c>
      <c r="D1751">
        <v>79.962097168</v>
      </c>
      <c r="E1751">
        <v>60</v>
      </c>
      <c r="F1751">
        <v>56.022857666</v>
      </c>
      <c r="G1751">
        <v>1388.9160156</v>
      </c>
      <c r="H1751">
        <v>1373.1890868999999</v>
      </c>
      <c r="I1751">
        <v>1287.833374</v>
      </c>
      <c r="J1751">
        <v>1268.7324219</v>
      </c>
      <c r="K1751">
        <v>2750</v>
      </c>
      <c r="L1751">
        <v>0</v>
      </c>
      <c r="M1751">
        <v>0</v>
      </c>
      <c r="N1751">
        <v>2750</v>
      </c>
    </row>
    <row r="1752" spans="1:14" x14ac:dyDescent="0.25">
      <c r="A1752">
        <v>1149.72516</v>
      </c>
      <c r="B1752" s="1">
        <f>DATE(2013,6,23) + TIME(17,24,13)</f>
        <v>41448.72515046296</v>
      </c>
      <c r="C1752">
        <v>80</v>
      </c>
      <c r="D1752">
        <v>79.962104796999995</v>
      </c>
      <c r="E1752">
        <v>60</v>
      </c>
      <c r="F1752">
        <v>55.96062088</v>
      </c>
      <c r="G1752">
        <v>1388.8599853999999</v>
      </c>
      <c r="H1752">
        <v>1373.1431885</v>
      </c>
      <c r="I1752">
        <v>1287.7908935999999</v>
      </c>
      <c r="J1752">
        <v>1268.6757812000001</v>
      </c>
      <c r="K1752">
        <v>2750</v>
      </c>
      <c r="L1752">
        <v>0</v>
      </c>
      <c r="M1752">
        <v>0</v>
      </c>
      <c r="N1752">
        <v>2750</v>
      </c>
    </row>
    <row r="1753" spans="1:14" x14ac:dyDescent="0.25">
      <c r="A1753">
        <v>1150.77916</v>
      </c>
      <c r="B1753" s="1">
        <f>DATE(2013,6,24) + TIME(18,41,59)</f>
        <v>41449.77915509259</v>
      </c>
      <c r="C1753">
        <v>80</v>
      </c>
      <c r="D1753">
        <v>79.962104796999995</v>
      </c>
      <c r="E1753">
        <v>60</v>
      </c>
      <c r="F1753">
        <v>55.897613524999997</v>
      </c>
      <c r="G1753">
        <v>1388.8038329999999</v>
      </c>
      <c r="H1753">
        <v>1373.097168</v>
      </c>
      <c r="I1753">
        <v>1287.7470702999999</v>
      </c>
      <c r="J1753">
        <v>1268.6170654</v>
      </c>
      <c r="K1753">
        <v>2750</v>
      </c>
      <c r="L1753">
        <v>0</v>
      </c>
      <c r="M1753">
        <v>0</v>
      </c>
      <c r="N1753">
        <v>2750</v>
      </c>
    </row>
    <row r="1754" spans="1:14" x14ac:dyDescent="0.25">
      <c r="A1754">
        <v>1151.856297</v>
      </c>
      <c r="B1754" s="1">
        <f>DATE(2013,6,25) + TIME(20,33,4)</f>
        <v>41450.856296296297</v>
      </c>
      <c r="C1754">
        <v>80</v>
      </c>
      <c r="D1754">
        <v>79.962112426999994</v>
      </c>
      <c r="E1754">
        <v>60</v>
      </c>
      <c r="F1754">
        <v>55.833637238000001</v>
      </c>
      <c r="G1754">
        <v>1388.7474365</v>
      </c>
      <c r="H1754">
        <v>1373.0509033000001</v>
      </c>
      <c r="I1754">
        <v>1287.7017822</v>
      </c>
      <c r="J1754">
        <v>1268.5562743999999</v>
      </c>
      <c r="K1754">
        <v>2750</v>
      </c>
      <c r="L1754">
        <v>0</v>
      </c>
      <c r="M1754">
        <v>0</v>
      </c>
      <c r="N1754">
        <v>2750</v>
      </c>
    </row>
    <row r="1755" spans="1:14" x14ac:dyDescent="0.25">
      <c r="A1755">
        <v>1152.961188</v>
      </c>
      <c r="B1755" s="1">
        <f>DATE(2013,6,26) + TIME(23,4,6)</f>
        <v>41451.961180555554</v>
      </c>
      <c r="C1755">
        <v>80</v>
      </c>
      <c r="D1755">
        <v>79.962120056000003</v>
      </c>
      <c r="E1755">
        <v>60</v>
      </c>
      <c r="F1755">
        <v>55.768459319999998</v>
      </c>
      <c r="G1755">
        <v>1388.6906738</v>
      </c>
      <c r="H1755">
        <v>1373.0042725000001</v>
      </c>
      <c r="I1755">
        <v>1287.6547852000001</v>
      </c>
      <c r="J1755">
        <v>1268.4929199000001</v>
      </c>
      <c r="K1755">
        <v>2750</v>
      </c>
      <c r="L1755">
        <v>0</v>
      </c>
      <c r="M1755">
        <v>0</v>
      </c>
      <c r="N1755">
        <v>2750</v>
      </c>
    </row>
    <row r="1756" spans="1:14" x14ac:dyDescent="0.25">
      <c r="A1756">
        <v>1154.0848840000001</v>
      </c>
      <c r="B1756" s="1">
        <f>DATE(2013,6,28) + TIME(2,2,14)</f>
        <v>41453.08488425926</v>
      </c>
      <c r="C1756">
        <v>80</v>
      </c>
      <c r="D1756">
        <v>79.962127686000002</v>
      </c>
      <c r="E1756">
        <v>60</v>
      </c>
      <c r="F1756">
        <v>55.702136993000003</v>
      </c>
      <c r="G1756">
        <v>1388.6333007999999</v>
      </c>
      <c r="H1756">
        <v>1372.9570312000001</v>
      </c>
      <c r="I1756">
        <v>1287.6058350000001</v>
      </c>
      <c r="J1756">
        <v>1268.4267577999999</v>
      </c>
      <c r="K1756">
        <v>2750</v>
      </c>
      <c r="L1756">
        <v>0</v>
      </c>
      <c r="M1756">
        <v>0</v>
      </c>
      <c r="N1756">
        <v>2750</v>
      </c>
    </row>
    <row r="1757" spans="1:14" x14ac:dyDescent="0.25">
      <c r="A1757">
        <v>1155.2101970000001</v>
      </c>
      <c r="B1757" s="1">
        <f>DATE(2013,6,29) + TIME(5,2,40)</f>
        <v>41454.210185185184</v>
      </c>
      <c r="C1757">
        <v>80</v>
      </c>
      <c r="D1757">
        <v>79.962135314999998</v>
      </c>
      <c r="E1757">
        <v>60</v>
      </c>
      <c r="F1757">
        <v>55.635204315000003</v>
      </c>
      <c r="G1757">
        <v>1388.5756836</v>
      </c>
      <c r="H1757">
        <v>1372.9095459</v>
      </c>
      <c r="I1757">
        <v>1287.5551757999999</v>
      </c>
      <c r="J1757">
        <v>1268.3582764</v>
      </c>
      <c r="K1757">
        <v>2750</v>
      </c>
      <c r="L1757">
        <v>0</v>
      </c>
      <c r="M1757">
        <v>0</v>
      </c>
      <c r="N1757">
        <v>2750</v>
      </c>
    </row>
    <row r="1758" spans="1:14" x14ac:dyDescent="0.25">
      <c r="A1758">
        <v>1156.3404849999999</v>
      </c>
      <c r="B1758" s="1">
        <f>DATE(2013,6,30) + TIME(8,10,17)</f>
        <v>41455.340474537035</v>
      </c>
      <c r="C1758">
        <v>80</v>
      </c>
      <c r="D1758">
        <v>79.962142943999993</v>
      </c>
      <c r="E1758">
        <v>60</v>
      </c>
      <c r="F1758">
        <v>55.567985534999998</v>
      </c>
      <c r="G1758">
        <v>1388.5187988</v>
      </c>
      <c r="H1758">
        <v>1372.8625488</v>
      </c>
      <c r="I1758">
        <v>1287.5036620999999</v>
      </c>
      <c r="J1758">
        <v>1268.2882079999999</v>
      </c>
      <c r="K1758">
        <v>2750</v>
      </c>
      <c r="L1758">
        <v>0</v>
      </c>
      <c r="M1758">
        <v>0</v>
      </c>
      <c r="N1758">
        <v>2750</v>
      </c>
    </row>
    <row r="1759" spans="1:14" x14ac:dyDescent="0.25">
      <c r="A1759">
        <v>1157</v>
      </c>
      <c r="B1759" s="1">
        <f>DATE(2013,7,1) + TIME(0,0,0)</f>
        <v>41456</v>
      </c>
      <c r="C1759">
        <v>80</v>
      </c>
      <c r="D1759">
        <v>79.962135314999998</v>
      </c>
      <c r="E1759">
        <v>60</v>
      </c>
      <c r="F1759">
        <v>55.515701294000003</v>
      </c>
      <c r="G1759">
        <v>1388.4624022999999</v>
      </c>
      <c r="H1759">
        <v>1372.8160399999999</v>
      </c>
      <c r="I1759">
        <v>1287.4508057</v>
      </c>
      <c r="J1759">
        <v>1268.2200928</v>
      </c>
      <c r="K1759">
        <v>2750</v>
      </c>
      <c r="L1759">
        <v>0</v>
      </c>
      <c r="M1759">
        <v>0</v>
      </c>
      <c r="N1759">
        <v>2750</v>
      </c>
    </row>
    <row r="1760" spans="1:14" x14ac:dyDescent="0.25">
      <c r="A1760">
        <v>1158.138618</v>
      </c>
      <c r="B1760" s="1">
        <f>DATE(2013,7,2) + TIME(3,19,36)</f>
        <v>41457.138611111113</v>
      </c>
      <c r="C1760">
        <v>80</v>
      </c>
      <c r="D1760">
        <v>79.962150574000006</v>
      </c>
      <c r="E1760">
        <v>60</v>
      </c>
      <c r="F1760">
        <v>55.456012725999997</v>
      </c>
      <c r="G1760">
        <v>1388.4298096</v>
      </c>
      <c r="H1760">
        <v>1372.7889404</v>
      </c>
      <c r="I1760">
        <v>1287.4191894999999</v>
      </c>
      <c r="J1760">
        <v>1268.1713867000001</v>
      </c>
      <c r="K1760">
        <v>2750</v>
      </c>
      <c r="L1760">
        <v>0</v>
      </c>
      <c r="M1760">
        <v>0</v>
      </c>
      <c r="N1760">
        <v>2750</v>
      </c>
    </row>
    <row r="1761" spans="1:14" x14ac:dyDescent="0.25">
      <c r="A1761">
        <v>1159.2976819999999</v>
      </c>
      <c r="B1761" s="1">
        <f>DATE(2013,7,3) + TIME(7,8,39)</f>
        <v>41458.297673611109</v>
      </c>
      <c r="C1761">
        <v>80</v>
      </c>
      <c r="D1761">
        <v>79.962158203000001</v>
      </c>
      <c r="E1761">
        <v>60</v>
      </c>
      <c r="F1761">
        <v>55.391082763999997</v>
      </c>
      <c r="G1761">
        <v>1388.3743896000001</v>
      </c>
      <c r="H1761">
        <v>1372.7431641000001</v>
      </c>
      <c r="I1761">
        <v>1287.3653564000001</v>
      </c>
      <c r="J1761">
        <v>1268.0982666</v>
      </c>
      <c r="K1761">
        <v>2750</v>
      </c>
      <c r="L1761">
        <v>0</v>
      </c>
      <c r="M1761">
        <v>0</v>
      </c>
      <c r="N1761">
        <v>2750</v>
      </c>
    </row>
    <row r="1762" spans="1:14" x14ac:dyDescent="0.25">
      <c r="A1762">
        <v>1160.4739279999999</v>
      </c>
      <c r="B1762" s="1">
        <f>DATE(2013,7,4) + TIME(11,22,27)</f>
        <v>41459.473923611113</v>
      </c>
      <c r="C1762">
        <v>80</v>
      </c>
      <c r="D1762">
        <v>79.962165833</v>
      </c>
      <c r="E1762">
        <v>60</v>
      </c>
      <c r="F1762">
        <v>55.323459624999998</v>
      </c>
      <c r="G1762">
        <v>1388.3186035000001</v>
      </c>
      <c r="H1762">
        <v>1372.6968993999999</v>
      </c>
      <c r="I1762">
        <v>1287.3092041</v>
      </c>
      <c r="J1762">
        <v>1268.0213623</v>
      </c>
      <c r="K1762">
        <v>2750</v>
      </c>
      <c r="L1762">
        <v>0</v>
      </c>
      <c r="M1762">
        <v>0</v>
      </c>
      <c r="N1762">
        <v>2750</v>
      </c>
    </row>
    <row r="1763" spans="1:14" x14ac:dyDescent="0.25">
      <c r="A1763">
        <v>1161.6712050000001</v>
      </c>
      <c r="B1763" s="1">
        <f>DATE(2013,7,5) + TIME(16,6,32)</f>
        <v>41460.671203703707</v>
      </c>
      <c r="C1763">
        <v>80</v>
      </c>
      <c r="D1763">
        <v>79.962181091000005</v>
      </c>
      <c r="E1763">
        <v>60</v>
      </c>
      <c r="F1763">
        <v>55.254123688</v>
      </c>
      <c r="G1763">
        <v>1388.2628173999999</v>
      </c>
      <c r="H1763">
        <v>1372.6505127</v>
      </c>
      <c r="I1763">
        <v>1287.2513428</v>
      </c>
      <c r="J1763">
        <v>1267.9416504000001</v>
      </c>
      <c r="K1763">
        <v>2750</v>
      </c>
      <c r="L1763">
        <v>0</v>
      </c>
      <c r="M1763">
        <v>0</v>
      </c>
      <c r="N1763">
        <v>2750</v>
      </c>
    </row>
    <row r="1764" spans="1:14" x14ac:dyDescent="0.25">
      <c r="A1764">
        <v>1162.893556</v>
      </c>
      <c r="B1764" s="1">
        <f>DATE(2013,7,6) + TIME(21,26,43)</f>
        <v>41461.893553240741</v>
      </c>
      <c r="C1764">
        <v>80</v>
      </c>
      <c r="D1764">
        <v>79.962188721000004</v>
      </c>
      <c r="E1764">
        <v>60</v>
      </c>
      <c r="F1764">
        <v>55.183315276999998</v>
      </c>
      <c r="G1764">
        <v>1388.2066649999999</v>
      </c>
      <c r="H1764">
        <v>1372.6038818</v>
      </c>
      <c r="I1764">
        <v>1287.1915283000001</v>
      </c>
      <c r="J1764">
        <v>1267.8586425999999</v>
      </c>
      <c r="K1764">
        <v>2750</v>
      </c>
      <c r="L1764">
        <v>0</v>
      </c>
      <c r="M1764">
        <v>0</v>
      </c>
      <c r="N1764">
        <v>2750</v>
      </c>
    </row>
    <row r="1765" spans="1:14" x14ac:dyDescent="0.25">
      <c r="A1765">
        <v>1164.138733</v>
      </c>
      <c r="B1765" s="1">
        <f>DATE(2013,7,8) + TIME(3,19,46)</f>
        <v>41463.138726851852</v>
      </c>
      <c r="C1765">
        <v>80</v>
      </c>
      <c r="D1765">
        <v>79.962196349999999</v>
      </c>
      <c r="E1765">
        <v>60</v>
      </c>
      <c r="F1765">
        <v>55.111122131000002</v>
      </c>
      <c r="G1765">
        <v>1388.1501464999999</v>
      </c>
      <c r="H1765">
        <v>1372.5567627</v>
      </c>
      <c r="I1765">
        <v>1287.1293945</v>
      </c>
      <c r="J1765">
        <v>1267.7723389</v>
      </c>
      <c r="K1765">
        <v>2750</v>
      </c>
      <c r="L1765">
        <v>0</v>
      </c>
      <c r="M1765">
        <v>0</v>
      </c>
      <c r="N1765">
        <v>2750</v>
      </c>
    </row>
    <row r="1766" spans="1:14" x14ac:dyDescent="0.25">
      <c r="A1766">
        <v>1165.4040210000001</v>
      </c>
      <c r="B1766" s="1">
        <f>DATE(2013,7,9) + TIME(9,41,47)</f>
        <v>41464.404016203705</v>
      </c>
      <c r="C1766">
        <v>80</v>
      </c>
      <c r="D1766">
        <v>79.962211608999993</v>
      </c>
      <c r="E1766">
        <v>60</v>
      </c>
      <c r="F1766">
        <v>55.037658690999997</v>
      </c>
      <c r="G1766">
        <v>1388.0932617000001</v>
      </c>
      <c r="H1766">
        <v>1372.5093993999999</v>
      </c>
      <c r="I1766">
        <v>1287.0650635</v>
      </c>
      <c r="J1766">
        <v>1267.6826172000001</v>
      </c>
      <c r="K1766">
        <v>2750</v>
      </c>
      <c r="L1766">
        <v>0</v>
      </c>
      <c r="M1766">
        <v>0</v>
      </c>
      <c r="N1766">
        <v>2750</v>
      </c>
    </row>
    <row r="1767" spans="1:14" x14ac:dyDescent="0.25">
      <c r="A1767">
        <v>1166.6875600000001</v>
      </c>
      <c r="B1767" s="1">
        <f>DATE(2013,7,10) + TIME(16,30,5)</f>
        <v>41465.687557870369</v>
      </c>
      <c r="C1767">
        <v>80</v>
      </c>
      <c r="D1767">
        <v>79.962219238000003</v>
      </c>
      <c r="E1767">
        <v>60</v>
      </c>
      <c r="F1767">
        <v>54.963035583</v>
      </c>
      <c r="G1767">
        <v>1388.0362548999999</v>
      </c>
      <c r="H1767">
        <v>1372.4617920000001</v>
      </c>
      <c r="I1767">
        <v>1286.9986572</v>
      </c>
      <c r="J1767">
        <v>1267.5897216999999</v>
      </c>
      <c r="K1767">
        <v>2750</v>
      </c>
      <c r="L1767">
        <v>0</v>
      </c>
      <c r="M1767">
        <v>0</v>
      </c>
      <c r="N1767">
        <v>2750</v>
      </c>
    </row>
    <row r="1768" spans="1:14" x14ac:dyDescent="0.25">
      <c r="A1768">
        <v>1167.9761109999999</v>
      </c>
      <c r="B1768" s="1">
        <f>DATE(2013,7,11) + TIME(23,25,36)</f>
        <v>41466.976111111115</v>
      </c>
      <c r="C1768">
        <v>80</v>
      </c>
      <c r="D1768">
        <v>79.962234496999997</v>
      </c>
      <c r="E1768">
        <v>60</v>
      </c>
      <c r="F1768">
        <v>54.887599944999998</v>
      </c>
      <c r="G1768">
        <v>1387.979126</v>
      </c>
      <c r="H1768">
        <v>1372.4140625</v>
      </c>
      <c r="I1768">
        <v>1286.9301757999999</v>
      </c>
      <c r="J1768">
        <v>1267.4936522999999</v>
      </c>
      <c r="K1768">
        <v>2750</v>
      </c>
      <c r="L1768">
        <v>0</v>
      </c>
      <c r="M1768">
        <v>0</v>
      </c>
      <c r="N1768">
        <v>2750</v>
      </c>
    </row>
    <row r="1769" spans="1:14" x14ac:dyDescent="0.25">
      <c r="A1769">
        <v>1169.273567</v>
      </c>
      <c r="B1769" s="1">
        <f>DATE(2013,7,13) + TIME(6,33,56)</f>
        <v>41468.273564814815</v>
      </c>
      <c r="C1769">
        <v>80</v>
      </c>
      <c r="D1769">
        <v>79.962249756000006</v>
      </c>
      <c r="E1769">
        <v>60</v>
      </c>
      <c r="F1769">
        <v>54.811580657999997</v>
      </c>
      <c r="G1769">
        <v>1387.9226074000001</v>
      </c>
      <c r="H1769">
        <v>1372.3666992000001</v>
      </c>
      <c r="I1769">
        <v>1286.8602295000001</v>
      </c>
      <c r="J1769">
        <v>1267.3952637</v>
      </c>
      <c r="K1769">
        <v>2750</v>
      </c>
      <c r="L1769">
        <v>0</v>
      </c>
      <c r="M1769">
        <v>0</v>
      </c>
      <c r="N1769">
        <v>2750</v>
      </c>
    </row>
    <row r="1770" spans="1:14" x14ac:dyDescent="0.25">
      <c r="A1770">
        <v>1170.583834</v>
      </c>
      <c r="B1770" s="1">
        <f>DATE(2013,7,14) + TIME(14,0,43)</f>
        <v>41469.583831018521</v>
      </c>
      <c r="C1770">
        <v>80</v>
      </c>
      <c r="D1770">
        <v>79.962257385000001</v>
      </c>
      <c r="E1770">
        <v>60</v>
      </c>
      <c r="F1770">
        <v>54.734912872000002</v>
      </c>
      <c r="G1770">
        <v>1387.8663329999999</v>
      </c>
      <c r="H1770">
        <v>1372.3195800999999</v>
      </c>
      <c r="I1770">
        <v>1286.7888184000001</v>
      </c>
      <c r="J1770">
        <v>1267.2941894999999</v>
      </c>
      <c r="K1770">
        <v>2750</v>
      </c>
      <c r="L1770">
        <v>0</v>
      </c>
      <c r="M1770">
        <v>0</v>
      </c>
      <c r="N1770">
        <v>2750</v>
      </c>
    </row>
    <row r="1771" spans="1:14" x14ac:dyDescent="0.25">
      <c r="A1771">
        <v>1171.9109370000001</v>
      </c>
      <c r="B1771" s="1">
        <f>DATE(2013,7,15) + TIME(21,51,44)</f>
        <v>41470.910925925928</v>
      </c>
      <c r="C1771">
        <v>80</v>
      </c>
      <c r="D1771">
        <v>79.962272643999995</v>
      </c>
      <c r="E1771">
        <v>60</v>
      </c>
      <c r="F1771">
        <v>54.657413482999999</v>
      </c>
      <c r="G1771">
        <v>1387.8101807</v>
      </c>
      <c r="H1771">
        <v>1372.2724608999999</v>
      </c>
      <c r="I1771">
        <v>1286.7154541</v>
      </c>
      <c r="J1771">
        <v>1267.1901855000001</v>
      </c>
      <c r="K1771">
        <v>2750</v>
      </c>
      <c r="L1771">
        <v>0</v>
      </c>
      <c r="M1771">
        <v>0</v>
      </c>
      <c r="N1771">
        <v>2750</v>
      </c>
    </row>
    <row r="1772" spans="1:14" x14ac:dyDescent="0.25">
      <c r="A1772">
        <v>1173.2590990000001</v>
      </c>
      <c r="B1772" s="1">
        <f>DATE(2013,7,17) + TIME(6,13,6)</f>
        <v>41472.259097222224</v>
      </c>
      <c r="C1772">
        <v>80</v>
      </c>
      <c r="D1772">
        <v>79.962287903000004</v>
      </c>
      <c r="E1772">
        <v>60</v>
      </c>
      <c r="F1772">
        <v>54.578842162999997</v>
      </c>
      <c r="G1772">
        <v>1387.7541504000001</v>
      </c>
      <c r="H1772">
        <v>1372.2253418</v>
      </c>
      <c r="I1772">
        <v>1286.6400146000001</v>
      </c>
      <c r="J1772">
        <v>1267.0827637</v>
      </c>
      <c r="K1772">
        <v>2750</v>
      </c>
      <c r="L1772">
        <v>0</v>
      </c>
      <c r="M1772">
        <v>0</v>
      </c>
      <c r="N1772">
        <v>2750</v>
      </c>
    </row>
    <row r="1773" spans="1:14" x14ac:dyDescent="0.25">
      <c r="A1773">
        <v>1174.622521</v>
      </c>
      <c r="B1773" s="1">
        <f>DATE(2013,7,18) + TIME(14,56,25)</f>
        <v>41473.622511574074</v>
      </c>
      <c r="C1773">
        <v>80</v>
      </c>
      <c r="D1773">
        <v>79.962303161999998</v>
      </c>
      <c r="E1773">
        <v>60</v>
      </c>
      <c r="F1773">
        <v>54.499153137</v>
      </c>
      <c r="G1773">
        <v>1387.6977539</v>
      </c>
      <c r="H1773">
        <v>1372.1779785000001</v>
      </c>
      <c r="I1773">
        <v>1286.5622559000001</v>
      </c>
      <c r="J1773">
        <v>1266.9718018000001</v>
      </c>
      <c r="K1773">
        <v>2750</v>
      </c>
      <c r="L1773">
        <v>0</v>
      </c>
      <c r="M1773">
        <v>0</v>
      </c>
      <c r="N1773">
        <v>2750</v>
      </c>
    </row>
    <row r="1774" spans="1:14" x14ac:dyDescent="0.25">
      <c r="A1774">
        <v>1176.003011</v>
      </c>
      <c r="B1774" s="1">
        <f>DATE(2013,7,20) + TIME(0,4,20)</f>
        <v>41475.003009259257</v>
      </c>
      <c r="C1774">
        <v>80</v>
      </c>
      <c r="D1774">
        <v>79.962318420000003</v>
      </c>
      <c r="E1774">
        <v>60</v>
      </c>
      <c r="F1774">
        <v>54.418373107999997</v>
      </c>
      <c r="G1774">
        <v>1387.6416016000001</v>
      </c>
      <c r="H1774">
        <v>1372.1304932</v>
      </c>
      <c r="I1774">
        <v>1286.4825439000001</v>
      </c>
      <c r="J1774">
        <v>1266.8575439000001</v>
      </c>
      <c r="K1774">
        <v>2750</v>
      </c>
      <c r="L1774">
        <v>0</v>
      </c>
      <c r="M1774">
        <v>0</v>
      </c>
      <c r="N1774">
        <v>2750</v>
      </c>
    </row>
    <row r="1775" spans="1:14" x14ac:dyDescent="0.25">
      <c r="A1775">
        <v>1177.4046559999999</v>
      </c>
      <c r="B1775" s="1">
        <f>DATE(2013,7,21) + TIME(9,42,42)</f>
        <v>41476.404652777775</v>
      </c>
      <c r="C1775">
        <v>80</v>
      </c>
      <c r="D1775">
        <v>79.962333678999997</v>
      </c>
      <c r="E1775">
        <v>60</v>
      </c>
      <c r="F1775">
        <v>54.336383820000002</v>
      </c>
      <c r="G1775">
        <v>1387.5853271000001</v>
      </c>
      <c r="H1775">
        <v>1372.0830077999999</v>
      </c>
      <c r="I1775">
        <v>1286.4005127</v>
      </c>
      <c r="J1775">
        <v>1266.739624</v>
      </c>
      <c r="K1775">
        <v>2750</v>
      </c>
      <c r="L1775">
        <v>0</v>
      </c>
      <c r="M1775">
        <v>0</v>
      </c>
      <c r="N1775">
        <v>2750</v>
      </c>
    </row>
    <row r="1776" spans="1:14" x14ac:dyDescent="0.25">
      <c r="A1776">
        <v>1178.8317730000001</v>
      </c>
      <c r="B1776" s="1">
        <f>DATE(2013,7,22) + TIME(19,57,45)</f>
        <v>41477.831770833334</v>
      </c>
      <c r="C1776">
        <v>80</v>
      </c>
      <c r="D1776">
        <v>79.962348938000005</v>
      </c>
      <c r="E1776">
        <v>60</v>
      </c>
      <c r="F1776">
        <v>54.252967834000003</v>
      </c>
      <c r="G1776">
        <v>1387.5288086</v>
      </c>
      <c r="H1776">
        <v>1372.0352783000001</v>
      </c>
      <c r="I1776">
        <v>1286.315918</v>
      </c>
      <c r="J1776">
        <v>1266.6176757999999</v>
      </c>
      <c r="K1776">
        <v>2750</v>
      </c>
      <c r="L1776">
        <v>0</v>
      </c>
      <c r="M1776">
        <v>0</v>
      </c>
      <c r="N1776">
        <v>2750</v>
      </c>
    </row>
    <row r="1777" spans="1:14" x14ac:dyDescent="0.25">
      <c r="A1777">
        <v>1180.289033</v>
      </c>
      <c r="B1777" s="1">
        <f>DATE(2013,7,24) + TIME(6,56,12)</f>
        <v>41479.289027777777</v>
      </c>
      <c r="C1777">
        <v>80</v>
      </c>
      <c r="D1777">
        <v>79.962364196999999</v>
      </c>
      <c r="E1777">
        <v>60</v>
      </c>
      <c r="F1777">
        <v>54.167858123999999</v>
      </c>
      <c r="G1777">
        <v>1387.4720459</v>
      </c>
      <c r="H1777">
        <v>1371.9873047000001</v>
      </c>
      <c r="I1777">
        <v>1286.2287598</v>
      </c>
      <c r="J1777">
        <v>1266.4914550999999</v>
      </c>
      <c r="K1777">
        <v>2750</v>
      </c>
      <c r="L1777">
        <v>0</v>
      </c>
      <c r="M1777">
        <v>0</v>
      </c>
      <c r="N1777">
        <v>2750</v>
      </c>
    </row>
    <row r="1778" spans="1:14" x14ac:dyDescent="0.25">
      <c r="A1778">
        <v>1181.7580720000001</v>
      </c>
      <c r="B1778" s="1">
        <f>DATE(2013,7,25) + TIME(18,11,37)</f>
        <v>41480.758067129631</v>
      </c>
      <c r="C1778">
        <v>80</v>
      </c>
      <c r="D1778">
        <v>79.962379455999994</v>
      </c>
      <c r="E1778">
        <v>60</v>
      </c>
      <c r="F1778">
        <v>54.081226348999998</v>
      </c>
      <c r="G1778">
        <v>1387.4147949000001</v>
      </c>
      <c r="H1778">
        <v>1371.9387207</v>
      </c>
      <c r="I1778">
        <v>1286.1384277</v>
      </c>
      <c r="J1778">
        <v>1266.3604736</v>
      </c>
      <c r="K1778">
        <v>2750</v>
      </c>
      <c r="L1778">
        <v>0</v>
      </c>
      <c r="M1778">
        <v>0</v>
      </c>
      <c r="N1778">
        <v>2750</v>
      </c>
    </row>
    <row r="1779" spans="1:14" x14ac:dyDescent="0.25">
      <c r="A1779">
        <v>1183.239642</v>
      </c>
      <c r="B1779" s="1">
        <f>DATE(2013,7,27) + TIME(5,45,5)</f>
        <v>41482.239641203705</v>
      </c>
      <c r="C1779">
        <v>80</v>
      </c>
      <c r="D1779">
        <v>79.962402343999997</v>
      </c>
      <c r="E1779">
        <v>60</v>
      </c>
      <c r="F1779">
        <v>53.993453979000002</v>
      </c>
      <c r="G1779">
        <v>1387.3576660000001</v>
      </c>
      <c r="H1779">
        <v>1371.8902588000001</v>
      </c>
      <c r="I1779">
        <v>1286.0460204999999</v>
      </c>
      <c r="J1779">
        <v>1266.2260742000001</v>
      </c>
      <c r="K1779">
        <v>2750</v>
      </c>
      <c r="L1779">
        <v>0</v>
      </c>
      <c r="M1779">
        <v>0</v>
      </c>
      <c r="N1779">
        <v>2750</v>
      </c>
    </row>
    <row r="1780" spans="1:14" x14ac:dyDescent="0.25">
      <c r="A1780">
        <v>1184.7358200000001</v>
      </c>
      <c r="B1780" s="1">
        <f>DATE(2013,7,28) + TIME(17,39,34)</f>
        <v>41483.735810185186</v>
      </c>
      <c r="C1780">
        <v>80</v>
      </c>
      <c r="D1780">
        <v>79.962417603000006</v>
      </c>
      <c r="E1780">
        <v>60</v>
      </c>
      <c r="F1780">
        <v>53.904594420999999</v>
      </c>
      <c r="G1780">
        <v>1387.3007812000001</v>
      </c>
      <c r="H1780">
        <v>1371.8417969</v>
      </c>
      <c r="I1780">
        <v>1285.9515381000001</v>
      </c>
      <c r="J1780">
        <v>1266.0880127</v>
      </c>
      <c r="K1780">
        <v>2750</v>
      </c>
      <c r="L1780">
        <v>0</v>
      </c>
      <c r="M1780">
        <v>0</v>
      </c>
      <c r="N1780">
        <v>2750</v>
      </c>
    </row>
    <row r="1781" spans="1:14" x14ac:dyDescent="0.25">
      <c r="A1781">
        <v>1186.241417</v>
      </c>
      <c r="B1781" s="1">
        <f>DATE(2013,7,30) + TIME(5,47,38)</f>
        <v>41485.241412037038</v>
      </c>
      <c r="C1781">
        <v>80</v>
      </c>
      <c r="D1781">
        <v>79.962432860999996</v>
      </c>
      <c r="E1781">
        <v>60</v>
      </c>
      <c r="F1781">
        <v>53.814727783000002</v>
      </c>
      <c r="G1781">
        <v>1387.2440185999999</v>
      </c>
      <c r="H1781">
        <v>1371.793457</v>
      </c>
      <c r="I1781">
        <v>1285.8549805</v>
      </c>
      <c r="J1781">
        <v>1265.9464111</v>
      </c>
      <c r="K1781">
        <v>2750</v>
      </c>
      <c r="L1781">
        <v>0</v>
      </c>
      <c r="M1781">
        <v>0</v>
      </c>
      <c r="N1781">
        <v>2750</v>
      </c>
    </row>
    <row r="1782" spans="1:14" x14ac:dyDescent="0.25">
      <c r="A1782">
        <v>1187.7606860000001</v>
      </c>
      <c r="B1782" s="1">
        <f>DATE(2013,7,31) + TIME(18,15,23)</f>
        <v>41486.760682870372</v>
      </c>
      <c r="C1782">
        <v>80</v>
      </c>
      <c r="D1782">
        <v>79.962455750000004</v>
      </c>
      <c r="E1782">
        <v>60</v>
      </c>
      <c r="F1782">
        <v>53.723884583</v>
      </c>
      <c r="G1782">
        <v>1387.1875</v>
      </c>
      <c r="H1782">
        <v>1371.7452393000001</v>
      </c>
      <c r="I1782">
        <v>1285.7564697</v>
      </c>
      <c r="J1782">
        <v>1265.8015137</v>
      </c>
      <c r="K1782">
        <v>2750</v>
      </c>
      <c r="L1782">
        <v>0</v>
      </c>
      <c r="M1782">
        <v>0</v>
      </c>
      <c r="N1782">
        <v>2750</v>
      </c>
    </row>
    <row r="1783" spans="1:14" x14ac:dyDescent="0.25">
      <c r="A1783">
        <v>1188</v>
      </c>
      <c r="B1783" s="1">
        <f>DATE(2013,8,1) + TIME(0,0,0)</f>
        <v>41487</v>
      </c>
      <c r="C1783">
        <v>80</v>
      </c>
      <c r="D1783">
        <v>79.962448120000005</v>
      </c>
      <c r="E1783">
        <v>60</v>
      </c>
      <c r="F1783">
        <v>53.690845490000001</v>
      </c>
      <c r="G1783">
        <v>1387.1325684000001</v>
      </c>
      <c r="H1783">
        <v>1371.6984863</v>
      </c>
      <c r="I1783">
        <v>1285.6628418</v>
      </c>
      <c r="J1783">
        <v>1265.6817627</v>
      </c>
      <c r="K1783">
        <v>2750</v>
      </c>
      <c r="L1783">
        <v>0</v>
      </c>
      <c r="M1783">
        <v>0</v>
      </c>
      <c r="N1783">
        <v>2750</v>
      </c>
    </row>
    <row r="1784" spans="1:14" x14ac:dyDescent="0.25">
      <c r="A1784">
        <v>1189.5372990000001</v>
      </c>
      <c r="B1784" s="1">
        <f>DATE(2013,8,2) + TIME(12,53,42)</f>
        <v>41488.537291666667</v>
      </c>
      <c r="C1784">
        <v>80</v>
      </c>
      <c r="D1784">
        <v>79.962478637999993</v>
      </c>
      <c r="E1784">
        <v>60</v>
      </c>
      <c r="F1784">
        <v>53.611255645999996</v>
      </c>
      <c r="G1784">
        <v>1387.1220702999999</v>
      </c>
      <c r="H1784">
        <v>1371.6893310999999</v>
      </c>
      <c r="I1784">
        <v>1285.6374512</v>
      </c>
      <c r="J1784">
        <v>1265.6237793</v>
      </c>
      <c r="K1784">
        <v>2750</v>
      </c>
      <c r="L1784">
        <v>0</v>
      </c>
      <c r="M1784">
        <v>0</v>
      </c>
      <c r="N1784">
        <v>2750</v>
      </c>
    </row>
    <row r="1785" spans="1:14" x14ac:dyDescent="0.25">
      <c r="A1785">
        <v>1191.1013620000001</v>
      </c>
      <c r="B1785" s="1">
        <f>DATE(2013,8,4) + TIME(2,25,57)</f>
        <v>41490.101354166669</v>
      </c>
      <c r="C1785">
        <v>80</v>
      </c>
      <c r="D1785">
        <v>79.962493895999998</v>
      </c>
      <c r="E1785">
        <v>60</v>
      </c>
      <c r="F1785">
        <v>53.521862030000001</v>
      </c>
      <c r="G1785">
        <v>1387.0660399999999</v>
      </c>
      <c r="H1785">
        <v>1371.6414795000001</v>
      </c>
      <c r="I1785">
        <v>1285.5358887</v>
      </c>
      <c r="J1785">
        <v>1265.4748535000001</v>
      </c>
      <c r="K1785">
        <v>2750</v>
      </c>
      <c r="L1785">
        <v>0</v>
      </c>
      <c r="M1785">
        <v>0</v>
      </c>
      <c r="N1785">
        <v>2750</v>
      </c>
    </row>
    <row r="1786" spans="1:14" x14ac:dyDescent="0.25">
      <c r="A1786">
        <v>1192.6935410000001</v>
      </c>
      <c r="B1786" s="1">
        <f>DATE(2013,8,5) + TIME(16,38,41)</f>
        <v>41491.693530092591</v>
      </c>
      <c r="C1786">
        <v>80</v>
      </c>
      <c r="D1786">
        <v>79.962516785000005</v>
      </c>
      <c r="E1786">
        <v>60</v>
      </c>
      <c r="F1786">
        <v>53.427917479999998</v>
      </c>
      <c r="G1786">
        <v>1387.0093993999999</v>
      </c>
      <c r="H1786">
        <v>1371.5928954999999</v>
      </c>
      <c r="I1786">
        <v>1285.4302978999999</v>
      </c>
      <c r="J1786">
        <v>1265.3183594</v>
      </c>
      <c r="K1786">
        <v>2750</v>
      </c>
      <c r="L1786">
        <v>0</v>
      </c>
      <c r="M1786">
        <v>0</v>
      </c>
      <c r="N1786">
        <v>2750</v>
      </c>
    </row>
    <row r="1787" spans="1:14" x14ac:dyDescent="0.25">
      <c r="A1787">
        <v>1194.319199</v>
      </c>
      <c r="B1787" s="1">
        <f>DATE(2013,8,7) + TIME(7,39,38)</f>
        <v>41493.319189814814</v>
      </c>
      <c r="C1787">
        <v>80</v>
      </c>
      <c r="D1787">
        <v>79.962539672999995</v>
      </c>
      <c r="E1787">
        <v>60</v>
      </c>
      <c r="F1787">
        <v>53.331027984999999</v>
      </c>
      <c r="G1787">
        <v>1386.9523925999999</v>
      </c>
      <c r="H1787">
        <v>1371.5439452999999</v>
      </c>
      <c r="I1787">
        <v>1285.3212891000001</v>
      </c>
      <c r="J1787">
        <v>1265.1560059000001</v>
      </c>
      <c r="K1787">
        <v>2750</v>
      </c>
      <c r="L1787">
        <v>0</v>
      </c>
      <c r="M1787">
        <v>0</v>
      </c>
      <c r="N1787">
        <v>2750</v>
      </c>
    </row>
    <row r="1788" spans="1:14" x14ac:dyDescent="0.25">
      <c r="A1788">
        <v>1195.982604</v>
      </c>
      <c r="B1788" s="1">
        <f>DATE(2013,8,8) + TIME(23,34,56)</f>
        <v>41494.982592592591</v>
      </c>
      <c r="C1788">
        <v>80</v>
      </c>
      <c r="D1788">
        <v>79.962562560999999</v>
      </c>
      <c r="E1788">
        <v>60</v>
      </c>
      <c r="F1788">
        <v>53.231521606000001</v>
      </c>
      <c r="G1788">
        <v>1386.8947754000001</v>
      </c>
      <c r="H1788">
        <v>1371.4943848</v>
      </c>
      <c r="I1788">
        <v>1285.2088623</v>
      </c>
      <c r="J1788">
        <v>1264.987793</v>
      </c>
      <c r="K1788">
        <v>2750</v>
      </c>
      <c r="L1788">
        <v>0</v>
      </c>
      <c r="M1788">
        <v>0</v>
      </c>
      <c r="N1788">
        <v>2750</v>
      </c>
    </row>
    <row r="1789" spans="1:14" x14ac:dyDescent="0.25">
      <c r="A1789">
        <v>1197.6510209999999</v>
      </c>
      <c r="B1789" s="1">
        <f>DATE(2013,8,10) + TIME(15,37,28)</f>
        <v>41496.651018518518</v>
      </c>
      <c r="C1789">
        <v>80</v>
      </c>
      <c r="D1789">
        <v>79.962585449000002</v>
      </c>
      <c r="E1789">
        <v>60</v>
      </c>
      <c r="F1789">
        <v>53.130023956000002</v>
      </c>
      <c r="G1789">
        <v>1386.8365478999999</v>
      </c>
      <c r="H1789">
        <v>1371.4442139</v>
      </c>
      <c r="I1789">
        <v>1285.0926514</v>
      </c>
      <c r="J1789">
        <v>1264.8137207</v>
      </c>
      <c r="K1789">
        <v>2750</v>
      </c>
      <c r="L1789">
        <v>0</v>
      </c>
      <c r="M1789">
        <v>0</v>
      </c>
      <c r="N1789">
        <v>2750</v>
      </c>
    </row>
    <row r="1790" spans="1:14" x14ac:dyDescent="0.25">
      <c r="A1790">
        <v>1199.325421</v>
      </c>
      <c r="B1790" s="1">
        <f>DATE(2013,8,12) + TIME(7,48,36)</f>
        <v>41498.325416666667</v>
      </c>
      <c r="C1790">
        <v>80</v>
      </c>
      <c r="D1790">
        <v>79.962608337000006</v>
      </c>
      <c r="E1790">
        <v>60</v>
      </c>
      <c r="F1790">
        <v>53.027481078999998</v>
      </c>
      <c r="G1790">
        <v>1386.7786865</v>
      </c>
      <c r="H1790">
        <v>1371.3942870999999</v>
      </c>
      <c r="I1790">
        <v>1284.9748535000001</v>
      </c>
      <c r="J1790">
        <v>1264.6364745999999</v>
      </c>
      <c r="K1790">
        <v>2750</v>
      </c>
      <c r="L1790">
        <v>0</v>
      </c>
      <c r="M1790">
        <v>0</v>
      </c>
      <c r="N1790">
        <v>2750</v>
      </c>
    </row>
    <row r="1791" spans="1:14" x14ac:dyDescent="0.25">
      <c r="A1791">
        <v>1201.010475</v>
      </c>
      <c r="B1791" s="1">
        <f>DATE(2013,8,14) + TIME(0,15,5)</f>
        <v>41500.010474537034</v>
      </c>
      <c r="C1791">
        <v>80</v>
      </c>
      <c r="D1791">
        <v>79.962631225999999</v>
      </c>
      <c r="E1791">
        <v>60</v>
      </c>
      <c r="F1791">
        <v>52.924102783000002</v>
      </c>
      <c r="G1791">
        <v>1386.7211914</v>
      </c>
      <c r="H1791">
        <v>1371.3447266000001</v>
      </c>
      <c r="I1791">
        <v>1284.8555908000001</v>
      </c>
      <c r="J1791">
        <v>1264.4564209</v>
      </c>
      <c r="K1791">
        <v>2750</v>
      </c>
      <c r="L1791">
        <v>0</v>
      </c>
      <c r="M1791">
        <v>0</v>
      </c>
      <c r="N1791">
        <v>2750</v>
      </c>
    </row>
    <row r="1792" spans="1:14" x14ac:dyDescent="0.25">
      <c r="A1792">
        <v>1202.711014</v>
      </c>
      <c r="B1792" s="1">
        <f>DATE(2013,8,15) + TIME(17,3,51)</f>
        <v>41501.711006944446</v>
      </c>
      <c r="C1792">
        <v>80</v>
      </c>
      <c r="D1792">
        <v>79.962654114000003</v>
      </c>
      <c r="E1792">
        <v>60</v>
      </c>
      <c r="F1792">
        <v>52.819770812999998</v>
      </c>
      <c r="G1792">
        <v>1386.6639404</v>
      </c>
      <c r="H1792">
        <v>1371.2952881000001</v>
      </c>
      <c r="I1792">
        <v>1284.7346190999999</v>
      </c>
      <c r="J1792">
        <v>1264.2730713000001</v>
      </c>
      <c r="K1792">
        <v>2750</v>
      </c>
      <c r="L1792">
        <v>0</v>
      </c>
      <c r="M1792">
        <v>0</v>
      </c>
      <c r="N1792">
        <v>2750</v>
      </c>
    </row>
    <row r="1793" spans="1:14" x14ac:dyDescent="0.25">
      <c r="A1793">
        <v>1204.4319909999999</v>
      </c>
      <c r="B1793" s="1">
        <f>DATE(2013,8,17) + TIME(10,22,4)</f>
        <v>41503.431990740741</v>
      </c>
      <c r="C1793">
        <v>80</v>
      </c>
      <c r="D1793">
        <v>79.962677002000007</v>
      </c>
      <c r="E1793">
        <v>60</v>
      </c>
      <c r="F1793">
        <v>52.714267731</v>
      </c>
      <c r="G1793">
        <v>1386.6068115</v>
      </c>
      <c r="H1793">
        <v>1371.2457274999999</v>
      </c>
      <c r="I1793">
        <v>1284.6115723</v>
      </c>
      <c r="J1793">
        <v>1264.0860596</v>
      </c>
      <c r="K1793">
        <v>2750</v>
      </c>
      <c r="L1793">
        <v>0</v>
      </c>
      <c r="M1793">
        <v>0</v>
      </c>
      <c r="N1793">
        <v>2750</v>
      </c>
    </row>
    <row r="1794" spans="1:14" x14ac:dyDescent="0.25">
      <c r="A1794">
        <v>1206.178623</v>
      </c>
      <c r="B1794" s="1">
        <f>DATE(2013,8,19) + TIME(4,17,13)</f>
        <v>41505.178622685184</v>
      </c>
      <c r="C1794">
        <v>80</v>
      </c>
      <c r="D1794">
        <v>79.962699889999996</v>
      </c>
      <c r="E1794">
        <v>60</v>
      </c>
      <c r="F1794">
        <v>52.607353209999999</v>
      </c>
      <c r="G1794">
        <v>1386.5495605000001</v>
      </c>
      <c r="H1794">
        <v>1371.1960449000001</v>
      </c>
      <c r="I1794">
        <v>1284.4864502</v>
      </c>
      <c r="J1794">
        <v>1263.8951416</v>
      </c>
      <c r="K1794">
        <v>2750</v>
      </c>
      <c r="L1794">
        <v>0</v>
      </c>
      <c r="M1794">
        <v>0</v>
      </c>
      <c r="N1794">
        <v>2750</v>
      </c>
    </row>
    <row r="1795" spans="1:14" x14ac:dyDescent="0.25">
      <c r="A1795">
        <v>1207.956428</v>
      </c>
      <c r="B1795" s="1">
        <f>DATE(2013,8,20) + TIME(22,57,15)</f>
        <v>41506.956423611111</v>
      </c>
      <c r="C1795">
        <v>80</v>
      </c>
      <c r="D1795">
        <v>79.962730407999999</v>
      </c>
      <c r="E1795">
        <v>60</v>
      </c>
      <c r="F1795">
        <v>52.498760222999998</v>
      </c>
      <c r="G1795">
        <v>1386.4919434000001</v>
      </c>
      <c r="H1795">
        <v>1371.1459961</v>
      </c>
      <c r="I1795">
        <v>1284.3586425999999</v>
      </c>
      <c r="J1795">
        <v>1263.6995850000001</v>
      </c>
      <c r="K1795">
        <v>2750</v>
      </c>
      <c r="L1795">
        <v>0</v>
      </c>
      <c r="M1795">
        <v>0</v>
      </c>
      <c r="N1795">
        <v>2750</v>
      </c>
    </row>
    <row r="1796" spans="1:14" x14ac:dyDescent="0.25">
      <c r="A1796">
        <v>1209.7713819999999</v>
      </c>
      <c r="B1796" s="1">
        <f>DATE(2013,8,22) + TIME(18,30,47)</f>
        <v>41508.771377314813</v>
      </c>
      <c r="C1796">
        <v>80</v>
      </c>
      <c r="D1796">
        <v>79.962753296000002</v>
      </c>
      <c r="E1796">
        <v>60</v>
      </c>
      <c r="F1796">
        <v>52.388214111000003</v>
      </c>
      <c r="G1796">
        <v>1386.4339600000001</v>
      </c>
      <c r="H1796">
        <v>1371.0955810999999</v>
      </c>
      <c r="I1796">
        <v>1284.2280272999999</v>
      </c>
      <c r="J1796">
        <v>1263.4991454999999</v>
      </c>
      <c r="K1796">
        <v>2750</v>
      </c>
      <c r="L1796">
        <v>0</v>
      </c>
      <c r="M1796">
        <v>0</v>
      </c>
      <c r="N1796">
        <v>2750</v>
      </c>
    </row>
    <row r="1797" spans="1:14" x14ac:dyDescent="0.25">
      <c r="A1797">
        <v>1211.6109959999999</v>
      </c>
      <c r="B1797" s="1">
        <f>DATE(2013,8,24) + TIME(14,39,50)</f>
        <v>41510.610995370371</v>
      </c>
      <c r="C1797">
        <v>80</v>
      </c>
      <c r="D1797">
        <v>79.962783813000001</v>
      </c>
      <c r="E1797">
        <v>60</v>
      </c>
      <c r="F1797">
        <v>52.275772095000001</v>
      </c>
      <c r="G1797">
        <v>1386.3752440999999</v>
      </c>
      <c r="H1797">
        <v>1371.0444336</v>
      </c>
      <c r="I1797">
        <v>1284.0942382999999</v>
      </c>
      <c r="J1797">
        <v>1263.2930908000001</v>
      </c>
      <c r="K1797">
        <v>2750</v>
      </c>
      <c r="L1797">
        <v>0</v>
      </c>
      <c r="M1797">
        <v>0</v>
      </c>
      <c r="N1797">
        <v>2750</v>
      </c>
    </row>
    <row r="1798" spans="1:14" x14ac:dyDescent="0.25">
      <c r="A1798">
        <v>1213.4717840000001</v>
      </c>
      <c r="B1798" s="1">
        <f>DATE(2013,8,26) + TIME(11,19,22)</f>
        <v>41512.471782407411</v>
      </c>
      <c r="C1798">
        <v>80</v>
      </c>
      <c r="D1798">
        <v>79.962806701999995</v>
      </c>
      <c r="E1798">
        <v>60</v>
      </c>
      <c r="F1798">
        <v>52.161914824999997</v>
      </c>
      <c r="G1798">
        <v>1386.3164062000001</v>
      </c>
      <c r="H1798">
        <v>1370.9930420000001</v>
      </c>
      <c r="I1798">
        <v>1283.9582519999999</v>
      </c>
      <c r="J1798">
        <v>1263.0828856999999</v>
      </c>
      <c r="K1798">
        <v>2750</v>
      </c>
      <c r="L1798">
        <v>0</v>
      </c>
      <c r="M1798">
        <v>0</v>
      </c>
      <c r="N1798">
        <v>2750</v>
      </c>
    </row>
    <row r="1799" spans="1:14" x14ac:dyDescent="0.25">
      <c r="A1799">
        <v>1215.347164</v>
      </c>
      <c r="B1799" s="1">
        <f>DATE(2013,8,28) + TIME(8,19,54)</f>
        <v>41514.34715277778</v>
      </c>
      <c r="C1799">
        <v>80</v>
      </c>
      <c r="D1799">
        <v>79.962837218999994</v>
      </c>
      <c r="E1799">
        <v>60</v>
      </c>
      <c r="F1799">
        <v>52.047088623</v>
      </c>
      <c r="G1799">
        <v>1386.2574463000001</v>
      </c>
      <c r="H1799">
        <v>1370.9415283000001</v>
      </c>
      <c r="I1799">
        <v>1283.8203125</v>
      </c>
      <c r="J1799">
        <v>1262.8690185999999</v>
      </c>
      <c r="K1799">
        <v>2750</v>
      </c>
      <c r="L1799">
        <v>0</v>
      </c>
      <c r="M1799">
        <v>0</v>
      </c>
      <c r="N1799">
        <v>2750</v>
      </c>
    </row>
    <row r="1800" spans="1:14" x14ac:dyDescent="0.25">
      <c r="A1800">
        <v>1217.234616</v>
      </c>
      <c r="B1800" s="1">
        <f>DATE(2013,8,30) + TIME(5,37,50)</f>
        <v>41516.234606481485</v>
      </c>
      <c r="C1800">
        <v>80</v>
      </c>
      <c r="D1800">
        <v>79.962860106999997</v>
      </c>
      <c r="E1800">
        <v>60</v>
      </c>
      <c r="F1800">
        <v>51.931774138999998</v>
      </c>
      <c r="G1800">
        <v>1386.1984863</v>
      </c>
      <c r="H1800">
        <v>1370.8898925999999</v>
      </c>
      <c r="I1800">
        <v>1283.6810303</v>
      </c>
      <c r="J1800">
        <v>1262.6524658000001</v>
      </c>
      <c r="K1800">
        <v>2750</v>
      </c>
      <c r="L1800">
        <v>0</v>
      </c>
      <c r="M1800">
        <v>0</v>
      </c>
      <c r="N1800">
        <v>2750</v>
      </c>
    </row>
    <row r="1801" spans="1:14" x14ac:dyDescent="0.25">
      <c r="A1801">
        <v>1219</v>
      </c>
      <c r="B1801" s="1">
        <f>DATE(2013,9,1) + TIME(0,0,0)</f>
        <v>41518</v>
      </c>
      <c r="C1801">
        <v>80</v>
      </c>
      <c r="D1801">
        <v>79.962890625</v>
      </c>
      <c r="E1801">
        <v>60</v>
      </c>
      <c r="F1801">
        <v>51.818714141999997</v>
      </c>
      <c r="G1801">
        <v>1386.1397704999999</v>
      </c>
      <c r="H1801">
        <v>1370.8383789</v>
      </c>
      <c r="I1801">
        <v>1283.5413818</v>
      </c>
      <c r="J1801">
        <v>1262.4353027</v>
      </c>
      <c r="K1801">
        <v>2750</v>
      </c>
      <c r="L1801">
        <v>0</v>
      </c>
      <c r="M1801">
        <v>0</v>
      </c>
      <c r="N1801">
        <v>2750</v>
      </c>
    </row>
    <row r="1802" spans="1:14" x14ac:dyDescent="0.25">
      <c r="A1802">
        <v>1220.905068</v>
      </c>
      <c r="B1802" s="1">
        <f>DATE(2013,9,2) + TIME(21,43,17)</f>
        <v>41519.905057870368</v>
      </c>
      <c r="C1802">
        <v>80</v>
      </c>
      <c r="D1802">
        <v>79.962921143000003</v>
      </c>
      <c r="E1802">
        <v>60</v>
      </c>
      <c r="F1802">
        <v>51.707546233999999</v>
      </c>
      <c r="G1802">
        <v>1386.0852050999999</v>
      </c>
      <c r="H1802">
        <v>1370.7905272999999</v>
      </c>
      <c r="I1802">
        <v>1283.4091797000001</v>
      </c>
      <c r="J1802">
        <v>1262.2268065999999</v>
      </c>
      <c r="K1802">
        <v>2750</v>
      </c>
      <c r="L1802">
        <v>0</v>
      </c>
      <c r="M1802">
        <v>0</v>
      </c>
      <c r="N1802">
        <v>2750</v>
      </c>
    </row>
    <row r="1803" spans="1:14" x14ac:dyDescent="0.25">
      <c r="A1803">
        <v>1222.860582</v>
      </c>
      <c r="B1803" s="1">
        <f>DATE(2013,9,4) + TIME(20,39,14)</f>
        <v>41521.860578703701</v>
      </c>
      <c r="C1803">
        <v>80</v>
      </c>
      <c r="D1803">
        <v>79.962944031000006</v>
      </c>
      <c r="E1803">
        <v>60</v>
      </c>
      <c r="F1803">
        <v>51.593254088999998</v>
      </c>
      <c r="G1803">
        <v>1386.0269774999999</v>
      </c>
      <c r="H1803">
        <v>1370.7392577999999</v>
      </c>
      <c r="I1803">
        <v>1283.2686768000001</v>
      </c>
      <c r="J1803">
        <v>1262.0064697</v>
      </c>
      <c r="K1803">
        <v>2750</v>
      </c>
      <c r="L1803">
        <v>0</v>
      </c>
      <c r="M1803">
        <v>0</v>
      </c>
      <c r="N1803">
        <v>2750</v>
      </c>
    </row>
    <row r="1804" spans="1:14" x14ac:dyDescent="0.25">
      <c r="A1804">
        <v>1224.8509550000001</v>
      </c>
      <c r="B1804" s="1">
        <f>DATE(2013,9,6) + TIME(20,25,22)</f>
        <v>41523.850949074076</v>
      </c>
      <c r="C1804">
        <v>80</v>
      </c>
      <c r="D1804">
        <v>79.962974548000005</v>
      </c>
      <c r="E1804">
        <v>60</v>
      </c>
      <c r="F1804">
        <v>51.477199554000002</v>
      </c>
      <c r="G1804">
        <v>1385.9676514</v>
      </c>
      <c r="H1804">
        <v>1370.6868896000001</v>
      </c>
      <c r="I1804">
        <v>1283.1248779</v>
      </c>
      <c r="J1804">
        <v>1261.7800293</v>
      </c>
      <c r="K1804">
        <v>2750</v>
      </c>
      <c r="L1804">
        <v>0</v>
      </c>
      <c r="M1804">
        <v>0</v>
      </c>
      <c r="N1804">
        <v>2750</v>
      </c>
    </row>
    <row r="1805" spans="1:14" x14ac:dyDescent="0.25">
      <c r="A1805">
        <v>1226.8614439999999</v>
      </c>
      <c r="B1805" s="1">
        <f>DATE(2013,9,8) + TIME(20,40,28)</f>
        <v>41525.861435185187</v>
      </c>
      <c r="C1805">
        <v>80</v>
      </c>
      <c r="D1805">
        <v>79.963005065999994</v>
      </c>
      <c r="E1805">
        <v>60</v>
      </c>
      <c r="F1805">
        <v>51.360671996999997</v>
      </c>
      <c r="G1805">
        <v>1385.9078368999999</v>
      </c>
      <c r="H1805">
        <v>1370.6340332</v>
      </c>
      <c r="I1805">
        <v>1282.979126</v>
      </c>
      <c r="J1805">
        <v>1261.5498047000001</v>
      </c>
      <c r="K1805">
        <v>2750</v>
      </c>
      <c r="L1805">
        <v>0</v>
      </c>
      <c r="M1805">
        <v>0</v>
      </c>
      <c r="N1805">
        <v>2750</v>
      </c>
    </row>
    <row r="1806" spans="1:14" x14ac:dyDescent="0.25">
      <c r="A1806">
        <v>1228.8978340000001</v>
      </c>
      <c r="B1806" s="1">
        <f>DATE(2013,9,10) + TIME(21,32,52)</f>
        <v>41527.897824074076</v>
      </c>
      <c r="C1806">
        <v>80</v>
      </c>
      <c r="D1806">
        <v>79.963035583000007</v>
      </c>
      <c r="E1806">
        <v>60</v>
      </c>
      <c r="F1806">
        <v>51.244583130000002</v>
      </c>
      <c r="G1806">
        <v>1385.8477783000001</v>
      </c>
      <c r="H1806">
        <v>1370.5810547000001</v>
      </c>
      <c r="I1806">
        <v>1282.8327637</v>
      </c>
      <c r="J1806">
        <v>1261.3176269999999</v>
      </c>
      <c r="K1806">
        <v>2750</v>
      </c>
      <c r="L1806">
        <v>0</v>
      </c>
      <c r="M1806">
        <v>0</v>
      </c>
      <c r="N1806">
        <v>2750</v>
      </c>
    </row>
    <row r="1807" spans="1:14" x14ac:dyDescent="0.25">
      <c r="A1807">
        <v>1229.9245969999999</v>
      </c>
      <c r="B1807" s="1">
        <f>DATE(2013,9,11) + TIME(22,11,25)</f>
        <v>41528.92459490741</v>
      </c>
      <c r="C1807">
        <v>80</v>
      </c>
      <c r="D1807">
        <v>79.963050842000001</v>
      </c>
      <c r="E1807">
        <v>60</v>
      </c>
      <c r="F1807">
        <v>51.153366089000002</v>
      </c>
      <c r="G1807">
        <v>1385.7874756000001</v>
      </c>
      <c r="H1807">
        <v>1370.5277100000001</v>
      </c>
      <c r="I1807">
        <v>1282.690918</v>
      </c>
      <c r="J1807">
        <v>1261.1009521000001</v>
      </c>
      <c r="K1807">
        <v>2750</v>
      </c>
      <c r="L1807">
        <v>0</v>
      </c>
      <c r="M1807">
        <v>0</v>
      </c>
      <c r="N1807">
        <v>2750</v>
      </c>
    </row>
    <row r="1808" spans="1:14" x14ac:dyDescent="0.25">
      <c r="A1808">
        <v>1230.95136</v>
      </c>
      <c r="B1808" s="1">
        <f>DATE(2013,9,12) + TIME(22,49,57)</f>
        <v>41529.951354166667</v>
      </c>
      <c r="C1808">
        <v>80</v>
      </c>
      <c r="D1808">
        <v>79.963058472</v>
      </c>
      <c r="E1808">
        <v>60</v>
      </c>
      <c r="F1808">
        <v>51.082523346000002</v>
      </c>
      <c r="G1808">
        <v>1385.7569579999999</v>
      </c>
      <c r="H1808">
        <v>1370.5004882999999</v>
      </c>
      <c r="I1808">
        <v>1282.6109618999999</v>
      </c>
      <c r="J1808">
        <v>1260.9681396000001</v>
      </c>
      <c r="K1808">
        <v>2750</v>
      </c>
      <c r="L1808">
        <v>0</v>
      </c>
      <c r="M1808">
        <v>0</v>
      </c>
      <c r="N1808">
        <v>2750</v>
      </c>
    </row>
    <row r="1809" spans="1:14" x14ac:dyDescent="0.25">
      <c r="A1809">
        <v>1231.9781230000001</v>
      </c>
      <c r="B1809" s="1">
        <f>DATE(2013,9,13) + TIME(23,28,29)</f>
        <v>41530.978113425925</v>
      </c>
      <c r="C1809">
        <v>80</v>
      </c>
      <c r="D1809">
        <v>79.963073730000005</v>
      </c>
      <c r="E1809">
        <v>60</v>
      </c>
      <c r="F1809">
        <v>51.020603180000002</v>
      </c>
      <c r="G1809">
        <v>1385.7269286999999</v>
      </c>
      <c r="H1809">
        <v>1370.4738769999999</v>
      </c>
      <c r="I1809">
        <v>1282.5352783000001</v>
      </c>
      <c r="J1809">
        <v>1260.8450928</v>
      </c>
      <c r="K1809">
        <v>2750</v>
      </c>
      <c r="L1809">
        <v>0</v>
      </c>
      <c r="M1809">
        <v>0</v>
      </c>
      <c r="N1809">
        <v>2750</v>
      </c>
    </row>
    <row r="1810" spans="1:14" x14ac:dyDescent="0.25">
      <c r="A1810">
        <v>1233.0048859999999</v>
      </c>
      <c r="B1810" s="1">
        <f>DATE(2013,9,15) + TIME(0,7,2)</f>
        <v>41532.004884259259</v>
      </c>
      <c r="C1810">
        <v>80</v>
      </c>
      <c r="D1810">
        <v>79.963096618999998</v>
      </c>
      <c r="E1810">
        <v>60</v>
      </c>
      <c r="F1810">
        <v>50.962886810000001</v>
      </c>
      <c r="G1810">
        <v>1385.6970214999999</v>
      </c>
      <c r="H1810">
        <v>1370.4472656</v>
      </c>
      <c r="I1810">
        <v>1282.4615478999999</v>
      </c>
      <c r="J1810">
        <v>1260.7264404</v>
      </c>
      <c r="K1810">
        <v>2750</v>
      </c>
      <c r="L1810">
        <v>0</v>
      </c>
      <c r="M1810">
        <v>0</v>
      </c>
      <c r="N1810">
        <v>2750</v>
      </c>
    </row>
    <row r="1811" spans="1:14" x14ac:dyDescent="0.25">
      <c r="A1811">
        <v>1234.0316499999999</v>
      </c>
      <c r="B1811" s="1">
        <f>DATE(2013,9,16) + TIME(0,45,34)</f>
        <v>41533.031643518516</v>
      </c>
      <c r="C1811">
        <v>80</v>
      </c>
      <c r="D1811">
        <v>79.963111877000003</v>
      </c>
      <c r="E1811">
        <v>60</v>
      </c>
      <c r="F1811">
        <v>50.907455444</v>
      </c>
      <c r="G1811">
        <v>1385.6671143000001</v>
      </c>
      <c r="H1811">
        <v>1370.4207764</v>
      </c>
      <c r="I1811">
        <v>1282.3890381000001</v>
      </c>
      <c r="J1811">
        <v>1260.6098632999999</v>
      </c>
      <c r="K1811">
        <v>2750</v>
      </c>
      <c r="L1811">
        <v>0</v>
      </c>
      <c r="M1811">
        <v>0</v>
      </c>
      <c r="N1811">
        <v>2750</v>
      </c>
    </row>
    <row r="1812" spans="1:14" x14ac:dyDescent="0.25">
      <c r="A1812">
        <v>1236.085176</v>
      </c>
      <c r="B1812" s="1">
        <f>DATE(2013,9,18) + TIME(2,2,39)</f>
        <v>41535.085173611114</v>
      </c>
      <c r="C1812">
        <v>80</v>
      </c>
      <c r="D1812">
        <v>79.963150024000001</v>
      </c>
      <c r="E1812">
        <v>60</v>
      </c>
      <c r="F1812">
        <v>50.839439392000003</v>
      </c>
      <c r="G1812">
        <v>1385.6376952999999</v>
      </c>
      <c r="H1812">
        <v>1370.3945312000001</v>
      </c>
      <c r="I1812">
        <v>1282.3138428</v>
      </c>
      <c r="J1812">
        <v>1260.4838867000001</v>
      </c>
      <c r="K1812">
        <v>2750</v>
      </c>
      <c r="L1812">
        <v>0</v>
      </c>
      <c r="M1812">
        <v>0</v>
      </c>
      <c r="N1812">
        <v>2750</v>
      </c>
    </row>
    <row r="1813" spans="1:14" x14ac:dyDescent="0.25">
      <c r="A1813">
        <v>1238.1440560000001</v>
      </c>
      <c r="B1813" s="1">
        <f>DATE(2013,9,20) + TIME(3,27,26)</f>
        <v>41537.144050925926</v>
      </c>
      <c r="C1813">
        <v>80</v>
      </c>
      <c r="D1813">
        <v>79.963180542000003</v>
      </c>
      <c r="E1813">
        <v>60</v>
      </c>
      <c r="F1813">
        <v>50.745258331000002</v>
      </c>
      <c r="G1813">
        <v>1385.5787353999999</v>
      </c>
      <c r="H1813">
        <v>1370.3420410000001</v>
      </c>
      <c r="I1813">
        <v>1282.1783447</v>
      </c>
      <c r="J1813">
        <v>1260.2706298999999</v>
      </c>
      <c r="K1813">
        <v>2750</v>
      </c>
      <c r="L1813">
        <v>0</v>
      </c>
      <c r="M1813">
        <v>0</v>
      </c>
      <c r="N1813">
        <v>2750</v>
      </c>
    </row>
    <row r="1814" spans="1:14" x14ac:dyDescent="0.25">
      <c r="A1814">
        <v>1240.2328669999999</v>
      </c>
      <c r="B1814" s="1">
        <f>DATE(2013,9,22) + TIME(5,35,19)</f>
        <v>41539.232858796298</v>
      </c>
      <c r="C1814">
        <v>80</v>
      </c>
      <c r="D1814">
        <v>79.963211060000006</v>
      </c>
      <c r="E1814">
        <v>60</v>
      </c>
      <c r="F1814">
        <v>50.647006988999998</v>
      </c>
      <c r="G1814">
        <v>1385.5197754000001</v>
      </c>
      <c r="H1814">
        <v>1370.2895507999999</v>
      </c>
      <c r="I1814">
        <v>1282.0396728999999</v>
      </c>
      <c r="J1814">
        <v>1260.0487060999999</v>
      </c>
      <c r="K1814">
        <v>2750</v>
      </c>
      <c r="L1814">
        <v>0</v>
      </c>
      <c r="M1814">
        <v>0</v>
      </c>
      <c r="N1814">
        <v>2750</v>
      </c>
    </row>
    <row r="1815" spans="1:14" x14ac:dyDescent="0.25">
      <c r="A1815">
        <v>1242.364599</v>
      </c>
      <c r="B1815" s="1">
        <f>DATE(2013,9,24) + TIME(8,45,1)</f>
        <v>41541.364594907405</v>
      </c>
      <c r="C1815">
        <v>80</v>
      </c>
      <c r="D1815">
        <v>79.963249207000004</v>
      </c>
      <c r="E1815">
        <v>60</v>
      </c>
      <c r="F1815">
        <v>50.550086974999999</v>
      </c>
      <c r="G1815">
        <v>1385.4605713000001</v>
      </c>
      <c r="H1815">
        <v>1370.2365723</v>
      </c>
      <c r="I1815">
        <v>1281.9002685999999</v>
      </c>
      <c r="J1815">
        <v>1259.8243408000001</v>
      </c>
      <c r="K1815">
        <v>2750</v>
      </c>
      <c r="L1815">
        <v>0</v>
      </c>
      <c r="M1815">
        <v>0</v>
      </c>
      <c r="N1815">
        <v>2750</v>
      </c>
    </row>
    <row r="1816" spans="1:14" x14ac:dyDescent="0.25">
      <c r="A1816">
        <v>1244.5549719999999</v>
      </c>
      <c r="B1816" s="1">
        <f>DATE(2013,9,26) + TIME(13,19,9)</f>
        <v>41543.554965277777</v>
      </c>
      <c r="C1816">
        <v>80</v>
      </c>
      <c r="D1816">
        <v>79.963279724000003</v>
      </c>
      <c r="E1816">
        <v>60</v>
      </c>
      <c r="F1816">
        <v>50.456012725999997</v>
      </c>
      <c r="G1816">
        <v>1385.4005127</v>
      </c>
      <c r="H1816">
        <v>1370.1829834</v>
      </c>
      <c r="I1816">
        <v>1281.7604980000001</v>
      </c>
      <c r="J1816">
        <v>1259.598999</v>
      </c>
      <c r="K1816">
        <v>2750</v>
      </c>
      <c r="L1816">
        <v>0</v>
      </c>
      <c r="M1816">
        <v>0</v>
      </c>
      <c r="N1816">
        <v>2750</v>
      </c>
    </row>
    <row r="1817" spans="1:14" x14ac:dyDescent="0.25">
      <c r="A1817">
        <v>1246.8073509999999</v>
      </c>
      <c r="B1817" s="1">
        <f>DATE(2013,9,28) + TIME(19,22,35)</f>
        <v>41545.807349537034</v>
      </c>
      <c r="C1817">
        <v>80</v>
      </c>
      <c r="D1817">
        <v>79.963317871000001</v>
      </c>
      <c r="E1817">
        <v>60</v>
      </c>
      <c r="F1817">
        <v>50.365470885999997</v>
      </c>
      <c r="G1817">
        <v>1385.3393555</v>
      </c>
      <c r="H1817">
        <v>1370.1280518000001</v>
      </c>
      <c r="I1817">
        <v>1281.6199951000001</v>
      </c>
      <c r="J1817">
        <v>1259.3723144999999</v>
      </c>
      <c r="K1817">
        <v>2750</v>
      </c>
      <c r="L1817">
        <v>0</v>
      </c>
      <c r="M1817">
        <v>0</v>
      </c>
      <c r="N1817">
        <v>2750</v>
      </c>
    </row>
    <row r="1818" spans="1:14" x14ac:dyDescent="0.25">
      <c r="A1818">
        <v>1249</v>
      </c>
      <c r="B1818" s="1">
        <f>DATE(2013,10,1) + TIME(0,0,0)</f>
        <v>41548</v>
      </c>
      <c r="C1818">
        <v>80</v>
      </c>
      <c r="D1818">
        <v>79.963348389000004</v>
      </c>
      <c r="E1818">
        <v>60</v>
      </c>
      <c r="F1818">
        <v>50.280445098999998</v>
      </c>
      <c r="G1818">
        <v>1385.2768555</v>
      </c>
      <c r="H1818">
        <v>1370.0720214999999</v>
      </c>
      <c r="I1818">
        <v>1281.4794922000001</v>
      </c>
      <c r="J1818">
        <v>1259.1459961</v>
      </c>
      <c r="K1818">
        <v>2750</v>
      </c>
      <c r="L1818">
        <v>0</v>
      </c>
      <c r="M1818">
        <v>0</v>
      </c>
      <c r="N1818">
        <v>2750</v>
      </c>
    </row>
    <row r="1819" spans="1:14" x14ac:dyDescent="0.25">
      <c r="A1819">
        <v>1251.28442</v>
      </c>
      <c r="B1819" s="1">
        <f>DATE(2013,10,3) + TIME(6,49,33)</f>
        <v>41550.284409722219</v>
      </c>
      <c r="C1819">
        <v>80</v>
      </c>
      <c r="D1819">
        <v>79.963386536000002</v>
      </c>
      <c r="E1819">
        <v>60</v>
      </c>
      <c r="F1819">
        <v>50.202762604</v>
      </c>
      <c r="G1819">
        <v>1385.2164307</v>
      </c>
      <c r="H1819">
        <v>1370.0178223</v>
      </c>
      <c r="I1819">
        <v>1281.3452147999999</v>
      </c>
      <c r="J1819">
        <v>1258.9287108999999</v>
      </c>
      <c r="K1819">
        <v>2750</v>
      </c>
      <c r="L1819">
        <v>0</v>
      </c>
      <c r="M1819">
        <v>0</v>
      </c>
      <c r="N1819">
        <v>2750</v>
      </c>
    </row>
    <row r="1820" spans="1:14" x14ac:dyDescent="0.25">
      <c r="A1820">
        <v>1253.601782</v>
      </c>
      <c r="B1820" s="1">
        <f>DATE(2013,10,5) + TIME(14,26,33)</f>
        <v>41552.601770833331</v>
      </c>
      <c r="C1820">
        <v>80</v>
      </c>
      <c r="D1820">
        <v>79.963424683</v>
      </c>
      <c r="E1820">
        <v>60</v>
      </c>
      <c r="F1820">
        <v>50.131263732999997</v>
      </c>
      <c r="G1820">
        <v>1385.1540527</v>
      </c>
      <c r="H1820">
        <v>1369.9616699000001</v>
      </c>
      <c r="I1820">
        <v>1281.2102050999999</v>
      </c>
      <c r="J1820">
        <v>1258.7110596</v>
      </c>
      <c r="K1820">
        <v>2750</v>
      </c>
      <c r="L1820">
        <v>0</v>
      </c>
      <c r="M1820">
        <v>0</v>
      </c>
      <c r="N1820">
        <v>2750</v>
      </c>
    </row>
    <row r="1821" spans="1:14" x14ac:dyDescent="0.25">
      <c r="A1821">
        <v>1254.7751040000001</v>
      </c>
      <c r="B1821" s="1">
        <f>DATE(2013,10,6) + TIME(18,36,8)</f>
        <v>41553.775092592594</v>
      </c>
      <c r="C1821">
        <v>80</v>
      </c>
      <c r="D1821">
        <v>79.963432311999995</v>
      </c>
      <c r="E1821">
        <v>60</v>
      </c>
      <c r="F1821">
        <v>50.079483031999999</v>
      </c>
      <c r="G1821">
        <v>1385.0911865</v>
      </c>
      <c r="H1821">
        <v>1369.9050293</v>
      </c>
      <c r="I1821">
        <v>1281.0839844</v>
      </c>
      <c r="J1821">
        <v>1258.5126952999999</v>
      </c>
      <c r="K1821">
        <v>2750</v>
      </c>
      <c r="L1821">
        <v>0</v>
      </c>
      <c r="M1821">
        <v>0</v>
      </c>
      <c r="N1821">
        <v>2750</v>
      </c>
    </row>
    <row r="1822" spans="1:14" x14ac:dyDescent="0.25">
      <c r="A1822">
        <v>1255.948425</v>
      </c>
      <c r="B1822" s="1">
        <f>DATE(2013,10,7) + TIME(22,45,43)</f>
        <v>41554.948414351849</v>
      </c>
      <c r="C1822">
        <v>80</v>
      </c>
      <c r="D1822">
        <v>79.963455199999999</v>
      </c>
      <c r="E1822">
        <v>60</v>
      </c>
      <c r="F1822">
        <v>50.043552398999999</v>
      </c>
      <c r="G1822">
        <v>1385.0592041</v>
      </c>
      <c r="H1822">
        <v>1369.8760986</v>
      </c>
      <c r="I1822">
        <v>1281.012207</v>
      </c>
      <c r="J1822">
        <v>1258.394043</v>
      </c>
      <c r="K1822">
        <v>2750</v>
      </c>
      <c r="L1822">
        <v>0</v>
      </c>
      <c r="M1822">
        <v>0</v>
      </c>
      <c r="N1822">
        <v>2750</v>
      </c>
    </row>
    <row r="1823" spans="1:14" x14ac:dyDescent="0.25">
      <c r="A1823">
        <v>1257.1217469999999</v>
      </c>
      <c r="B1823" s="1">
        <f>DATE(2013,10,9) + TIME(2,55,18)</f>
        <v>41556.121736111112</v>
      </c>
      <c r="C1823">
        <v>80</v>
      </c>
      <c r="D1823">
        <v>79.963470459000007</v>
      </c>
      <c r="E1823">
        <v>60</v>
      </c>
      <c r="F1823">
        <v>50.015140533</v>
      </c>
      <c r="G1823">
        <v>1385.0277100000001</v>
      </c>
      <c r="H1823">
        <v>1369.8476562000001</v>
      </c>
      <c r="I1823">
        <v>1280.9458007999999</v>
      </c>
      <c r="J1823">
        <v>1258.2863769999999</v>
      </c>
      <c r="K1823">
        <v>2750</v>
      </c>
      <c r="L1823">
        <v>0</v>
      </c>
      <c r="M1823">
        <v>0</v>
      </c>
      <c r="N1823">
        <v>2750</v>
      </c>
    </row>
    <row r="1824" spans="1:14" x14ac:dyDescent="0.25">
      <c r="A1824">
        <v>1258.295069</v>
      </c>
      <c r="B1824" s="1">
        <f>DATE(2013,10,10) + TIME(7,4,53)</f>
        <v>41557.295057870368</v>
      </c>
      <c r="C1824">
        <v>80</v>
      </c>
      <c r="D1824">
        <v>79.963485718000001</v>
      </c>
      <c r="E1824">
        <v>60</v>
      </c>
      <c r="F1824">
        <v>49.991142273000001</v>
      </c>
      <c r="G1824">
        <v>1384.9964600000001</v>
      </c>
      <c r="H1824">
        <v>1369.8193358999999</v>
      </c>
      <c r="I1824">
        <v>1280.8823242000001</v>
      </c>
      <c r="J1824">
        <v>1258.1842041</v>
      </c>
      <c r="K1824">
        <v>2750</v>
      </c>
      <c r="L1824">
        <v>0</v>
      </c>
      <c r="M1824">
        <v>0</v>
      </c>
      <c r="N1824">
        <v>2750</v>
      </c>
    </row>
    <row r="1825" spans="1:14" x14ac:dyDescent="0.25">
      <c r="A1825">
        <v>1259.46839</v>
      </c>
      <c r="B1825" s="1">
        <f>DATE(2013,10,11) + TIME(11,14,28)</f>
        <v>41558.46837962963</v>
      </c>
      <c r="C1825">
        <v>80</v>
      </c>
      <c r="D1825">
        <v>79.963508606000005</v>
      </c>
      <c r="E1825">
        <v>60</v>
      </c>
      <c r="F1825">
        <v>49.970397949000002</v>
      </c>
      <c r="G1825">
        <v>1384.9652100000001</v>
      </c>
      <c r="H1825">
        <v>1369.7911377</v>
      </c>
      <c r="I1825">
        <v>1280.8206786999999</v>
      </c>
      <c r="J1825">
        <v>1258.0855713000001</v>
      </c>
      <c r="K1825">
        <v>2750</v>
      </c>
      <c r="L1825">
        <v>0</v>
      </c>
      <c r="M1825">
        <v>0</v>
      </c>
      <c r="N1825">
        <v>2750</v>
      </c>
    </row>
    <row r="1826" spans="1:14" x14ac:dyDescent="0.25">
      <c r="A1826">
        <v>1261.8150330000001</v>
      </c>
      <c r="B1826" s="1">
        <f>DATE(2013,10,13) + TIME(19,33,38)</f>
        <v>41560.815023148149</v>
      </c>
      <c r="C1826">
        <v>80</v>
      </c>
      <c r="D1826">
        <v>79.963554381999998</v>
      </c>
      <c r="E1826">
        <v>60</v>
      </c>
      <c r="F1826">
        <v>49.948318481000001</v>
      </c>
      <c r="G1826">
        <v>1384.9342041</v>
      </c>
      <c r="H1826">
        <v>1369.7631836</v>
      </c>
      <c r="I1826">
        <v>1280.7563477000001</v>
      </c>
      <c r="J1826">
        <v>1257.980957</v>
      </c>
      <c r="K1826">
        <v>2750</v>
      </c>
      <c r="L1826">
        <v>0</v>
      </c>
      <c r="M1826">
        <v>0</v>
      </c>
      <c r="N1826">
        <v>2750</v>
      </c>
    </row>
    <row r="1827" spans="1:14" x14ac:dyDescent="0.25">
      <c r="A1827">
        <v>1264.1663779999999</v>
      </c>
      <c r="B1827" s="1">
        <f>DATE(2013,10,16) + TIME(3,59,35)</f>
        <v>41563.166377314818</v>
      </c>
      <c r="C1827">
        <v>80</v>
      </c>
      <c r="D1827">
        <v>79.963592528999996</v>
      </c>
      <c r="E1827">
        <v>60</v>
      </c>
      <c r="F1827">
        <v>49.922576904000003</v>
      </c>
      <c r="G1827">
        <v>1384.8725586</v>
      </c>
      <c r="H1827">
        <v>1369.7073975000001</v>
      </c>
      <c r="I1827">
        <v>1280.6447754000001</v>
      </c>
      <c r="J1827">
        <v>1257.8057861</v>
      </c>
      <c r="K1827">
        <v>2750</v>
      </c>
      <c r="L1827">
        <v>0</v>
      </c>
      <c r="M1827">
        <v>0</v>
      </c>
      <c r="N1827">
        <v>2750</v>
      </c>
    </row>
    <row r="1828" spans="1:14" x14ac:dyDescent="0.25">
      <c r="A1828">
        <v>1266.562803</v>
      </c>
      <c r="B1828" s="1">
        <f>DATE(2013,10,18) + TIME(13,30,26)</f>
        <v>41565.562800925924</v>
      </c>
      <c r="C1828">
        <v>80</v>
      </c>
      <c r="D1828">
        <v>79.963630675999994</v>
      </c>
      <c r="E1828">
        <v>60</v>
      </c>
      <c r="F1828">
        <v>49.904041290000002</v>
      </c>
      <c r="G1828">
        <v>1384.8111572</v>
      </c>
      <c r="H1828">
        <v>1369.6516113</v>
      </c>
      <c r="I1828">
        <v>1280.5329589999999</v>
      </c>
      <c r="J1828">
        <v>1257.6297606999999</v>
      </c>
      <c r="K1828">
        <v>2750</v>
      </c>
      <c r="L1828">
        <v>0</v>
      </c>
      <c r="M1828">
        <v>0</v>
      </c>
      <c r="N1828">
        <v>2750</v>
      </c>
    </row>
    <row r="1829" spans="1:14" x14ac:dyDescent="0.25">
      <c r="A1829">
        <v>1269.0110999999999</v>
      </c>
      <c r="B1829" s="1">
        <f>DATE(2013,10,21) + TIME(0,15,59)</f>
        <v>41568.011099537034</v>
      </c>
      <c r="C1829">
        <v>80</v>
      </c>
      <c r="D1829">
        <v>79.963668823000006</v>
      </c>
      <c r="E1829">
        <v>60</v>
      </c>
      <c r="F1829">
        <v>49.89522934</v>
      </c>
      <c r="G1829">
        <v>1384.7491454999999</v>
      </c>
      <c r="H1829">
        <v>1369.5953368999999</v>
      </c>
      <c r="I1829">
        <v>1280.4229736</v>
      </c>
      <c r="J1829">
        <v>1257.4575195</v>
      </c>
      <c r="K1829">
        <v>2750</v>
      </c>
      <c r="L1829">
        <v>0</v>
      </c>
      <c r="M1829">
        <v>0</v>
      </c>
      <c r="N1829">
        <v>2750</v>
      </c>
    </row>
    <row r="1830" spans="1:14" x14ac:dyDescent="0.25">
      <c r="A1830">
        <v>1271.518943</v>
      </c>
      <c r="B1830" s="1">
        <f>DATE(2013,10,23) + TIME(12,27,16)</f>
        <v>41570.518935185188</v>
      </c>
      <c r="C1830">
        <v>80</v>
      </c>
      <c r="D1830">
        <v>79.963706970000004</v>
      </c>
      <c r="E1830">
        <v>60</v>
      </c>
      <c r="F1830">
        <v>49.897151946999998</v>
      </c>
      <c r="G1830">
        <v>1384.6864014</v>
      </c>
      <c r="H1830">
        <v>1369.5383300999999</v>
      </c>
      <c r="I1830">
        <v>1280.3155518000001</v>
      </c>
      <c r="J1830">
        <v>1257.2908935999999</v>
      </c>
      <c r="K1830">
        <v>2750</v>
      </c>
      <c r="L1830">
        <v>0</v>
      </c>
      <c r="M1830">
        <v>0</v>
      </c>
      <c r="N1830">
        <v>2750</v>
      </c>
    </row>
    <row r="1831" spans="1:14" x14ac:dyDescent="0.25">
      <c r="A1831">
        <v>1274.0819260000001</v>
      </c>
      <c r="B1831" s="1">
        <f>DATE(2013,10,26) + TIME(1,57,58)</f>
        <v>41573.081921296296</v>
      </c>
      <c r="C1831">
        <v>80</v>
      </c>
      <c r="D1831">
        <v>79.963745117000002</v>
      </c>
      <c r="E1831">
        <v>60</v>
      </c>
      <c r="F1831">
        <v>49.910400391000003</v>
      </c>
      <c r="G1831">
        <v>1384.6226807</v>
      </c>
      <c r="H1831">
        <v>1369.4804687999999</v>
      </c>
      <c r="I1831">
        <v>1280.2106934000001</v>
      </c>
      <c r="J1831">
        <v>1257.1300048999999</v>
      </c>
      <c r="K1831">
        <v>2750</v>
      </c>
      <c r="L1831">
        <v>0</v>
      </c>
      <c r="M1831">
        <v>0</v>
      </c>
      <c r="N1831">
        <v>2750</v>
      </c>
    </row>
    <row r="1832" spans="1:14" x14ac:dyDescent="0.25">
      <c r="A1832">
        <v>1276.674021</v>
      </c>
      <c r="B1832" s="1">
        <f>DATE(2013,10,28) + TIME(16,10,35)</f>
        <v>41575.674016203702</v>
      </c>
      <c r="C1832">
        <v>80</v>
      </c>
      <c r="D1832">
        <v>79.963790893999999</v>
      </c>
      <c r="E1832">
        <v>60</v>
      </c>
      <c r="F1832">
        <v>49.935249329000001</v>
      </c>
      <c r="G1832">
        <v>1384.5582274999999</v>
      </c>
      <c r="H1832">
        <v>1369.4217529</v>
      </c>
      <c r="I1832">
        <v>1280.1091309000001</v>
      </c>
      <c r="J1832">
        <v>1256.9759521000001</v>
      </c>
      <c r="K1832">
        <v>2750</v>
      </c>
      <c r="L1832">
        <v>0</v>
      </c>
      <c r="M1832">
        <v>0</v>
      </c>
      <c r="N1832">
        <v>2750</v>
      </c>
    </row>
    <row r="1833" spans="1:14" x14ac:dyDescent="0.25">
      <c r="A1833">
        <v>1279.2877140000001</v>
      </c>
      <c r="B1833" s="1">
        <f>DATE(2013,10,31) + TIME(6,54,18)</f>
        <v>41578.287708333337</v>
      </c>
      <c r="C1833">
        <v>80</v>
      </c>
      <c r="D1833">
        <v>79.963829040999997</v>
      </c>
      <c r="E1833">
        <v>60</v>
      </c>
      <c r="F1833">
        <v>49.971508026000002</v>
      </c>
      <c r="G1833">
        <v>1384.4938964999999</v>
      </c>
      <c r="H1833">
        <v>1369.3631591999999</v>
      </c>
      <c r="I1833">
        <v>1280.0115966999999</v>
      </c>
      <c r="J1833">
        <v>1256.8304443</v>
      </c>
      <c r="K1833">
        <v>2750</v>
      </c>
      <c r="L1833">
        <v>0</v>
      </c>
      <c r="M1833">
        <v>0</v>
      </c>
      <c r="N1833">
        <v>2750</v>
      </c>
    </row>
    <row r="1834" spans="1:14" x14ac:dyDescent="0.25">
      <c r="A1834">
        <v>1280</v>
      </c>
      <c r="B1834" s="1">
        <f>DATE(2013,11,1) + TIME(0,0,0)</f>
        <v>41579</v>
      </c>
      <c r="C1834">
        <v>80</v>
      </c>
      <c r="D1834">
        <v>79.963836670000006</v>
      </c>
      <c r="E1834">
        <v>60</v>
      </c>
      <c r="F1834">
        <v>50.001815796000002</v>
      </c>
      <c r="G1834">
        <v>1384.4302978999999</v>
      </c>
      <c r="H1834">
        <v>1369.3051757999999</v>
      </c>
      <c r="I1834">
        <v>1279.9332274999999</v>
      </c>
      <c r="J1834">
        <v>1256.7119141000001</v>
      </c>
      <c r="K1834">
        <v>2750</v>
      </c>
      <c r="L1834">
        <v>0</v>
      </c>
      <c r="M1834">
        <v>0</v>
      </c>
      <c r="N1834">
        <v>2750</v>
      </c>
    </row>
    <row r="1835" spans="1:14" x14ac:dyDescent="0.25">
      <c r="A1835">
        <v>1280.0000010000001</v>
      </c>
      <c r="B1835" s="1">
        <f>DATE(2013,11,1) + TIME(0,0,0)</f>
        <v>41579</v>
      </c>
      <c r="C1835">
        <v>80</v>
      </c>
      <c r="D1835">
        <v>79.963691710999996</v>
      </c>
      <c r="E1835">
        <v>60</v>
      </c>
      <c r="F1835">
        <v>50.001964569000002</v>
      </c>
      <c r="G1835">
        <v>1368.3061522999999</v>
      </c>
      <c r="H1835">
        <v>1354.4261475000001</v>
      </c>
      <c r="I1835">
        <v>1304.2020264</v>
      </c>
      <c r="J1835">
        <v>1280.9945068</v>
      </c>
      <c r="K1835">
        <v>0</v>
      </c>
      <c r="L1835">
        <v>2750</v>
      </c>
      <c r="M1835">
        <v>2750</v>
      </c>
      <c r="N1835">
        <v>0</v>
      </c>
    </row>
    <row r="1836" spans="1:14" x14ac:dyDescent="0.25">
      <c r="A1836">
        <v>1280.000004</v>
      </c>
      <c r="B1836" s="1">
        <f>DATE(2013,11,1) + TIME(0,0,0)</f>
        <v>41579</v>
      </c>
      <c r="C1836">
        <v>80</v>
      </c>
      <c r="D1836">
        <v>79.963333129999995</v>
      </c>
      <c r="E1836">
        <v>60</v>
      </c>
      <c r="F1836">
        <v>50.002365112</v>
      </c>
      <c r="G1836">
        <v>1365.7823486</v>
      </c>
      <c r="H1836">
        <v>1351.9018555</v>
      </c>
      <c r="I1836">
        <v>1306.9232178</v>
      </c>
      <c r="J1836">
        <v>1283.8227539</v>
      </c>
      <c r="K1836">
        <v>0</v>
      </c>
      <c r="L1836">
        <v>2750</v>
      </c>
      <c r="M1836">
        <v>2750</v>
      </c>
      <c r="N1836">
        <v>0</v>
      </c>
    </row>
    <row r="1837" spans="1:14" x14ac:dyDescent="0.25">
      <c r="A1837">
        <v>1280.0000130000001</v>
      </c>
      <c r="B1837" s="1">
        <f>DATE(2013,11,1) + TIME(0,0,1)</f>
        <v>41579.000011574077</v>
      </c>
      <c r="C1837">
        <v>80</v>
      </c>
      <c r="D1837">
        <v>79.962608337000006</v>
      </c>
      <c r="E1837">
        <v>60</v>
      </c>
      <c r="F1837">
        <v>50.003295897999998</v>
      </c>
      <c r="G1837">
        <v>1360.6876221</v>
      </c>
      <c r="H1837">
        <v>1346.8066406</v>
      </c>
      <c r="I1837">
        <v>1313.0943603999999</v>
      </c>
      <c r="J1837">
        <v>1290.1610106999999</v>
      </c>
      <c r="K1837">
        <v>0</v>
      </c>
      <c r="L1837">
        <v>2750</v>
      </c>
      <c r="M1837">
        <v>2750</v>
      </c>
      <c r="N1837">
        <v>0</v>
      </c>
    </row>
    <row r="1838" spans="1:14" x14ac:dyDescent="0.25">
      <c r="A1838">
        <v>1280.0000399999999</v>
      </c>
      <c r="B1838" s="1">
        <f>DATE(2013,11,1) + TIME(0,0,3)</f>
        <v>41579.000034722223</v>
      </c>
      <c r="C1838">
        <v>80</v>
      </c>
      <c r="D1838">
        <v>79.961547851999995</v>
      </c>
      <c r="E1838">
        <v>60</v>
      </c>
      <c r="F1838">
        <v>50.005008697999997</v>
      </c>
      <c r="G1838">
        <v>1353.2453613</v>
      </c>
      <c r="H1838">
        <v>1339.3663329999999</v>
      </c>
      <c r="I1838">
        <v>1323.5549315999999</v>
      </c>
      <c r="J1838">
        <v>1300.7220459</v>
      </c>
      <c r="K1838">
        <v>0</v>
      </c>
      <c r="L1838">
        <v>2750</v>
      </c>
      <c r="M1838">
        <v>2750</v>
      </c>
      <c r="N1838">
        <v>0</v>
      </c>
    </row>
    <row r="1839" spans="1:14" x14ac:dyDescent="0.25">
      <c r="A1839">
        <v>1280.000121</v>
      </c>
      <c r="B1839" s="1">
        <f>DATE(2013,11,1) + TIME(0,0,10)</f>
        <v>41579.000115740739</v>
      </c>
      <c r="C1839">
        <v>80</v>
      </c>
      <c r="D1839">
        <v>79.960357665999993</v>
      </c>
      <c r="E1839">
        <v>60</v>
      </c>
      <c r="F1839">
        <v>50.007793427000003</v>
      </c>
      <c r="G1839">
        <v>1344.9643555</v>
      </c>
      <c r="H1839">
        <v>1331.090332</v>
      </c>
      <c r="I1839">
        <v>1336.5338135</v>
      </c>
      <c r="J1839">
        <v>1313.6835937999999</v>
      </c>
      <c r="K1839">
        <v>0</v>
      </c>
      <c r="L1839">
        <v>2750</v>
      </c>
      <c r="M1839">
        <v>2750</v>
      </c>
      <c r="N1839">
        <v>0</v>
      </c>
    </row>
    <row r="1840" spans="1:14" x14ac:dyDescent="0.25">
      <c r="A1840">
        <v>1280.000364</v>
      </c>
      <c r="B1840" s="1">
        <f>DATE(2013,11,1) + TIME(0,0,31)</f>
        <v>41579.000358796293</v>
      </c>
      <c r="C1840">
        <v>80</v>
      </c>
      <c r="D1840">
        <v>79.959129333000007</v>
      </c>
      <c r="E1840">
        <v>60</v>
      </c>
      <c r="F1840">
        <v>50.012962340999998</v>
      </c>
      <c r="G1840">
        <v>1336.6430664</v>
      </c>
      <c r="H1840">
        <v>1322.7756348</v>
      </c>
      <c r="I1840">
        <v>1350.0957031</v>
      </c>
      <c r="J1840">
        <v>1327.2043457</v>
      </c>
      <c r="K1840">
        <v>0</v>
      </c>
      <c r="L1840">
        <v>2750</v>
      </c>
      <c r="M1840">
        <v>2750</v>
      </c>
      <c r="N1840">
        <v>0</v>
      </c>
    </row>
    <row r="1841" spans="1:14" x14ac:dyDescent="0.25">
      <c r="A1841">
        <v>1280.0010930000001</v>
      </c>
      <c r="B1841" s="1">
        <f>DATE(2013,11,1) + TIME(0,1,34)</f>
        <v>41579.001087962963</v>
      </c>
      <c r="C1841">
        <v>80</v>
      </c>
      <c r="D1841">
        <v>79.957801818999997</v>
      </c>
      <c r="E1841">
        <v>60</v>
      </c>
      <c r="F1841">
        <v>50.025112151999998</v>
      </c>
      <c r="G1841">
        <v>1328.2918701000001</v>
      </c>
      <c r="H1841">
        <v>1314.4089355000001</v>
      </c>
      <c r="I1841">
        <v>1363.9122314000001</v>
      </c>
      <c r="J1841">
        <v>1340.9594727000001</v>
      </c>
      <c r="K1841">
        <v>0</v>
      </c>
      <c r="L1841">
        <v>2750</v>
      </c>
      <c r="M1841">
        <v>2750</v>
      </c>
      <c r="N1841">
        <v>0</v>
      </c>
    </row>
    <row r="1842" spans="1:14" x14ac:dyDescent="0.25">
      <c r="A1842">
        <v>1280.0032799999999</v>
      </c>
      <c r="B1842" s="1">
        <f>DATE(2013,11,1) + TIME(0,4,43)</f>
        <v>41579.003275462965</v>
      </c>
      <c r="C1842">
        <v>80</v>
      </c>
      <c r="D1842">
        <v>79.956153869999994</v>
      </c>
      <c r="E1842">
        <v>60</v>
      </c>
      <c r="F1842">
        <v>50.058197020999998</v>
      </c>
      <c r="G1842">
        <v>1319.6844481999999</v>
      </c>
      <c r="H1842">
        <v>1305.6967772999999</v>
      </c>
      <c r="I1842">
        <v>1378.0729980000001</v>
      </c>
      <c r="J1842">
        <v>1354.9962158000001</v>
      </c>
      <c r="K1842">
        <v>0</v>
      </c>
      <c r="L1842">
        <v>2750</v>
      </c>
      <c r="M1842">
        <v>2750</v>
      </c>
      <c r="N1842">
        <v>0</v>
      </c>
    </row>
    <row r="1843" spans="1:14" x14ac:dyDescent="0.25">
      <c r="A1843">
        <v>1280.0098410000001</v>
      </c>
      <c r="B1843" s="1">
        <f>DATE(2013,11,1) + TIME(0,14,10)</f>
        <v>41579.009837962964</v>
      </c>
      <c r="C1843">
        <v>80</v>
      </c>
      <c r="D1843">
        <v>79.953651428000001</v>
      </c>
      <c r="E1843">
        <v>60</v>
      </c>
      <c r="F1843">
        <v>50.153690337999997</v>
      </c>
      <c r="G1843">
        <v>1310.9954834</v>
      </c>
      <c r="H1843">
        <v>1296.8569336</v>
      </c>
      <c r="I1843">
        <v>1391.5185547000001</v>
      </c>
      <c r="J1843">
        <v>1368.2873535000001</v>
      </c>
      <c r="K1843">
        <v>0</v>
      </c>
      <c r="L1843">
        <v>2750</v>
      </c>
      <c r="M1843">
        <v>2750</v>
      </c>
      <c r="N1843">
        <v>0</v>
      </c>
    </row>
    <row r="1844" spans="1:14" x14ac:dyDescent="0.25">
      <c r="A1844">
        <v>1280.029524</v>
      </c>
      <c r="B1844" s="1">
        <f>DATE(2013,11,1) + TIME(0,42,30)</f>
        <v>41579.029513888891</v>
      </c>
      <c r="C1844">
        <v>80</v>
      </c>
      <c r="D1844">
        <v>79.948860167999996</v>
      </c>
      <c r="E1844">
        <v>60</v>
      </c>
      <c r="F1844">
        <v>50.430210113999998</v>
      </c>
      <c r="G1844">
        <v>1303.7947998</v>
      </c>
      <c r="H1844">
        <v>1289.5718993999999</v>
      </c>
      <c r="I1844">
        <v>1401.2696533000001</v>
      </c>
      <c r="J1844">
        <v>1377.9942627</v>
      </c>
      <c r="K1844">
        <v>0</v>
      </c>
      <c r="L1844">
        <v>2750</v>
      </c>
      <c r="M1844">
        <v>2750</v>
      </c>
      <c r="N1844">
        <v>0</v>
      </c>
    </row>
    <row r="1845" spans="1:14" x14ac:dyDescent="0.25">
      <c r="A1845">
        <v>1280.066808</v>
      </c>
      <c r="B1845" s="1">
        <f>DATE(2013,11,1) + TIME(1,36,12)</f>
        <v>41579.066805555558</v>
      </c>
      <c r="C1845">
        <v>80</v>
      </c>
      <c r="D1845">
        <v>79.941436768000003</v>
      </c>
      <c r="E1845">
        <v>60</v>
      </c>
      <c r="F1845">
        <v>50.926364898999999</v>
      </c>
      <c r="G1845">
        <v>1300.4417725000001</v>
      </c>
      <c r="H1845">
        <v>1286.1949463000001</v>
      </c>
      <c r="I1845">
        <v>1404.7843018000001</v>
      </c>
      <c r="J1845">
        <v>1381.6379394999999</v>
      </c>
      <c r="K1845">
        <v>0</v>
      </c>
      <c r="L1845">
        <v>2750</v>
      </c>
      <c r="M1845">
        <v>2750</v>
      </c>
      <c r="N1845">
        <v>0</v>
      </c>
    </row>
    <row r="1846" spans="1:14" x14ac:dyDescent="0.25">
      <c r="A1846">
        <v>1280.105585</v>
      </c>
      <c r="B1846" s="1">
        <f>DATE(2013,11,1) + TIME(2,32,2)</f>
        <v>41579.105578703704</v>
      </c>
      <c r="C1846">
        <v>80</v>
      </c>
      <c r="D1846">
        <v>79.934165954999997</v>
      </c>
      <c r="E1846">
        <v>60</v>
      </c>
      <c r="F1846">
        <v>51.414810181</v>
      </c>
      <c r="G1846">
        <v>1299.4371338000001</v>
      </c>
      <c r="H1846">
        <v>1285.1846923999999</v>
      </c>
      <c r="I1846">
        <v>1405.3475341999999</v>
      </c>
      <c r="J1846">
        <v>1382.3603516000001</v>
      </c>
      <c r="K1846">
        <v>0</v>
      </c>
      <c r="L1846">
        <v>2750</v>
      </c>
      <c r="M1846">
        <v>2750</v>
      </c>
      <c r="N1846">
        <v>0</v>
      </c>
    </row>
    <row r="1847" spans="1:14" x14ac:dyDescent="0.25">
      <c r="A1847">
        <v>1280.145806</v>
      </c>
      <c r="B1847" s="1">
        <f>DATE(2013,11,1) + TIME(3,29,57)</f>
        <v>41579.145798611113</v>
      </c>
      <c r="C1847">
        <v>80</v>
      </c>
      <c r="D1847">
        <v>79.926841736</v>
      </c>
      <c r="E1847">
        <v>60</v>
      </c>
      <c r="F1847">
        <v>51.893421173</v>
      </c>
      <c r="G1847">
        <v>1299.1064452999999</v>
      </c>
      <c r="H1847">
        <v>1284.8522949000001</v>
      </c>
      <c r="I1847">
        <v>1405.2276611</v>
      </c>
      <c r="J1847">
        <v>1382.4044189000001</v>
      </c>
      <c r="K1847">
        <v>0</v>
      </c>
      <c r="L1847">
        <v>2750</v>
      </c>
      <c r="M1847">
        <v>2750</v>
      </c>
      <c r="N1847">
        <v>0</v>
      </c>
    </row>
    <row r="1848" spans="1:14" x14ac:dyDescent="0.25">
      <c r="A1848">
        <v>1280.187555</v>
      </c>
      <c r="B1848" s="1">
        <f>DATE(2013,11,1) + TIME(4,30,4)</f>
        <v>41579.1875462963</v>
      </c>
      <c r="C1848">
        <v>80</v>
      </c>
      <c r="D1848">
        <v>79.919387817</v>
      </c>
      <c r="E1848">
        <v>60</v>
      </c>
      <c r="F1848">
        <v>52.361736297999997</v>
      </c>
      <c r="G1848">
        <v>1298.9880370999999</v>
      </c>
      <c r="H1848">
        <v>1284.7330322</v>
      </c>
      <c r="I1848">
        <v>1404.9643555</v>
      </c>
      <c r="J1848">
        <v>1382.3017577999999</v>
      </c>
      <c r="K1848">
        <v>0</v>
      </c>
      <c r="L1848">
        <v>2750</v>
      </c>
      <c r="M1848">
        <v>2750</v>
      </c>
      <c r="N1848">
        <v>0</v>
      </c>
    </row>
    <row r="1849" spans="1:14" x14ac:dyDescent="0.25">
      <c r="A1849">
        <v>1280.2309620000001</v>
      </c>
      <c r="B1849" s="1">
        <f>DATE(2013,11,1) + TIME(5,32,35)</f>
        <v>41579.23096064815</v>
      </c>
      <c r="C1849">
        <v>80</v>
      </c>
      <c r="D1849">
        <v>79.911773682000003</v>
      </c>
      <c r="E1849">
        <v>60</v>
      </c>
      <c r="F1849">
        <v>52.819652556999998</v>
      </c>
      <c r="G1849">
        <v>1298.9417725000001</v>
      </c>
      <c r="H1849">
        <v>1284.6861572</v>
      </c>
      <c r="I1849">
        <v>1404.6842041</v>
      </c>
      <c r="J1849">
        <v>1382.1772461</v>
      </c>
      <c r="K1849">
        <v>0</v>
      </c>
      <c r="L1849">
        <v>2750</v>
      </c>
      <c r="M1849">
        <v>2750</v>
      </c>
      <c r="N1849">
        <v>0</v>
      </c>
    </row>
    <row r="1850" spans="1:14" x14ac:dyDescent="0.25">
      <c r="A1850">
        <v>1280.2761849999999</v>
      </c>
      <c r="B1850" s="1">
        <f>DATE(2013,11,1) + TIME(6,37,42)</f>
        <v>41579.276180555556</v>
      </c>
      <c r="C1850">
        <v>80</v>
      </c>
      <c r="D1850">
        <v>79.903968810999999</v>
      </c>
      <c r="E1850">
        <v>60</v>
      </c>
      <c r="F1850">
        <v>53.267147064</v>
      </c>
      <c r="G1850">
        <v>1298.9221190999999</v>
      </c>
      <c r="H1850">
        <v>1284.6660156</v>
      </c>
      <c r="I1850">
        <v>1404.4124756000001</v>
      </c>
      <c r="J1850">
        <v>1382.0561522999999</v>
      </c>
      <c r="K1850">
        <v>0</v>
      </c>
      <c r="L1850">
        <v>2750</v>
      </c>
      <c r="M1850">
        <v>2750</v>
      </c>
      <c r="N1850">
        <v>0</v>
      </c>
    </row>
    <row r="1851" spans="1:14" x14ac:dyDescent="0.25">
      <c r="A1851">
        <v>1280.323396</v>
      </c>
      <c r="B1851" s="1">
        <f>DATE(2013,11,1) + TIME(7,45,41)</f>
        <v>41579.323391203703</v>
      </c>
      <c r="C1851">
        <v>80</v>
      </c>
      <c r="D1851">
        <v>79.895957946999999</v>
      </c>
      <c r="E1851">
        <v>60</v>
      </c>
      <c r="F1851">
        <v>53.704124450999998</v>
      </c>
      <c r="G1851">
        <v>1298.9128418</v>
      </c>
      <c r="H1851">
        <v>1284.6563721</v>
      </c>
      <c r="I1851">
        <v>1404.1519774999999</v>
      </c>
      <c r="J1851">
        <v>1381.9410399999999</v>
      </c>
      <c r="K1851">
        <v>0</v>
      </c>
      <c r="L1851">
        <v>2750</v>
      </c>
      <c r="M1851">
        <v>2750</v>
      </c>
      <c r="N1851">
        <v>0</v>
      </c>
    </row>
    <row r="1852" spans="1:14" x14ac:dyDescent="0.25">
      <c r="A1852">
        <v>1280.3728080000001</v>
      </c>
      <c r="B1852" s="1">
        <f>DATE(2013,11,1) + TIME(8,56,50)</f>
        <v>41579.372800925928</v>
      </c>
      <c r="C1852">
        <v>80</v>
      </c>
      <c r="D1852">
        <v>79.887718200999998</v>
      </c>
      <c r="E1852">
        <v>60</v>
      </c>
      <c r="F1852">
        <v>54.130588531000001</v>
      </c>
      <c r="G1852">
        <v>1298.9077147999999</v>
      </c>
      <c r="H1852">
        <v>1284.6508789</v>
      </c>
      <c r="I1852">
        <v>1403.9011230000001</v>
      </c>
      <c r="J1852">
        <v>1381.8305664</v>
      </c>
      <c r="K1852">
        <v>0</v>
      </c>
      <c r="L1852">
        <v>2750</v>
      </c>
      <c r="M1852">
        <v>2750</v>
      </c>
      <c r="N1852">
        <v>0</v>
      </c>
    </row>
    <row r="1853" spans="1:14" x14ac:dyDescent="0.25">
      <c r="A1853">
        <v>1280.424665</v>
      </c>
      <c r="B1853" s="1">
        <f>DATE(2013,11,1) + TIME(10,11,31)</f>
        <v>41579.424664351849</v>
      </c>
      <c r="C1853">
        <v>80</v>
      </c>
      <c r="D1853">
        <v>79.879211425999998</v>
      </c>
      <c r="E1853">
        <v>60</v>
      </c>
      <c r="F1853">
        <v>54.546501159999998</v>
      </c>
      <c r="G1853">
        <v>1298.9042969</v>
      </c>
      <c r="H1853">
        <v>1284.6470947</v>
      </c>
      <c r="I1853">
        <v>1403.6584473</v>
      </c>
      <c r="J1853">
        <v>1381.7232666</v>
      </c>
      <c r="K1853">
        <v>0</v>
      </c>
      <c r="L1853">
        <v>2750</v>
      </c>
      <c r="M1853">
        <v>2750</v>
      </c>
      <c r="N1853">
        <v>0</v>
      </c>
    </row>
    <row r="1854" spans="1:14" x14ac:dyDescent="0.25">
      <c r="A1854">
        <v>1280.4792480000001</v>
      </c>
      <c r="B1854" s="1">
        <f>DATE(2013,11,1) + TIME(11,30,7)</f>
        <v>41579.479247685187</v>
      </c>
      <c r="C1854">
        <v>80</v>
      </c>
      <c r="D1854">
        <v>79.870414733999993</v>
      </c>
      <c r="E1854">
        <v>60</v>
      </c>
      <c r="F1854">
        <v>54.951763153000002</v>
      </c>
      <c r="G1854">
        <v>1298.9016113</v>
      </c>
      <c r="H1854">
        <v>1284.6439209</v>
      </c>
      <c r="I1854">
        <v>1403.4226074000001</v>
      </c>
      <c r="J1854">
        <v>1381.6184082</v>
      </c>
      <c r="K1854">
        <v>0</v>
      </c>
      <c r="L1854">
        <v>2750</v>
      </c>
      <c r="M1854">
        <v>2750</v>
      </c>
      <c r="N1854">
        <v>0</v>
      </c>
    </row>
    <row r="1855" spans="1:14" x14ac:dyDescent="0.25">
      <c r="A1855">
        <v>1280.536887</v>
      </c>
      <c r="B1855" s="1">
        <f>DATE(2013,11,1) + TIME(12,53,7)</f>
        <v>41579.536886574075</v>
      </c>
      <c r="C1855">
        <v>80</v>
      </c>
      <c r="D1855">
        <v>79.861282349000007</v>
      </c>
      <c r="E1855">
        <v>60</v>
      </c>
      <c r="F1855">
        <v>55.346244812000002</v>
      </c>
      <c r="G1855">
        <v>1298.8991699000001</v>
      </c>
      <c r="H1855">
        <v>1284.6409911999999</v>
      </c>
      <c r="I1855">
        <v>1403.1931152</v>
      </c>
      <c r="J1855">
        <v>1381.5152588000001</v>
      </c>
      <c r="K1855">
        <v>0</v>
      </c>
      <c r="L1855">
        <v>2750</v>
      </c>
      <c r="M1855">
        <v>2750</v>
      </c>
      <c r="N1855">
        <v>0</v>
      </c>
    </row>
    <row r="1856" spans="1:14" x14ac:dyDescent="0.25">
      <c r="A1856">
        <v>1280.5979729999999</v>
      </c>
      <c r="B1856" s="1">
        <f>DATE(2013,11,1) + TIME(14,21,4)</f>
        <v>41579.597962962966</v>
      </c>
      <c r="C1856">
        <v>80</v>
      </c>
      <c r="D1856">
        <v>79.851776122999993</v>
      </c>
      <c r="E1856">
        <v>60</v>
      </c>
      <c r="F1856">
        <v>55.729782104000002</v>
      </c>
      <c r="G1856">
        <v>1298.8966064000001</v>
      </c>
      <c r="H1856">
        <v>1284.6379394999999</v>
      </c>
      <c r="I1856">
        <v>1402.9694824000001</v>
      </c>
      <c r="J1856">
        <v>1381.4134521000001</v>
      </c>
      <c r="K1856">
        <v>0</v>
      </c>
      <c r="L1856">
        <v>2750</v>
      </c>
      <c r="M1856">
        <v>2750</v>
      </c>
      <c r="N1856">
        <v>0</v>
      </c>
    </row>
    <row r="1857" spans="1:14" x14ac:dyDescent="0.25">
      <c r="A1857">
        <v>1280.662973</v>
      </c>
      <c r="B1857" s="1">
        <f>DATE(2013,11,1) + TIME(15,54,40)</f>
        <v>41579.662962962961</v>
      </c>
      <c r="C1857">
        <v>80</v>
      </c>
      <c r="D1857">
        <v>79.841835021999998</v>
      </c>
      <c r="E1857">
        <v>60</v>
      </c>
      <c r="F1857">
        <v>56.102169037000003</v>
      </c>
      <c r="G1857">
        <v>1298.894043</v>
      </c>
      <c r="H1857">
        <v>1284.6348877</v>
      </c>
      <c r="I1857">
        <v>1402.7512207</v>
      </c>
      <c r="J1857">
        <v>1381.3126221</v>
      </c>
      <c r="K1857">
        <v>0</v>
      </c>
      <c r="L1857">
        <v>2750</v>
      </c>
      <c r="M1857">
        <v>2750</v>
      </c>
      <c r="N1857">
        <v>0</v>
      </c>
    </row>
    <row r="1858" spans="1:14" x14ac:dyDescent="0.25">
      <c r="A1858">
        <v>1280.7324530000001</v>
      </c>
      <c r="B1858" s="1">
        <f>DATE(2013,11,1) + TIME(17,34,43)</f>
        <v>41579.732442129629</v>
      </c>
      <c r="C1858">
        <v>80</v>
      </c>
      <c r="D1858">
        <v>79.83140564</v>
      </c>
      <c r="E1858">
        <v>60</v>
      </c>
      <c r="F1858">
        <v>56.463157654</v>
      </c>
      <c r="G1858">
        <v>1298.8912353999999</v>
      </c>
      <c r="H1858">
        <v>1284.6315918</v>
      </c>
      <c r="I1858">
        <v>1402.5379639</v>
      </c>
      <c r="J1858">
        <v>1381.2127685999999</v>
      </c>
      <c r="K1858">
        <v>0</v>
      </c>
      <c r="L1858">
        <v>2750</v>
      </c>
      <c r="M1858">
        <v>2750</v>
      </c>
      <c r="N1858">
        <v>0</v>
      </c>
    </row>
    <row r="1859" spans="1:14" x14ac:dyDescent="0.25">
      <c r="A1859">
        <v>1280.807104</v>
      </c>
      <c r="B1859" s="1">
        <f>DATE(2013,11,1) + TIME(19,22,13)</f>
        <v>41579.80709490741</v>
      </c>
      <c r="C1859">
        <v>80</v>
      </c>
      <c r="D1859">
        <v>79.820411682</v>
      </c>
      <c r="E1859">
        <v>60</v>
      </c>
      <c r="F1859">
        <v>56.812442779999998</v>
      </c>
      <c r="G1859">
        <v>1298.8883057</v>
      </c>
      <c r="H1859">
        <v>1284.6280518000001</v>
      </c>
      <c r="I1859">
        <v>1402.3294678</v>
      </c>
      <c r="J1859">
        <v>1381.1132812000001</v>
      </c>
      <c r="K1859">
        <v>0</v>
      </c>
      <c r="L1859">
        <v>2750</v>
      </c>
      <c r="M1859">
        <v>2750</v>
      </c>
      <c r="N1859">
        <v>0</v>
      </c>
    </row>
    <row r="1860" spans="1:14" x14ac:dyDescent="0.25">
      <c r="A1860">
        <v>1280.8877849999999</v>
      </c>
      <c r="B1860" s="1">
        <f>DATE(2013,11,1) + TIME(21,18,24)</f>
        <v>41579.887777777774</v>
      </c>
      <c r="C1860">
        <v>80</v>
      </c>
      <c r="D1860">
        <v>79.808761597</v>
      </c>
      <c r="E1860">
        <v>60</v>
      </c>
      <c r="F1860">
        <v>57.149650573999999</v>
      </c>
      <c r="G1860">
        <v>1298.8851318</v>
      </c>
      <c r="H1860">
        <v>1284.6242675999999</v>
      </c>
      <c r="I1860">
        <v>1402.1252440999999</v>
      </c>
      <c r="J1860">
        <v>1381.0141602000001</v>
      </c>
      <c r="K1860">
        <v>0</v>
      </c>
      <c r="L1860">
        <v>2750</v>
      </c>
      <c r="M1860">
        <v>2750</v>
      </c>
      <c r="N1860">
        <v>0</v>
      </c>
    </row>
    <row r="1861" spans="1:14" x14ac:dyDescent="0.25">
      <c r="A1861">
        <v>1280.975584</v>
      </c>
      <c r="B1861" s="1">
        <f>DATE(2013,11,1) + TIME(23,24,50)</f>
        <v>41579.975578703707</v>
      </c>
      <c r="C1861">
        <v>80</v>
      </c>
      <c r="D1861">
        <v>79.796333313000005</v>
      </c>
      <c r="E1861">
        <v>60</v>
      </c>
      <c r="F1861">
        <v>57.474346161</v>
      </c>
      <c r="G1861">
        <v>1298.8815918</v>
      </c>
      <c r="H1861">
        <v>1284.6202393000001</v>
      </c>
      <c r="I1861">
        <v>1401.9249268000001</v>
      </c>
      <c r="J1861">
        <v>1380.9150391000001</v>
      </c>
      <c r="K1861">
        <v>0</v>
      </c>
      <c r="L1861">
        <v>2750</v>
      </c>
      <c r="M1861">
        <v>2750</v>
      </c>
      <c r="N1861">
        <v>0</v>
      </c>
    </row>
    <row r="1862" spans="1:14" x14ac:dyDescent="0.25">
      <c r="A1862">
        <v>1281.0719300000001</v>
      </c>
      <c r="B1862" s="1">
        <f>DATE(2013,11,2) + TIME(1,43,34)</f>
        <v>41580.071921296294</v>
      </c>
      <c r="C1862">
        <v>80</v>
      </c>
      <c r="D1862">
        <v>79.782981872999997</v>
      </c>
      <c r="E1862">
        <v>60</v>
      </c>
      <c r="F1862">
        <v>57.786090850999997</v>
      </c>
      <c r="G1862">
        <v>1298.8779297000001</v>
      </c>
      <c r="H1862">
        <v>1284.6158447</v>
      </c>
      <c r="I1862">
        <v>1401.7282714999999</v>
      </c>
      <c r="J1862">
        <v>1380.8153076000001</v>
      </c>
      <c r="K1862">
        <v>0</v>
      </c>
      <c r="L1862">
        <v>2750</v>
      </c>
      <c r="M1862">
        <v>2750</v>
      </c>
      <c r="N1862">
        <v>0</v>
      </c>
    </row>
    <row r="1863" spans="1:14" x14ac:dyDescent="0.25">
      <c r="A1863">
        <v>1281.1786159999999</v>
      </c>
      <c r="B1863" s="1">
        <f>DATE(2013,11,2) + TIME(4,17,12)</f>
        <v>41580.178611111114</v>
      </c>
      <c r="C1863">
        <v>80</v>
      </c>
      <c r="D1863">
        <v>79.768524170000006</v>
      </c>
      <c r="E1863">
        <v>60</v>
      </c>
      <c r="F1863">
        <v>58.084098816000001</v>
      </c>
      <c r="G1863">
        <v>1298.8737793</v>
      </c>
      <c r="H1863">
        <v>1284.6109618999999</v>
      </c>
      <c r="I1863">
        <v>1401.534668</v>
      </c>
      <c r="J1863">
        <v>1380.7147216999999</v>
      </c>
      <c r="K1863">
        <v>0</v>
      </c>
      <c r="L1863">
        <v>2750</v>
      </c>
      <c r="M1863">
        <v>2750</v>
      </c>
      <c r="N1863">
        <v>0</v>
      </c>
    </row>
    <row r="1864" spans="1:14" x14ac:dyDescent="0.25">
      <c r="A1864">
        <v>1281.298096</v>
      </c>
      <c r="B1864" s="1">
        <f>DATE(2013,11,2) + TIME(7,9,15)</f>
        <v>41580.298090277778</v>
      </c>
      <c r="C1864">
        <v>80</v>
      </c>
      <c r="D1864">
        <v>79.752708435000002</v>
      </c>
      <c r="E1864">
        <v>60</v>
      </c>
      <c r="F1864">
        <v>58.367542266999997</v>
      </c>
      <c r="G1864">
        <v>1298.8691406</v>
      </c>
      <c r="H1864">
        <v>1284.6055908000001</v>
      </c>
      <c r="I1864">
        <v>1401.3436279</v>
      </c>
      <c r="J1864">
        <v>1380.612793</v>
      </c>
      <c r="K1864">
        <v>0</v>
      </c>
      <c r="L1864">
        <v>2750</v>
      </c>
      <c r="M1864">
        <v>2750</v>
      </c>
      <c r="N1864">
        <v>0</v>
      </c>
    </row>
    <row r="1865" spans="1:14" x14ac:dyDescent="0.25">
      <c r="A1865">
        <v>1281.4337660000001</v>
      </c>
      <c r="B1865" s="1">
        <f>DATE(2013,11,2) + TIME(10,24,37)</f>
        <v>41580.433761574073</v>
      </c>
      <c r="C1865">
        <v>80</v>
      </c>
      <c r="D1865">
        <v>79.735214232999994</v>
      </c>
      <c r="E1865">
        <v>60</v>
      </c>
      <c r="F1865">
        <v>58.63539505</v>
      </c>
      <c r="G1865">
        <v>1298.8641356999999</v>
      </c>
      <c r="H1865">
        <v>1284.5996094</v>
      </c>
      <c r="I1865">
        <v>1401.1547852000001</v>
      </c>
      <c r="J1865">
        <v>1380.5087891000001</v>
      </c>
      <c r="K1865">
        <v>0</v>
      </c>
      <c r="L1865">
        <v>2750</v>
      </c>
      <c r="M1865">
        <v>2750</v>
      </c>
      <c r="N1865">
        <v>0</v>
      </c>
    </row>
    <row r="1866" spans="1:14" x14ac:dyDescent="0.25">
      <c r="A1866">
        <v>1281.582091</v>
      </c>
      <c r="B1866" s="1">
        <f>DATE(2013,11,2) + TIME(13,58,12)</f>
        <v>41580.582083333335</v>
      </c>
      <c r="C1866">
        <v>80</v>
      </c>
      <c r="D1866">
        <v>79.716445922999995</v>
      </c>
      <c r="E1866">
        <v>60</v>
      </c>
      <c r="F1866">
        <v>58.875350951999998</v>
      </c>
      <c r="G1866">
        <v>1298.8583983999999</v>
      </c>
      <c r="H1866">
        <v>1284.5930175999999</v>
      </c>
      <c r="I1866">
        <v>1400.9744873</v>
      </c>
      <c r="J1866">
        <v>1380.4053954999999</v>
      </c>
      <c r="K1866">
        <v>0</v>
      </c>
      <c r="L1866">
        <v>2750</v>
      </c>
      <c r="M1866">
        <v>2750</v>
      </c>
      <c r="N1866">
        <v>0</v>
      </c>
    </row>
    <row r="1867" spans="1:14" x14ac:dyDescent="0.25">
      <c r="A1867">
        <v>1281.730681</v>
      </c>
      <c r="B1867" s="1">
        <f>DATE(2013,11,2) + TIME(17,32,10)</f>
        <v>41580.730671296296</v>
      </c>
      <c r="C1867">
        <v>80</v>
      </c>
      <c r="D1867">
        <v>79.697700499999996</v>
      </c>
      <c r="E1867">
        <v>60</v>
      </c>
      <c r="F1867">
        <v>59.072273254000002</v>
      </c>
      <c r="G1867">
        <v>1298.8519286999999</v>
      </c>
      <c r="H1867">
        <v>1284.5858154</v>
      </c>
      <c r="I1867">
        <v>1400.8133545000001</v>
      </c>
      <c r="J1867">
        <v>1380.3083495999999</v>
      </c>
      <c r="K1867">
        <v>0</v>
      </c>
      <c r="L1867">
        <v>2750</v>
      </c>
      <c r="M1867">
        <v>2750</v>
      </c>
      <c r="N1867">
        <v>0</v>
      </c>
    </row>
    <row r="1868" spans="1:14" x14ac:dyDescent="0.25">
      <c r="A1868">
        <v>1281.881531</v>
      </c>
      <c r="B1868" s="1">
        <f>DATE(2013,11,2) + TIME(21,9,24)</f>
        <v>41580.881527777776</v>
      </c>
      <c r="C1868">
        <v>80</v>
      </c>
      <c r="D1868">
        <v>79.678771972999996</v>
      </c>
      <c r="E1868">
        <v>60</v>
      </c>
      <c r="F1868">
        <v>59.235599518000001</v>
      </c>
      <c r="G1868">
        <v>1298.8455810999999</v>
      </c>
      <c r="H1868">
        <v>1284.5786132999999</v>
      </c>
      <c r="I1868">
        <v>1400.6690673999999</v>
      </c>
      <c r="J1868">
        <v>1380.2185059000001</v>
      </c>
      <c r="K1868">
        <v>0</v>
      </c>
      <c r="L1868">
        <v>2750</v>
      </c>
      <c r="M1868">
        <v>2750</v>
      </c>
      <c r="N1868">
        <v>0</v>
      </c>
    </row>
    <row r="1869" spans="1:14" x14ac:dyDescent="0.25">
      <c r="A1869">
        <v>1282.035637</v>
      </c>
      <c r="B1869" s="1">
        <f>DATE(2013,11,3) + TIME(0,51,19)</f>
        <v>41581.035636574074</v>
      </c>
      <c r="C1869">
        <v>80</v>
      </c>
      <c r="D1869">
        <v>79.659568786999998</v>
      </c>
      <c r="E1869">
        <v>60</v>
      </c>
      <c r="F1869">
        <v>59.371387482000003</v>
      </c>
      <c r="G1869">
        <v>1298.8392334</v>
      </c>
      <c r="H1869">
        <v>1284.5712891000001</v>
      </c>
      <c r="I1869">
        <v>1400.5383300999999</v>
      </c>
      <c r="J1869">
        <v>1380.1345214999999</v>
      </c>
      <c r="K1869">
        <v>0</v>
      </c>
      <c r="L1869">
        <v>2750</v>
      </c>
      <c r="M1869">
        <v>2750</v>
      </c>
      <c r="N1869">
        <v>0</v>
      </c>
    </row>
    <row r="1870" spans="1:14" x14ac:dyDescent="0.25">
      <c r="A1870">
        <v>1282.194029</v>
      </c>
      <c r="B1870" s="1">
        <f>DATE(2013,11,3) + TIME(4,39,24)</f>
        <v>41581.194027777776</v>
      </c>
      <c r="C1870">
        <v>80</v>
      </c>
      <c r="D1870">
        <v>79.639991760000001</v>
      </c>
      <c r="E1870">
        <v>60</v>
      </c>
      <c r="F1870">
        <v>59.484405518000003</v>
      </c>
      <c r="G1870">
        <v>1298.8326416</v>
      </c>
      <c r="H1870">
        <v>1284.5637207</v>
      </c>
      <c r="I1870">
        <v>1400.4187012</v>
      </c>
      <c r="J1870">
        <v>1380.0552978999999</v>
      </c>
      <c r="K1870">
        <v>0</v>
      </c>
      <c r="L1870">
        <v>2750</v>
      </c>
      <c r="M1870">
        <v>2750</v>
      </c>
      <c r="N1870">
        <v>0</v>
      </c>
    </row>
    <row r="1871" spans="1:14" x14ac:dyDescent="0.25">
      <c r="A1871">
        <v>1282.3577660000001</v>
      </c>
      <c r="B1871" s="1">
        <f>DATE(2013,11,3) + TIME(8,35,10)</f>
        <v>41581.357754629629</v>
      </c>
      <c r="C1871">
        <v>80</v>
      </c>
      <c r="D1871">
        <v>79.619926453000005</v>
      </c>
      <c r="E1871">
        <v>60</v>
      </c>
      <c r="F1871">
        <v>59.578422545999999</v>
      </c>
      <c r="G1871">
        <v>1298.8259277</v>
      </c>
      <c r="H1871">
        <v>1284.5561522999999</v>
      </c>
      <c r="I1871">
        <v>1400.3082274999999</v>
      </c>
      <c r="J1871">
        <v>1379.9798584</v>
      </c>
      <c r="K1871">
        <v>0</v>
      </c>
      <c r="L1871">
        <v>2750</v>
      </c>
      <c r="M1871">
        <v>2750</v>
      </c>
      <c r="N1871">
        <v>0</v>
      </c>
    </row>
    <row r="1872" spans="1:14" x14ac:dyDescent="0.25">
      <c r="A1872">
        <v>1282.527994</v>
      </c>
      <c r="B1872" s="1">
        <f>DATE(2013,11,3) + TIME(12,40,18)</f>
        <v>41581.527986111112</v>
      </c>
      <c r="C1872">
        <v>80</v>
      </c>
      <c r="D1872">
        <v>79.599258422999995</v>
      </c>
      <c r="E1872">
        <v>60</v>
      </c>
      <c r="F1872">
        <v>59.656501769999998</v>
      </c>
      <c r="G1872">
        <v>1298.8190918</v>
      </c>
      <c r="H1872">
        <v>1284.5482178</v>
      </c>
      <c r="I1872">
        <v>1400.2052002</v>
      </c>
      <c r="J1872">
        <v>1379.9075928</v>
      </c>
      <c r="K1872">
        <v>0</v>
      </c>
      <c r="L1872">
        <v>2750</v>
      </c>
      <c r="M1872">
        <v>2750</v>
      </c>
      <c r="N1872">
        <v>0</v>
      </c>
    </row>
    <row r="1873" spans="1:14" x14ac:dyDescent="0.25">
      <c r="A1873">
        <v>1282.7059830000001</v>
      </c>
      <c r="B1873" s="1">
        <f>DATE(2013,11,3) + TIME(16,56,36)</f>
        <v>41581.705972222226</v>
      </c>
      <c r="C1873">
        <v>80</v>
      </c>
      <c r="D1873">
        <v>79.577873229999994</v>
      </c>
      <c r="E1873">
        <v>60</v>
      </c>
      <c r="F1873">
        <v>59.721141815000003</v>
      </c>
      <c r="G1873">
        <v>1298.8120117000001</v>
      </c>
      <c r="H1873">
        <v>1284.5400391000001</v>
      </c>
      <c r="I1873">
        <v>1400.1083983999999</v>
      </c>
      <c r="J1873">
        <v>1379.8377685999999</v>
      </c>
      <c r="K1873">
        <v>0</v>
      </c>
      <c r="L1873">
        <v>2750</v>
      </c>
      <c r="M1873">
        <v>2750</v>
      </c>
      <c r="N1873">
        <v>0</v>
      </c>
    </row>
    <row r="1874" spans="1:14" x14ac:dyDescent="0.25">
      <c r="A1874">
        <v>1282.8931909999999</v>
      </c>
      <c r="B1874" s="1">
        <f>DATE(2013,11,3) + TIME(21,26,11)</f>
        <v>41581.893182870372</v>
      </c>
      <c r="C1874">
        <v>80</v>
      </c>
      <c r="D1874">
        <v>79.555625915999997</v>
      </c>
      <c r="E1874">
        <v>60</v>
      </c>
      <c r="F1874">
        <v>59.774421691999997</v>
      </c>
      <c r="G1874">
        <v>1298.8045654</v>
      </c>
      <c r="H1874">
        <v>1284.5316161999999</v>
      </c>
      <c r="I1874">
        <v>1400.0166016000001</v>
      </c>
      <c r="J1874">
        <v>1379.7698975000001</v>
      </c>
      <c r="K1874">
        <v>0</v>
      </c>
      <c r="L1874">
        <v>2750</v>
      </c>
      <c r="M1874">
        <v>2750</v>
      </c>
      <c r="N1874">
        <v>0</v>
      </c>
    </row>
    <row r="1875" spans="1:14" x14ac:dyDescent="0.25">
      <c r="A1875">
        <v>1283.091326</v>
      </c>
      <c r="B1875" s="1">
        <f>DATE(2013,11,4) + TIME(2,11,30)</f>
        <v>41582.091319444444</v>
      </c>
      <c r="C1875">
        <v>80</v>
      </c>
      <c r="D1875">
        <v>79.532348632999998</v>
      </c>
      <c r="E1875">
        <v>60</v>
      </c>
      <c r="F1875">
        <v>59.818080901999998</v>
      </c>
      <c r="G1875">
        <v>1298.7967529</v>
      </c>
      <c r="H1875">
        <v>1284.5227050999999</v>
      </c>
      <c r="I1875">
        <v>1399.9287108999999</v>
      </c>
      <c r="J1875">
        <v>1379.7033690999999</v>
      </c>
      <c r="K1875">
        <v>0</v>
      </c>
      <c r="L1875">
        <v>2750</v>
      </c>
      <c r="M1875">
        <v>2750</v>
      </c>
      <c r="N1875">
        <v>0</v>
      </c>
    </row>
    <row r="1876" spans="1:14" x14ac:dyDescent="0.25">
      <c r="A1876">
        <v>1283.301982</v>
      </c>
      <c r="B1876" s="1">
        <f>DATE(2013,11,4) + TIME(7,14,51)</f>
        <v>41582.301979166667</v>
      </c>
      <c r="C1876">
        <v>80</v>
      </c>
      <c r="D1876">
        <v>79.507896423000005</v>
      </c>
      <c r="E1876">
        <v>60</v>
      </c>
      <c r="F1876">
        <v>59.853546143000003</v>
      </c>
      <c r="G1876">
        <v>1298.7885742000001</v>
      </c>
      <c r="H1876">
        <v>1284.5133057</v>
      </c>
      <c r="I1876">
        <v>1399.84375</v>
      </c>
      <c r="J1876">
        <v>1379.6376952999999</v>
      </c>
      <c r="K1876">
        <v>0</v>
      </c>
      <c r="L1876">
        <v>2750</v>
      </c>
      <c r="M1876">
        <v>2750</v>
      </c>
      <c r="N1876">
        <v>0</v>
      </c>
    </row>
    <row r="1877" spans="1:14" x14ac:dyDescent="0.25">
      <c r="A1877">
        <v>1283.524036</v>
      </c>
      <c r="B1877" s="1">
        <f>DATE(2013,11,4) + TIME(12,34,36)</f>
        <v>41582.524027777778</v>
      </c>
      <c r="C1877">
        <v>80</v>
      </c>
      <c r="D1877">
        <v>79.482360839999998</v>
      </c>
      <c r="E1877">
        <v>60</v>
      </c>
      <c r="F1877">
        <v>59.881767273000001</v>
      </c>
      <c r="G1877">
        <v>1298.7797852000001</v>
      </c>
      <c r="H1877">
        <v>1284.5032959</v>
      </c>
      <c r="I1877">
        <v>1399.7613524999999</v>
      </c>
      <c r="J1877">
        <v>1379.5726318</v>
      </c>
      <c r="K1877">
        <v>0</v>
      </c>
      <c r="L1877">
        <v>2750</v>
      </c>
      <c r="M1877">
        <v>2750</v>
      </c>
      <c r="N1877">
        <v>0</v>
      </c>
    </row>
    <row r="1878" spans="1:14" x14ac:dyDescent="0.25">
      <c r="A1878">
        <v>1283.75963</v>
      </c>
      <c r="B1878" s="1">
        <f>DATE(2013,11,4) + TIME(18,13,52)</f>
        <v>41582.759629629632</v>
      </c>
      <c r="C1878">
        <v>80</v>
      </c>
      <c r="D1878">
        <v>79.455543517999999</v>
      </c>
      <c r="E1878">
        <v>60</v>
      </c>
      <c r="F1878">
        <v>59.904064177999999</v>
      </c>
      <c r="G1878">
        <v>1298.7706298999999</v>
      </c>
      <c r="H1878">
        <v>1284.4927978999999</v>
      </c>
      <c r="I1878">
        <v>1399.6813964999999</v>
      </c>
      <c r="J1878">
        <v>1379.5084228999999</v>
      </c>
      <c r="K1878">
        <v>0</v>
      </c>
      <c r="L1878">
        <v>2750</v>
      </c>
      <c r="M1878">
        <v>2750</v>
      </c>
      <c r="N1878">
        <v>0</v>
      </c>
    </row>
    <row r="1879" spans="1:14" x14ac:dyDescent="0.25">
      <c r="A1879">
        <v>1284.0110950000001</v>
      </c>
      <c r="B1879" s="1">
        <f>DATE(2013,11,5) + TIME(0,15,58)</f>
        <v>41583.011087962965</v>
      </c>
      <c r="C1879">
        <v>80</v>
      </c>
      <c r="D1879">
        <v>79.427246093999997</v>
      </c>
      <c r="E1879">
        <v>60</v>
      </c>
      <c r="F1879">
        <v>59.921508789000001</v>
      </c>
      <c r="G1879">
        <v>1298.7608643000001</v>
      </c>
      <c r="H1879">
        <v>1284.4816894999999</v>
      </c>
      <c r="I1879">
        <v>1399.6030272999999</v>
      </c>
      <c r="J1879">
        <v>1379.4447021000001</v>
      </c>
      <c r="K1879">
        <v>0</v>
      </c>
      <c r="L1879">
        <v>2750</v>
      </c>
      <c r="M1879">
        <v>2750</v>
      </c>
      <c r="N1879">
        <v>0</v>
      </c>
    </row>
    <row r="1880" spans="1:14" x14ac:dyDescent="0.25">
      <c r="A1880">
        <v>1284.2813040000001</v>
      </c>
      <c r="B1880" s="1">
        <f>DATE(2013,11,5) + TIME(6,45,4)</f>
        <v>41583.2812962963</v>
      </c>
      <c r="C1880">
        <v>80</v>
      </c>
      <c r="D1880">
        <v>79.397224425999994</v>
      </c>
      <c r="E1880">
        <v>60</v>
      </c>
      <c r="F1880">
        <v>59.935012817</v>
      </c>
      <c r="G1880">
        <v>1298.7506103999999</v>
      </c>
      <c r="H1880">
        <v>1284.4698486</v>
      </c>
      <c r="I1880">
        <v>1399.5255127</v>
      </c>
      <c r="J1880">
        <v>1379.3808594</v>
      </c>
      <c r="K1880">
        <v>0</v>
      </c>
      <c r="L1880">
        <v>2750</v>
      </c>
      <c r="M1880">
        <v>2750</v>
      </c>
      <c r="N1880">
        <v>0</v>
      </c>
    </row>
    <row r="1881" spans="1:14" x14ac:dyDescent="0.25">
      <c r="A1881">
        <v>1284.5739450000001</v>
      </c>
      <c r="B1881" s="1">
        <f>DATE(2013,11,5) + TIME(13,46,28)</f>
        <v>41583.573935185188</v>
      </c>
      <c r="C1881">
        <v>80</v>
      </c>
      <c r="D1881">
        <v>79.365150451999995</v>
      </c>
      <c r="E1881">
        <v>60</v>
      </c>
      <c r="F1881">
        <v>59.945331572999997</v>
      </c>
      <c r="G1881">
        <v>1298.7395019999999</v>
      </c>
      <c r="H1881">
        <v>1284.4571533000001</v>
      </c>
      <c r="I1881">
        <v>1399.4481201000001</v>
      </c>
      <c r="J1881">
        <v>1379.3165283000001</v>
      </c>
      <c r="K1881">
        <v>0</v>
      </c>
      <c r="L1881">
        <v>2750</v>
      </c>
      <c r="M1881">
        <v>2750</v>
      </c>
      <c r="N1881">
        <v>0</v>
      </c>
    </row>
    <row r="1882" spans="1:14" x14ac:dyDescent="0.25">
      <c r="A1882">
        <v>1284.8873470000001</v>
      </c>
      <c r="B1882" s="1">
        <f>DATE(2013,11,5) + TIME(21,17,46)</f>
        <v>41583.887337962966</v>
      </c>
      <c r="C1882">
        <v>80</v>
      </c>
      <c r="D1882">
        <v>79.331115722999996</v>
      </c>
      <c r="E1882">
        <v>60</v>
      </c>
      <c r="F1882">
        <v>59.952991486000002</v>
      </c>
      <c r="G1882">
        <v>1298.7275391000001</v>
      </c>
      <c r="H1882">
        <v>1284.4434814000001</v>
      </c>
      <c r="I1882">
        <v>1399.3699951000001</v>
      </c>
      <c r="J1882">
        <v>1379.2510986</v>
      </c>
      <c r="K1882">
        <v>0</v>
      </c>
      <c r="L1882">
        <v>2750</v>
      </c>
      <c r="M1882">
        <v>2750</v>
      </c>
      <c r="N1882">
        <v>0</v>
      </c>
    </row>
    <row r="1883" spans="1:14" x14ac:dyDescent="0.25">
      <c r="A1883">
        <v>1285.2056379999999</v>
      </c>
      <c r="B1883" s="1">
        <f>DATE(2013,11,6) + TIME(4,56,7)</f>
        <v>41584.205636574072</v>
      </c>
      <c r="C1883">
        <v>80</v>
      </c>
      <c r="D1883">
        <v>79.296295165999993</v>
      </c>
      <c r="E1883">
        <v>60</v>
      </c>
      <c r="F1883">
        <v>59.958385468000003</v>
      </c>
      <c r="G1883">
        <v>1298.7147216999999</v>
      </c>
      <c r="H1883">
        <v>1284.4289550999999</v>
      </c>
      <c r="I1883">
        <v>1399.2919922000001</v>
      </c>
      <c r="J1883">
        <v>1379.1854248</v>
      </c>
      <c r="K1883">
        <v>0</v>
      </c>
      <c r="L1883">
        <v>2750</v>
      </c>
      <c r="M1883">
        <v>2750</v>
      </c>
      <c r="N1883">
        <v>0</v>
      </c>
    </row>
    <row r="1884" spans="1:14" x14ac:dyDescent="0.25">
      <c r="A1884">
        <v>1285.531831</v>
      </c>
      <c r="B1884" s="1">
        <f>DATE(2013,11,6) + TIME(12,45,50)</f>
        <v>41584.531828703701</v>
      </c>
      <c r="C1884">
        <v>80</v>
      </c>
      <c r="D1884">
        <v>79.260597228999998</v>
      </c>
      <c r="E1884">
        <v>60</v>
      </c>
      <c r="F1884">
        <v>59.962203979000002</v>
      </c>
      <c r="G1884">
        <v>1298.7016602000001</v>
      </c>
      <c r="H1884">
        <v>1284.4141846</v>
      </c>
      <c r="I1884">
        <v>1399.2176514</v>
      </c>
      <c r="J1884">
        <v>1379.1226807</v>
      </c>
      <c r="K1884">
        <v>0</v>
      </c>
      <c r="L1884">
        <v>2750</v>
      </c>
      <c r="M1884">
        <v>2750</v>
      </c>
      <c r="N1884">
        <v>0</v>
      </c>
    </row>
    <row r="1885" spans="1:14" x14ac:dyDescent="0.25">
      <c r="A1885">
        <v>1285.863615</v>
      </c>
      <c r="B1885" s="1">
        <f>DATE(2013,11,6) + TIME(20,43,36)</f>
        <v>41584.863611111112</v>
      </c>
      <c r="C1885">
        <v>80</v>
      </c>
      <c r="D1885">
        <v>79.224288939999994</v>
      </c>
      <c r="E1885">
        <v>60</v>
      </c>
      <c r="F1885">
        <v>59.964889526</v>
      </c>
      <c r="G1885">
        <v>1298.6882324000001</v>
      </c>
      <c r="H1885">
        <v>1284.3990478999999</v>
      </c>
      <c r="I1885">
        <v>1399.1459961</v>
      </c>
      <c r="J1885">
        <v>1379.0620117000001</v>
      </c>
      <c r="K1885">
        <v>0</v>
      </c>
      <c r="L1885">
        <v>2750</v>
      </c>
      <c r="M1885">
        <v>2750</v>
      </c>
      <c r="N1885">
        <v>0</v>
      </c>
    </row>
    <row r="1886" spans="1:14" x14ac:dyDescent="0.25">
      <c r="A1886">
        <v>1286.2020540000001</v>
      </c>
      <c r="B1886" s="1">
        <f>DATE(2013,11,7) + TIME(4,50,57)</f>
        <v>41585.202048611114</v>
      </c>
      <c r="C1886">
        <v>80</v>
      </c>
      <c r="D1886">
        <v>79.187362671000002</v>
      </c>
      <c r="E1886">
        <v>60</v>
      </c>
      <c r="F1886">
        <v>59.966789245999998</v>
      </c>
      <c r="G1886">
        <v>1298.6746826000001</v>
      </c>
      <c r="H1886">
        <v>1284.3835449000001</v>
      </c>
      <c r="I1886">
        <v>1399.0769043</v>
      </c>
      <c r="J1886">
        <v>1379.0037841999999</v>
      </c>
      <c r="K1886">
        <v>0</v>
      </c>
      <c r="L1886">
        <v>2750</v>
      </c>
      <c r="M1886">
        <v>2750</v>
      </c>
      <c r="N1886">
        <v>0</v>
      </c>
    </row>
    <row r="1887" spans="1:14" x14ac:dyDescent="0.25">
      <c r="A1887">
        <v>1286.5493059999999</v>
      </c>
      <c r="B1887" s="1">
        <f>DATE(2013,11,7) + TIME(13,11,0)</f>
        <v>41585.549305555556</v>
      </c>
      <c r="C1887">
        <v>80</v>
      </c>
      <c r="D1887">
        <v>79.149711608999993</v>
      </c>
      <c r="E1887">
        <v>60</v>
      </c>
      <c r="F1887">
        <v>59.968135834000002</v>
      </c>
      <c r="G1887">
        <v>1298.6610106999999</v>
      </c>
      <c r="H1887">
        <v>1284.3679199000001</v>
      </c>
      <c r="I1887">
        <v>1399.0101318</v>
      </c>
      <c r="J1887">
        <v>1378.9473877</v>
      </c>
      <c r="K1887">
        <v>0</v>
      </c>
      <c r="L1887">
        <v>2750</v>
      </c>
      <c r="M1887">
        <v>2750</v>
      </c>
      <c r="N1887">
        <v>0</v>
      </c>
    </row>
    <row r="1888" spans="1:14" x14ac:dyDescent="0.25">
      <c r="A1888">
        <v>1286.9075949999999</v>
      </c>
      <c r="B1888" s="1">
        <f>DATE(2013,11,7) + TIME(21,46,56)</f>
        <v>41585.907592592594</v>
      </c>
      <c r="C1888">
        <v>80</v>
      </c>
      <c r="D1888">
        <v>79.111183166999993</v>
      </c>
      <c r="E1888">
        <v>60</v>
      </c>
      <c r="F1888">
        <v>59.969100951999998</v>
      </c>
      <c r="G1888">
        <v>1298.6468506000001</v>
      </c>
      <c r="H1888">
        <v>1284.3518065999999</v>
      </c>
      <c r="I1888">
        <v>1398.9450684000001</v>
      </c>
      <c r="J1888">
        <v>1378.8924560999999</v>
      </c>
      <c r="K1888">
        <v>0</v>
      </c>
      <c r="L1888">
        <v>2750</v>
      </c>
      <c r="M1888">
        <v>2750</v>
      </c>
      <c r="N1888">
        <v>0</v>
      </c>
    </row>
    <row r="1889" spans="1:14" x14ac:dyDescent="0.25">
      <c r="A1889">
        <v>1287.2793280000001</v>
      </c>
      <c r="B1889" s="1">
        <f>DATE(2013,11,8) + TIME(6,42,13)</f>
        <v>41586.279317129629</v>
      </c>
      <c r="C1889">
        <v>80</v>
      </c>
      <c r="D1889">
        <v>79.071609496999997</v>
      </c>
      <c r="E1889">
        <v>60</v>
      </c>
      <c r="F1889">
        <v>59.969795226999999</v>
      </c>
      <c r="G1889">
        <v>1298.6323242000001</v>
      </c>
      <c r="H1889">
        <v>1284.3352050999999</v>
      </c>
      <c r="I1889">
        <v>1398.8812256000001</v>
      </c>
      <c r="J1889">
        <v>1378.838501</v>
      </c>
      <c r="K1889">
        <v>0</v>
      </c>
      <c r="L1889">
        <v>2750</v>
      </c>
      <c r="M1889">
        <v>2750</v>
      </c>
      <c r="N1889">
        <v>0</v>
      </c>
    </row>
    <row r="1890" spans="1:14" x14ac:dyDescent="0.25">
      <c r="A1890">
        <v>1287.6672040000001</v>
      </c>
      <c r="B1890" s="1">
        <f>DATE(2013,11,8) + TIME(16,0,46)</f>
        <v>41586.667199074072</v>
      </c>
      <c r="C1890">
        <v>80</v>
      </c>
      <c r="D1890">
        <v>79.030769348000007</v>
      </c>
      <c r="E1890">
        <v>60</v>
      </c>
      <c r="F1890">
        <v>59.970298767000003</v>
      </c>
      <c r="G1890">
        <v>1298.6173096</v>
      </c>
      <c r="H1890">
        <v>1284.3179932</v>
      </c>
      <c r="I1890">
        <v>1398.8178711</v>
      </c>
      <c r="J1890">
        <v>1378.7852783000001</v>
      </c>
      <c r="K1890">
        <v>0</v>
      </c>
      <c r="L1890">
        <v>2750</v>
      </c>
      <c r="M1890">
        <v>2750</v>
      </c>
      <c r="N1890">
        <v>0</v>
      </c>
    </row>
    <row r="1891" spans="1:14" x14ac:dyDescent="0.25">
      <c r="A1891">
        <v>1288.0743339999999</v>
      </c>
      <c r="B1891" s="1">
        <f>DATE(2013,11,9) + TIME(1,47,2)</f>
        <v>41587.074328703704</v>
      </c>
      <c r="C1891">
        <v>80</v>
      </c>
      <c r="D1891">
        <v>78.988410950000002</v>
      </c>
      <c r="E1891">
        <v>60</v>
      </c>
      <c r="F1891">
        <v>59.970668793000002</v>
      </c>
      <c r="G1891">
        <v>1298.6015625</v>
      </c>
      <c r="H1891">
        <v>1284.3000488</v>
      </c>
      <c r="I1891">
        <v>1398.7550048999999</v>
      </c>
      <c r="J1891">
        <v>1378.7324219</v>
      </c>
      <c r="K1891">
        <v>0</v>
      </c>
      <c r="L1891">
        <v>2750</v>
      </c>
      <c r="M1891">
        <v>2750</v>
      </c>
      <c r="N1891">
        <v>0</v>
      </c>
    </row>
    <row r="1892" spans="1:14" x14ac:dyDescent="0.25">
      <c r="A1892">
        <v>1288.5044069999999</v>
      </c>
      <c r="B1892" s="1">
        <f>DATE(2013,11,9) + TIME(12,6,20)</f>
        <v>41587.50439814815</v>
      </c>
      <c r="C1892">
        <v>80</v>
      </c>
      <c r="D1892">
        <v>78.944244385000005</v>
      </c>
      <c r="E1892">
        <v>60</v>
      </c>
      <c r="F1892">
        <v>59.970939635999997</v>
      </c>
      <c r="G1892">
        <v>1298.5850829999999</v>
      </c>
      <c r="H1892">
        <v>1284.2811279</v>
      </c>
      <c r="I1892">
        <v>1398.6918945</v>
      </c>
      <c r="J1892">
        <v>1378.6794434000001</v>
      </c>
      <c r="K1892">
        <v>0</v>
      </c>
      <c r="L1892">
        <v>2750</v>
      </c>
      <c r="M1892">
        <v>2750</v>
      </c>
      <c r="N1892">
        <v>0</v>
      </c>
    </row>
    <row r="1893" spans="1:14" x14ac:dyDescent="0.25">
      <c r="A1893">
        <v>1288.9619</v>
      </c>
      <c r="B1893" s="1">
        <f>DATE(2013,11,9) + TIME(23,5,8)</f>
        <v>41587.961898148147</v>
      </c>
      <c r="C1893">
        <v>80</v>
      </c>
      <c r="D1893">
        <v>78.897911071999999</v>
      </c>
      <c r="E1893">
        <v>60</v>
      </c>
      <c r="F1893">
        <v>59.971141815000003</v>
      </c>
      <c r="G1893">
        <v>1298.567749</v>
      </c>
      <c r="H1893">
        <v>1284.2612305</v>
      </c>
      <c r="I1893">
        <v>1398.6281738</v>
      </c>
      <c r="J1893">
        <v>1378.6262207</v>
      </c>
      <c r="K1893">
        <v>0</v>
      </c>
      <c r="L1893">
        <v>2750</v>
      </c>
      <c r="M1893">
        <v>2750</v>
      </c>
      <c r="N1893">
        <v>0</v>
      </c>
    </row>
    <row r="1894" spans="1:14" x14ac:dyDescent="0.25">
      <c r="A1894">
        <v>1289.446314</v>
      </c>
      <c r="B1894" s="1">
        <f>DATE(2013,11,10) + TIME(10,42,41)</f>
        <v>41588.44630787037</v>
      </c>
      <c r="C1894">
        <v>80</v>
      </c>
      <c r="D1894">
        <v>78.849342346</v>
      </c>
      <c r="E1894">
        <v>60</v>
      </c>
      <c r="F1894">
        <v>59.971290588000002</v>
      </c>
      <c r="G1894">
        <v>1298.5493164</v>
      </c>
      <c r="H1894">
        <v>1284.2401123</v>
      </c>
      <c r="I1894">
        <v>1398.5635986</v>
      </c>
      <c r="J1894">
        <v>1378.5721435999999</v>
      </c>
      <c r="K1894">
        <v>0</v>
      </c>
      <c r="L1894">
        <v>2750</v>
      </c>
      <c r="M1894">
        <v>2750</v>
      </c>
      <c r="N1894">
        <v>0</v>
      </c>
    </row>
    <row r="1895" spans="1:14" x14ac:dyDescent="0.25">
      <c r="A1895">
        <v>1289.940439</v>
      </c>
      <c r="B1895" s="1">
        <f>DATE(2013,11,10) + TIME(22,34,13)</f>
        <v>41588.940428240741</v>
      </c>
      <c r="C1895">
        <v>80</v>
      </c>
      <c r="D1895">
        <v>78.799499511999997</v>
      </c>
      <c r="E1895">
        <v>60</v>
      </c>
      <c r="F1895">
        <v>59.971401215</v>
      </c>
      <c r="G1895">
        <v>1298.5296631000001</v>
      </c>
      <c r="H1895">
        <v>1284.2177733999999</v>
      </c>
      <c r="I1895">
        <v>1398.4981689000001</v>
      </c>
      <c r="J1895">
        <v>1378.5177002</v>
      </c>
      <c r="K1895">
        <v>0</v>
      </c>
      <c r="L1895">
        <v>2750</v>
      </c>
      <c r="M1895">
        <v>2750</v>
      </c>
      <c r="N1895">
        <v>0</v>
      </c>
    </row>
    <row r="1896" spans="1:14" x14ac:dyDescent="0.25">
      <c r="A1896">
        <v>1290.4461859999999</v>
      </c>
      <c r="B1896" s="1">
        <f>DATE(2013,11,11) + TIME(10,42,30)</f>
        <v>41589.446180555555</v>
      </c>
      <c r="C1896">
        <v>80</v>
      </c>
      <c r="D1896">
        <v>78.748542786000002</v>
      </c>
      <c r="E1896">
        <v>60</v>
      </c>
      <c r="F1896">
        <v>59.971481322999999</v>
      </c>
      <c r="G1896">
        <v>1298.5095214999999</v>
      </c>
      <c r="H1896">
        <v>1284.1949463000001</v>
      </c>
      <c r="I1896">
        <v>1398.4345702999999</v>
      </c>
      <c r="J1896">
        <v>1378.4647216999999</v>
      </c>
      <c r="K1896">
        <v>0</v>
      </c>
      <c r="L1896">
        <v>2750</v>
      </c>
      <c r="M1896">
        <v>2750</v>
      </c>
      <c r="N1896">
        <v>0</v>
      </c>
    </row>
    <row r="1897" spans="1:14" x14ac:dyDescent="0.25">
      <c r="A1897">
        <v>1290.9676689999999</v>
      </c>
      <c r="B1897" s="1">
        <f>DATE(2013,11,11) + TIME(23,13,26)</f>
        <v>41589.967662037037</v>
      </c>
      <c r="C1897">
        <v>80</v>
      </c>
      <c r="D1897">
        <v>78.696365356000001</v>
      </c>
      <c r="E1897">
        <v>60</v>
      </c>
      <c r="F1897">
        <v>59.971542358000001</v>
      </c>
      <c r="G1897">
        <v>1298.4890137</v>
      </c>
      <c r="H1897">
        <v>1284.1713867000001</v>
      </c>
      <c r="I1897">
        <v>1398.3723144999999</v>
      </c>
      <c r="J1897">
        <v>1378.4129639</v>
      </c>
      <c r="K1897">
        <v>0</v>
      </c>
      <c r="L1897">
        <v>2750</v>
      </c>
      <c r="M1897">
        <v>2750</v>
      </c>
      <c r="N1897">
        <v>0</v>
      </c>
    </row>
    <row r="1898" spans="1:14" x14ac:dyDescent="0.25">
      <c r="A1898">
        <v>1291.5066589999999</v>
      </c>
      <c r="B1898" s="1">
        <f>DATE(2013,11,12) + TIME(12,9,35)</f>
        <v>41590.506655092591</v>
      </c>
      <c r="C1898">
        <v>80</v>
      </c>
      <c r="D1898">
        <v>78.642883300999998</v>
      </c>
      <c r="E1898">
        <v>60</v>
      </c>
      <c r="F1898">
        <v>59.971584319999998</v>
      </c>
      <c r="G1898">
        <v>1298.4678954999999</v>
      </c>
      <c r="H1898">
        <v>1284.1472168</v>
      </c>
      <c r="I1898">
        <v>1398.3109131000001</v>
      </c>
      <c r="J1898">
        <v>1378.3620605000001</v>
      </c>
      <c r="K1898">
        <v>0</v>
      </c>
      <c r="L1898">
        <v>2750</v>
      </c>
      <c r="M1898">
        <v>2750</v>
      </c>
      <c r="N1898">
        <v>0</v>
      </c>
    </row>
    <row r="1899" spans="1:14" x14ac:dyDescent="0.25">
      <c r="A1899">
        <v>1292.053901</v>
      </c>
      <c r="B1899" s="1">
        <f>DATE(2013,11,13) + TIME(1,17,37)</f>
        <v>41591.053900462961</v>
      </c>
      <c r="C1899">
        <v>80</v>
      </c>
      <c r="D1899">
        <v>78.588615417</v>
      </c>
      <c r="E1899">
        <v>60</v>
      </c>
      <c r="F1899">
        <v>59.971618651999997</v>
      </c>
      <c r="G1899">
        <v>1298.4459228999999</v>
      </c>
      <c r="H1899">
        <v>1284.1220702999999</v>
      </c>
      <c r="I1899">
        <v>1398.25</v>
      </c>
      <c r="J1899">
        <v>1378.3116454999999</v>
      </c>
      <c r="K1899">
        <v>0</v>
      </c>
      <c r="L1899">
        <v>2750</v>
      </c>
      <c r="M1899">
        <v>2750</v>
      </c>
      <c r="N1899">
        <v>0</v>
      </c>
    </row>
    <row r="1900" spans="1:14" x14ac:dyDescent="0.25">
      <c r="A1900">
        <v>1292.612963</v>
      </c>
      <c r="B1900" s="1">
        <f>DATE(2013,11,13) + TIME(14,42,39)</f>
        <v>41591.612951388888</v>
      </c>
      <c r="C1900">
        <v>80</v>
      </c>
      <c r="D1900">
        <v>78.533531189000001</v>
      </c>
      <c r="E1900">
        <v>60</v>
      </c>
      <c r="F1900">
        <v>59.971645355</v>
      </c>
      <c r="G1900">
        <v>1298.4237060999999</v>
      </c>
      <c r="H1900">
        <v>1284.0965576000001</v>
      </c>
      <c r="I1900">
        <v>1398.1907959</v>
      </c>
      <c r="J1900">
        <v>1378.2626952999999</v>
      </c>
      <c r="K1900">
        <v>0</v>
      </c>
      <c r="L1900">
        <v>2750</v>
      </c>
      <c r="M1900">
        <v>2750</v>
      </c>
      <c r="N1900">
        <v>0</v>
      </c>
    </row>
    <row r="1901" spans="1:14" x14ac:dyDescent="0.25">
      <c r="A1901">
        <v>1293.1874069999999</v>
      </c>
      <c r="B1901" s="1">
        <f>DATE(2013,11,14) + TIME(4,29,51)</f>
        <v>41592.187395833331</v>
      </c>
      <c r="C1901">
        <v>80</v>
      </c>
      <c r="D1901">
        <v>78.477478027000004</v>
      </c>
      <c r="E1901">
        <v>60</v>
      </c>
      <c r="F1901">
        <v>59.971664429</v>
      </c>
      <c r="G1901">
        <v>1298.4008789</v>
      </c>
      <c r="H1901">
        <v>1284.0704346</v>
      </c>
      <c r="I1901">
        <v>1398.1326904</v>
      </c>
      <c r="J1901">
        <v>1378.2148437999999</v>
      </c>
      <c r="K1901">
        <v>0</v>
      </c>
      <c r="L1901">
        <v>2750</v>
      </c>
      <c r="M1901">
        <v>2750</v>
      </c>
      <c r="N1901">
        <v>0</v>
      </c>
    </row>
    <row r="1902" spans="1:14" x14ac:dyDescent="0.25">
      <c r="A1902">
        <v>1293.781066</v>
      </c>
      <c r="B1902" s="1">
        <f>DATE(2013,11,14) + TIME(18,44,44)</f>
        <v>41592.781064814815</v>
      </c>
      <c r="C1902">
        <v>80</v>
      </c>
      <c r="D1902">
        <v>78.420204162999994</v>
      </c>
      <c r="E1902">
        <v>60</v>
      </c>
      <c r="F1902">
        <v>59.971675873000002</v>
      </c>
      <c r="G1902">
        <v>1298.3774414</v>
      </c>
      <c r="H1902">
        <v>1284.043457</v>
      </c>
      <c r="I1902">
        <v>1398.0753173999999</v>
      </c>
      <c r="J1902">
        <v>1378.1676024999999</v>
      </c>
      <c r="K1902">
        <v>0</v>
      </c>
      <c r="L1902">
        <v>2750</v>
      </c>
      <c r="M1902">
        <v>2750</v>
      </c>
      <c r="N1902">
        <v>0</v>
      </c>
    </row>
    <row r="1903" spans="1:14" x14ac:dyDescent="0.25">
      <c r="A1903">
        <v>1294.3982040000001</v>
      </c>
      <c r="B1903" s="1">
        <f>DATE(2013,11,15) + TIME(9,33,24)</f>
        <v>41593.398194444446</v>
      </c>
      <c r="C1903">
        <v>80</v>
      </c>
      <c r="D1903">
        <v>78.361427307</v>
      </c>
      <c r="E1903">
        <v>60</v>
      </c>
      <c r="F1903">
        <v>59.971687316999997</v>
      </c>
      <c r="G1903">
        <v>1298.3531493999999</v>
      </c>
      <c r="H1903">
        <v>1284.0155029</v>
      </c>
      <c r="I1903">
        <v>1398.0183105000001</v>
      </c>
      <c r="J1903">
        <v>1378.1206055</v>
      </c>
      <c r="K1903">
        <v>0</v>
      </c>
      <c r="L1903">
        <v>2750</v>
      </c>
      <c r="M1903">
        <v>2750</v>
      </c>
      <c r="N1903">
        <v>0</v>
      </c>
    </row>
    <row r="1904" spans="1:14" x14ac:dyDescent="0.25">
      <c r="A1904">
        <v>1295.0437179999999</v>
      </c>
      <c r="B1904" s="1">
        <f>DATE(2013,11,16) + TIME(1,2,57)</f>
        <v>41594.043715277781</v>
      </c>
      <c r="C1904">
        <v>80</v>
      </c>
      <c r="D1904">
        <v>78.300788878999995</v>
      </c>
      <c r="E1904">
        <v>60</v>
      </c>
      <c r="F1904">
        <v>59.971698760999999</v>
      </c>
      <c r="G1904">
        <v>1298.3278809000001</v>
      </c>
      <c r="H1904">
        <v>1283.9863281</v>
      </c>
      <c r="I1904">
        <v>1397.9613036999999</v>
      </c>
      <c r="J1904">
        <v>1378.0738524999999</v>
      </c>
      <c r="K1904">
        <v>0</v>
      </c>
      <c r="L1904">
        <v>2750</v>
      </c>
      <c r="M1904">
        <v>2750</v>
      </c>
      <c r="N1904">
        <v>0</v>
      </c>
    </row>
    <row r="1905" spans="1:14" x14ac:dyDescent="0.25">
      <c r="A1905">
        <v>1295.7233839999999</v>
      </c>
      <c r="B1905" s="1">
        <f>DATE(2013,11,16) + TIME(17,21,40)</f>
        <v>41594.723379629628</v>
      </c>
      <c r="C1905">
        <v>80</v>
      </c>
      <c r="D1905">
        <v>78.237861632999994</v>
      </c>
      <c r="E1905">
        <v>60</v>
      </c>
      <c r="F1905">
        <v>59.971706390000001</v>
      </c>
      <c r="G1905">
        <v>1298.3013916</v>
      </c>
      <c r="H1905">
        <v>1283.9556885</v>
      </c>
      <c r="I1905">
        <v>1397.9039307</v>
      </c>
      <c r="J1905">
        <v>1378.0267334</v>
      </c>
      <c r="K1905">
        <v>0</v>
      </c>
      <c r="L1905">
        <v>2750</v>
      </c>
      <c r="M1905">
        <v>2750</v>
      </c>
      <c r="N1905">
        <v>0</v>
      </c>
    </row>
    <row r="1906" spans="1:14" x14ac:dyDescent="0.25">
      <c r="A1906">
        <v>1296.431476</v>
      </c>
      <c r="B1906" s="1">
        <f>DATE(2013,11,17) + TIME(10,21,19)</f>
        <v>41595.431469907409</v>
      </c>
      <c r="C1906">
        <v>80</v>
      </c>
      <c r="D1906">
        <v>78.172752380000006</v>
      </c>
      <c r="E1906">
        <v>60</v>
      </c>
      <c r="F1906">
        <v>59.97171402</v>
      </c>
      <c r="G1906">
        <v>1298.2733154</v>
      </c>
      <c r="H1906">
        <v>1283.9233397999999</v>
      </c>
      <c r="I1906">
        <v>1397.8457031</v>
      </c>
      <c r="J1906">
        <v>1377.9790039</v>
      </c>
      <c r="K1906">
        <v>0</v>
      </c>
      <c r="L1906">
        <v>2750</v>
      </c>
      <c r="M1906">
        <v>2750</v>
      </c>
      <c r="N1906">
        <v>0</v>
      </c>
    </row>
    <row r="1907" spans="1:14" x14ac:dyDescent="0.25">
      <c r="A1907">
        <v>1297.1660320000001</v>
      </c>
      <c r="B1907" s="1">
        <f>DATE(2013,11,18) + TIME(3,59,5)</f>
        <v>41596.166030092594</v>
      </c>
      <c r="C1907">
        <v>80</v>
      </c>
      <c r="D1907">
        <v>78.105590820000003</v>
      </c>
      <c r="E1907">
        <v>60</v>
      </c>
      <c r="F1907">
        <v>59.971717834000003</v>
      </c>
      <c r="G1907">
        <v>1298.2440185999999</v>
      </c>
      <c r="H1907">
        <v>1283.8895264</v>
      </c>
      <c r="I1907">
        <v>1397.7874756000001</v>
      </c>
      <c r="J1907">
        <v>1377.9312743999999</v>
      </c>
      <c r="K1907">
        <v>0</v>
      </c>
      <c r="L1907">
        <v>2750</v>
      </c>
      <c r="M1907">
        <v>2750</v>
      </c>
      <c r="N1907">
        <v>0</v>
      </c>
    </row>
    <row r="1908" spans="1:14" x14ac:dyDescent="0.25">
      <c r="A1908">
        <v>1297.925941</v>
      </c>
      <c r="B1908" s="1">
        <f>DATE(2013,11,18) + TIME(22,13,21)</f>
        <v>41596.925937499997</v>
      </c>
      <c r="C1908">
        <v>80</v>
      </c>
      <c r="D1908">
        <v>78.036529540999993</v>
      </c>
      <c r="E1908">
        <v>60</v>
      </c>
      <c r="F1908">
        <v>59.971721649000003</v>
      </c>
      <c r="G1908">
        <v>1298.2133789</v>
      </c>
      <c r="H1908">
        <v>1283.8542480000001</v>
      </c>
      <c r="I1908">
        <v>1397.7292480000001</v>
      </c>
      <c r="J1908">
        <v>1377.8836670000001</v>
      </c>
      <c r="K1908">
        <v>0</v>
      </c>
      <c r="L1908">
        <v>2750</v>
      </c>
      <c r="M1908">
        <v>2750</v>
      </c>
      <c r="N1908">
        <v>0</v>
      </c>
    </row>
    <row r="1909" spans="1:14" x14ac:dyDescent="0.25">
      <c r="A1909">
        <v>1298.6915300000001</v>
      </c>
      <c r="B1909" s="1">
        <f>DATE(2013,11,19) + TIME(16,35,48)</f>
        <v>41597.691527777781</v>
      </c>
      <c r="C1909">
        <v>80</v>
      </c>
      <c r="D1909">
        <v>77.966537475999999</v>
      </c>
      <c r="E1909">
        <v>60</v>
      </c>
      <c r="F1909">
        <v>59.971729279000002</v>
      </c>
      <c r="G1909">
        <v>1298.1816406</v>
      </c>
      <c r="H1909">
        <v>1283.8175048999999</v>
      </c>
      <c r="I1909">
        <v>1397.6712646000001</v>
      </c>
      <c r="J1909">
        <v>1377.8363036999999</v>
      </c>
      <c r="K1909">
        <v>0</v>
      </c>
      <c r="L1909">
        <v>2750</v>
      </c>
      <c r="M1909">
        <v>2750</v>
      </c>
      <c r="N1909">
        <v>0</v>
      </c>
    </row>
    <row r="1910" spans="1:14" x14ac:dyDescent="0.25">
      <c r="A1910">
        <v>1299.467811</v>
      </c>
      <c r="B1910" s="1">
        <f>DATE(2013,11,20) + TIME(11,13,38)</f>
        <v>41598.467800925922</v>
      </c>
      <c r="C1910">
        <v>80</v>
      </c>
      <c r="D1910">
        <v>77.895919800000001</v>
      </c>
      <c r="E1910">
        <v>60</v>
      </c>
      <c r="F1910">
        <v>59.971733092999997</v>
      </c>
      <c r="G1910">
        <v>1298.1494141000001</v>
      </c>
      <c r="H1910">
        <v>1283.7801514</v>
      </c>
      <c r="I1910">
        <v>1397.6149902</v>
      </c>
      <c r="J1910">
        <v>1377.7902832</v>
      </c>
      <c r="K1910">
        <v>0</v>
      </c>
      <c r="L1910">
        <v>2750</v>
      </c>
      <c r="M1910">
        <v>2750</v>
      </c>
      <c r="N1910">
        <v>0</v>
      </c>
    </row>
    <row r="1911" spans="1:14" x14ac:dyDescent="0.25">
      <c r="A1911">
        <v>1300.2597430000001</v>
      </c>
      <c r="B1911" s="1">
        <f>DATE(2013,11,21) + TIME(6,14,1)</f>
        <v>41599.259733796294</v>
      </c>
      <c r="C1911">
        <v>80</v>
      </c>
      <c r="D1911">
        <v>77.824623107999997</v>
      </c>
      <c r="E1911">
        <v>60</v>
      </c>
      <c r="F1911">
        <v>59.971736907999997</v>
      </c>
      <c r="G1911">
        <v>1298.1165771000001</v>
      </c>
      <c r="H1911">
        <v>1283.7419434000001</v>
      </c>
      <c r="I1911">
        <v>1397.5599365</v>
      </c>
      <c r="J1911">
        <v>1377.7453613</v>
      </c>
      <c r="K1911">
        <v>0</v>
      </c>
      <c r="L1911">
        <v>2750</v>
      </c>
      <c r="M1911">
        <v>2750</v>
      </c>
      <c r="N1911">
        <v>0</v>
      </c>
    </row>
    <row r="1912" spans="1:14" x14ac:dyDescent="0.25">
      <c r="A1912">
        <v>1301.0724620000001</v>
      </c>
      <c r="B1912" s="1">
        <f>DATE(2013,11,22) + TIME(1,44,20)</f>
        <v>41600.072453703702</v>
      </c>
      <c r="C1912">
        <v>80</v>
      </c>
      <c r="D1912">
        <v>77.752380371000001</v>
      </c>
      <c r="E1912">
        <v>60</v>
      </c>
      <c r="F1912">
        <v>59.971740723000003</v>
      </c>
      <c r="G1912">
        <v>1298.0828856999999</v>
      </c>
      <c r="H1912">
        <v>1283.7027588000001</v>
      </c>
      <c r="I1912">
        <v>1397.5057373</v>
      </c>
      <c r="J1912">
        <v>1377.7011719</v>
      </c>
      <c r="K1912">
        <v>0</v>
      </c>
      <c r="L1912">
        <v>2750</v>
      </c>
      <c r="M1912">
        <v>2750</v>
      </c>
      <c r="N1912">
        <v>0</v>
      </c>
    </row>
    <row r="1913" spans="1:14" x14ac:dyDescent="0.25">
      <c r="A1913">
        <v>1301.9115139999999</v>
      </c>
      <c r="B1913" s="1">
        <f>DATE(2013,11,22) + TIME(21,52,34)</f>
        <v>41600.911504629628</v>
      </c>
      <c r="C1913">
        <v>80</v>
      </c>
      <c r="D1913">
        <v>77.678855896000002</v>
      </c>
      <c r="E1913">
        <v>60</v>
      </c>
      <c r="F1913">
        <v>59.971748351999999</v>
      </c>
      <c r="G1913">
        <v>1298.0482178</v>
      </c>
      <c r="H1913">
        <v>1283.6621094</v>
      </c>
      <c r="I1913">
        <v>1397.4520264</v>
      </c>
      <c r="J1913">
        <v>1377.6573486</v>
      </c>
      <c r="K1913">
        <v>0</v>
      </c>
      <c r="L1913">
        <v>2750</v>
      </c>
      <c r="M1913">
        <v>2750</v>
      </c>
      <c r="N1913">
        <v>0</v>
      </c>
    </row>
    <row r="1914" spans="1:14" x14ac:dyDescent="0.25">
      <c r="A1914">
        <v>1302.783095</v>
      </c>
      <c r="B1914" s="1">
        <f>DATE(2013,11,23) + TIME(18,47,39)</f>
        <v>41601.783090277779</v>
      </c>
      <c r="C1914">
        <v>80</v>
      </c>
      <c r="D1914">
        <v>77.603607178000004</v>
      </c>
      <c r="E1914">
        <v>60</v>
      </c>
      <c r="F1914">
        <v>59.971752166999998</v>
      </c>
      <c r="G1914">
        <v>1298.0120850000001</v>
      </c>
      <c r="H1914">
        <v>1283.6198730000001</v>
      </c>
      <c r="I1914">
        <v>1397.3983154</v>
      </c>
      <c r="J1914">
        <v>1377.6136475000001</v>
      </c>
      <c r="K1914">
        <v>0</v>
      </c>
      <c r="L1914">
        <v>2750</v>
      </c>
      <c r="M1914">
        <v>2750</v>
      </c>
      <c r="N1914">
        <v>0</v>
      </c>
    </row>
    <row r="1915" spans="1:14" x14ac:dyDescent="0.25">
      <c r="A1915">
        <v>1303.6943590000001</v>
      </c>
      <c r="B1915" s="1">
        <f>DATE(2013,11,24) + TIME(16,39,52)</f>
        <v>41602.694351851853</v>
      </c>
      <c r="C1915">
        <v>80</v>
      </c>
      <c r="D1915">
        <v>77.526168823000006</v>
      </c>
      <c r="E1915">
        <v>60</v>
      </c>
      <c r="F1915">
        <v>59.971759796000001</v>
      </c>
      <c r="G1915">
        <v>1297.9742432</v>
      </c>
      <c r="H1915">
        <v>1283.5755615</v>
      </c>
      <c r="I1915">
        <v>1397.3444824000001</v>
      </c>
      <c r="J1915">
        <v>1377.5698242000001</v>
      </c>
      <c r="K1915">
        <v>0</v>
      </c>
      <c r="L1915">
        <v>2750</v>
      </c>
      <c r="M1915">
        <v>2750</v>
      </c>
      <c r="N1915">
        <v>0</v>
      </c>
    </row>
    <row r="1916" spans="1:14" x14ac:dyDescent="0.25">
      <c r="A1916">
        <v>1304.6392370000001</v>
      </c>
      <c r="B1916" s="1">
        <f>DATE(2013,11,25) + TIME(15,20,30)</f>
        <v>41603.639236111114</v>
      </c>
      <c r="C1916">
        <v>80</v>
      </c>
      <c r="D1916">
        <v>77.446502686000002</v>
      </c>
      <c r="E1916">
        <v>60</v>
      </c>
      <c r="F1916">
        <v>59.971767426</v>
      </c>
      <c r="G1916">
        <v>1297.9344481999999</v>
      </c>
      <c r="H1916">
        <v>1283.5288086</v>
      </c>
      <c r="I1916">
        <v>1397.2900391000001</v>
      </c>
      <c r="J1916">
        <v>1377.5253906</v>
      </c>
      <c r="K1916">
        <v>0</v>
      </c>
      <c r="L1916">
        <v>2750</v>
      </c>
      <c r="M1916">
        <v>2750</v>
      </c>
      <c r="N1916">
        <v>0</v>
      </c>
    </row>
    <row r="1917" spans="1:14" x14ac:dyDescent="0.25">
      <c r="A1917">
        <v>1305.619639</v>
      </c>
      <c r="B1917" s="1">
        <f>DATE(2013,11,26) + TIME(14,52,16)</f>
        <v>41604.619629629633</v>
      </c>
      <c r="C1917">
        <v>80</v>
      </c>
      <c r="D1917">
        <v>77.364631653000004</v>
      </c>
      <c r="E1917">
        <v>60</v>
      </c>
      <c r="F1917">
        <v>59.971775055000002</v>
      </c>
      <c r="G1917">
        <v>1297.8928223</v>
      </c>
      <c r="H1917">
        <v>1283.4797363</v>
      </c>
      <c r="I1917">
        <v>1397.2353516000001</v>
      </c>
      <c r="J1917">
        <v>1377.480957</v>
      </c>
      <c r="K1917">
        <v>0</v>
      </c>
      <c r="L1917">
        <v>2750</v>
      </c>
      <c r="M1917">
        <v>2750</v>
      </c>
      <c r="N1917">
        <v>0</v>
      </c>
    </row>
    <row r="1918" spans="1:14" x14ac:dyDescent="0.25">
      <c r="A1918">
        <v>1306.631973</v>
      </c>
      <c r="B1918" s="1">
        <f>DATE(2013,11,27) + TIME(15,10,2)</f>
        <v>41605.631967592592</v>
      </c>
      <c r="C1918">
        <v>80</v>
      </c>
      <c r="D1918">
        <v>77.280685425000001</v>
      </c>
      <c r="E1918">
        <v>60</v>
      </c>
      <c r="F1918">
        <v>59.971782683999997</v>
      </c>
      <c r="G1918">
        <v>1297.8491211</v>
      </c>
      <c r="H1918">
        <v>1283.4283447</v>
      </c>
      <c r="I1918">
        <v>1397.1805420000001</v>
      </c>
      <c r="J1918">
        <v>1377.4362793</v>
      </c>
      <c r="K1918">
        <v>0</v>
      </c>
      <c r="L1918">
        <v>2750</v>
      </c>
      <c r="M1918">
        <v>2750</v>
      </c>
      <c r="N1918">
        <v>0</v>
      </c>
    </row>
    <row r="1919" spans="1:14" x14ac:dyDescent="0.25">
      <c r="A1919">
        <v>1307.6556250000001</v>
      </c>
      <c r="B1919" s="1">
        <f>DATE(2013,11,28) + TIME(15,44,6)</f>
        <v>41606.655624999999</v>
      </c>
      <c r="C1919">
        <v>80</v>
      </c>
      <c r="D1919">
        <v>77.195526122999993</v>
      </c>
      <c r="E1919">
        <v>60</v>
      </c>
      <c r="F1919">
        <v>59.971790314000003</v>
      </c>
      <c r="G1919">
        <v>1297.8035889</v>
      </c>
      <c r="H1919">
        <v>1283.3745117000001</v>
      </c>
      <c r="I1919">
        <v>1397.1257324000001</v>
      </c>
      <c r="J1919">
        <v>1377.3917236</v>
      </c>
      <c r="K1919">
        <v>0</v>
      </c>
      <c r="L1919">
        <v>2750</v>
      </c>
      <c r="M1919">
        <v>2750</v>
      </c>
      <c r="N1919">
        <v>0</v>
      </c>
    </row>
    <row r="1920" spans="1:14" x14ac:dyDescent="0.25">
      <c r="A1920">
        <v>1308.696882</v>
      </c>
      <c r="B1920" s="1">
        <f>DATE(2013,11,29) + TIME(16,43,30)</f>
        <v>41607.696875000001</v>
      </c>
      <c r="C1920">
        <v>80</v>
      </c>
      <c r="D1920">
        <v>77.109603882000002</v>
      </c>
      <c r="E1920">
        <v>60</v>
      </c>
      <c r="F1920">
        <v>59.971801757999998</v>
      </c>
      <c r="G1920">
        <v>1297.7570800999999</v>
      </c>
      <c r="H1920">
        <v>1283.3192139</v>
      </c>
      <c r="I1920">
        <v>1397.0721435999999</v>
      </c>
      <c r="J1920">
        <v>1377.3481445</v>
      </c>
      <c r="K1920">
        <v>0</v>
      </c>
      <c r="L1920">
        <v>2750</v>
      </c>
      <c r="M1920">
        <v>2750</v>
      </c>
      <c r="N1920">
        <v>0</v>
      </c>
    </row>
    <row r="1921" spans="1:14" x14ac:dyDescent="0.25">
      <c r="A1921">
        <v>1309.754872</v>
      </c>
      <c r="B1921" s="1">
        <f>DATE(2013,11,30) + TIME(18,7,0)</f>
        <v>41608.754861111112</v>
      </c>
      <c r="C1921">
        <v>80</v>
      </c>
      <c r="D1921">
        <v>77.023056030000006</v>
      </c>
      <c r="E1921">
        <v>60</v>
      </c>
      <c r="F1921">
        <v>59.971809387</v>
      </c>
      <c r="G1921">
        <v>1297.7091064000001</v>
      </c>
      <c r="H1921">
        <v>1283.262207</v>
      </c>
      <c r="I1921">
        <v>1397.0192870999999</v>
      </c>
      <c r="J1921">
        <v>1377.3050536999999</v>
      </c>
      <c r="K1921">
        <v>0</v>
      </c>
      <c r="L1921">
        <v>2750</v>
      </c>
      <c r="M1921">
        <v>2750</v>
      </c>
      <c r="N1921">
        <v>0</v>
      </c>
    </row>
    <row r="1922" spans="1:14" x14ac:dyDescent="0.25">
      <c r="A1922">
        <v>1310</v>
      </c>
      <c r="B1922" s="1">
        <f>DATE(2013,12,1) + TIME(0,0,0)</f>
        <v>41609</v>
      </c>
      <c r="C1922">
        <v>80</v>
      </c>
      <c r="D1922">
        <v>76.986450195000003</v>
      </c>
      <c r="E1922">
        <v>60</v>
      </c>
      <c r="F1922">
        <v>59.971805572999997</v>
      </c>
      <c r="G1922">
        <v>1297.6588135</v>
      </c>
      <c r="H1922">
        <v>1283.2084961</v>
      </c>
      <c r="I1922">
        <v>1396.9672852000001</v>
      </c>
      <c r="J1922">
        <v>1377.2628173999999</v>
      </c>
      <c r="K1922">
        <v>0</v>
      </c>
      <c r="L1922">
        <v>2750</v>
      </c>
      <c r="M1922">
        <v>2750</v>
      </c>
      <c r="N1922">
        <v>0</v>
      </c>
    </row>
    <row r="1923" spans="1:14" x14ac:dyDescent="0.25">
      <c r="A1923">
        <v>1311.081488</v>
      </c>
      <c r="B1923" s="1">
        <f>DATE(2013,12,2) + TIME(1,57,20)</f>
        <v>41610.08148148148</v>
      </c>
      <c r="C1923">
        <v>80</v>
      </c>
      <c r="D1923">
        <v>76.909065247000001</v>
      </c>
      <c r="E1923">
        <v>60</v>
      </c>
      <c r="F1923">
        <v>59.971820831000002</v>
      </c>
      <c r="G1923">
        <v>1297.6480713000001</v>
      </c>
      <c r="H1923">
        <v>1283.1881103999999</v>
      </c>
      <c r="I1923">
        <v>1396.9553223</v>
      </c>
      <c r="J1923">
        <v>1377.2530518000001</v>
      </c>
      <c r="K1923">
        <v>0</v>
      </c>
      <c r="L1923">
        <v>2750</v>
      </c>
      <c r="M1923">
        <v>2750</v>
      </c>
      <c r="N1923">
        <v>0</v>
      </c>
    </row>
    <row r="1924" spans="1:14" x14ac:dyDescent="0.25">
      <c r="A1924">
        <v>1312.202033</v>
      </c>
      <c r="B1924" s="1">
        <f>DATE(2013,12,3) + TIME(4,50,55)</f>
        <v>41611.202025462961</v>
      </c>
      <c r="C1924">
        <v>80</v>
      </c>
      <c r="D1924">
        <v>76.824546814000001</v>
      </c>
      <c r="E1924">
        <v>60</v>
      </c>
      <c r="F1924">
        <v>59.971832274999997</v>
      </c>
      <c r="G1924">
        <v>1297.5972899999999</v>
      </c>
      <c r="H1924">
        <v>1283.1278076000001</v>
      </c>
      <c r="I1924">
        <v>1396.9041748</v>
      </c>
      <c r="J1924">
        <v>1377.2114257999999</v>
      </c>
      <c r="K1924">
        <v>0</v>
      </c>
      <c r="L1924">
        <v>2750</v>
      </c>
      <c r="M1924">
        <v>2750</v>
      </c>
      <c r="N1924">
        <v>0</v>
      </c>
    </row>
    <row r="1925" spans="1:14" x14ac:dyDescent="0.25">
      <c r="A1925">
        <v>1313.3626750000001</v>
      </c>
      <c r="B1925" s="1">
        <f>DATE(2013,12,4) + TIME(8,42,15)</f>
        <v>41612.362673611111</v>
      </c>
      <c r="C1925">
        <v>80</v>
      </c>
      <c r="D1925">
        <v>76.735748290999993</v>
      </c>
      <c r="E1925">
        <v>60</v>
      </c>
      <c r="F1925">
        <v>59.971843718999999</v>
      </c>
      <c r="G1925">
        <v>1297.5438231999999</v>
      </c>
      <c r="H1925">
        <v>1283.0635986</v>
      </c>
      <c r="I1925">
        <v>1396.8526611</v>
      </c>
      <c r="J1925">
        <v>1377.1694336</v>
      </c>
      <c r="K1925">
        <v>0</v>
      </c>
      <c r="L1925">
        <v>2750</v>
      </c>
      <c r="M1925">
        <v>2750</v>
      </c>
      <c r="N1925">
        <v>0</v>
      </c>
    </row>
    <row r="1926" spans="1:14" x14ac:dyDescent="0.25">
      <c r="A1926">
        <v>1314.572823</v>
      </c>
      <c r="B1926" s="1">
        <f>DATE(2013,12,5) + TIME(13,44,51)</f>
        <v>41613.572812500002</v>
      </c>
      <c r="C1926">
        <v>80</v>
      </c>
      <c r="D1926">
        <v>76.643630981000001</v>
      </c>
      <c r="E1926">
        <v>60</v>
      </c>
      <c r="F1926">
        <v>59.971858978</v>
      </c>
      <c r="G1926">
        <v>1297.4876709</v>
      </c>
      <c r="H1926">
        <v>1282.9958495999999</v>
      </c>
      <c r="I1926">
        <v>1396.8007812000001</v>
      </c>
      <c r="J1926">
        <v>1377.1271973</v>
      </c>
      <c r="K1926">
        <v>0</v>
      </c>
      <c r="L1926">
        <v>2750</v>
      </c>
      <c r="M1926">
        <v>2750</v>
      </c>
      <c r="N1926">
        <v>0</v>
      </c>
    </row>
    <row r="1927" spans="1:14" x14ac:dyDescent="0.25">
      <c r="A1927">
        <v>1315.8370629999999</v>
      </c>
      <c r="B1927" s="1">
        <f>DATE(2013,12,6) + TIME(20,5,22)</f>
        <v>41614.837060185186</v>
      </c>
      <c r="C1927">
        <v>80</v>
      </c>
      <c r="D1927">
        <v>76.548332213999998</v>
      </c>
      <c r="E1927">
        <v>60</v>
      </c>
      <c r="F1927">
        <v>59.971870422000002</v>
      </c>
      <c r="G1927">
        <v>1297.4282227000001</v>
      </c>
      <c r="H1927">
        <v>1282.9238281</v>
      </c>
      <c r="I1927">
        <v>1396.7484131000001</v>
      </c>
      <c r="J1927">
        <v>1377.0844727000001</v>
      </c>
      <c r="K1927">
        <v>0</v>
      </c>
      <c r="L1927">
        <v>2750</v>
      </c>
      <c r="M1927">
        <v>2750</v>
      </c>
      <c r="N1927">
        <v>0</v>
      </c>
    </row>
    <row r="1928" spans="1:14" x14ac:dyDescent="0.25">
      <c r="A1928">
        <v>1317.1068640000001</v>
      </c>
      <c r="B1928" s="1">
        <f>DATE(2013,12,8) + TIME(2,33,53)</f>
        <v>41616.106863425928</v>
      </c>
      <c r="C1928">
        <v>80</v>
      </c>
      <c r="D1928">
        <v>76.451232910000002</v>
      </c>
      <c r="E1928">
        <v>60</v>
      </c>
      <c r="F1928">
        <v>59.971885681000003</v>
      </c>
      <c r="G1928">
        <v>1297.3651123</v>
      </c>
      <c r="H1928">
        <v>1282.8474120999999</v>
      </c>
      <c r="I1928">
        <v>1396.6951904</v>
      </c>
      <c r="J1928">
        <v>1377.0410156</v>
      </c>
      <c r="K1928">
        <v>0</v>
      </c>
      <c r="L1928">
        <v>2750</v>
      </c>
      <c r="M1928">
        <v>2750</v>
      </c>
      <c r="N1928">
        <v>0</v>
      </c>
    </row>
    <row r="1929" spans="1:14" x14ac:dyDescent="0.25">
      <c r="A1929">
        <v>1318.390508</v>
      </c>
      <c r="B1929" s="1">
        <f>DATE(2013,12,9) + TIME(9,22,19)</f>
        <v>41617.390497685185</v>
      </c>
      <c r="C1929">
        <v>80</v>
      </c>
      <c r="D1929">
        <v>76.353637695000003</v>
      </c>
      <c r="E1929">
        <v>60</v>
      </c>
      <c r="F1929">
        <v>59.971900939999998</v>
      </c>
      <c r="G1929">
        <v>1297.3007812000001</v>
      </c>
      <c r="H1929">
        <v>1282.7687988</v>
      </c>
      <c r="I1929">
        <v>1396.6431885</v>
      </c>
      <c r="J1929">
        <v>1376.9986572</v>
      </c>
      <c r="K1929">
        <v>0</v>
      </c>
      <c r="L1929">
        <v>2750</v>
      </c>
      <c r="M1929">
        <v>2750</v>
      </c>
      <c r="N1929">
        <v>0</v>
      </c>
    </row>
    <row r="1930" spans="1:14" x14ac:dyDescent="0.25">
      <c r="A1930">
        <v>1319.696326</v>
      </c>
      <c r="B1930" s="1">
        <f>DATE(2013,12,10) + TIME(16,42,42)</f>
        <v>41618.696319444447</v>
      </c>
      <c r="C1930">
        <v>80</v>
      </c>
      <c r="D1930">
        <v>76.255615234000004</v>
      </c>
      <c r="E1930">
        <v>60</v>
      </c>
      <c r="F1930">
        <v>59.971916198999999</v>
      </c>
      <c r="G1930">
        <v>1297.2346190999999</v>
      </c>
      <c r="H1930">
        <v>1282.6877440999999</v>
      </c>
      <c r="I1930">
        <v>1396.5922852000001</v>
      </c>
      <c r="J1930">
        <v>1376.9570312000001</v>
      </c>
      <c r="K1930">
        <v>0</v>
      </c>
      <c r="L1930">
        <v>2750</v>
      </c>
      <c r="M1930">
        <v>2750</v>
      </c>
      <c r="N1930">
        <v>0</v>
      </c>
    </row>
    <row r="1931" spans="1:14" x14ac:dyDescent="0.25">
      <c r="A1931">
        <v>1321.0328930000001</v>
      </c>
      <c r="B1931" s="1">
        <f>DATE(2013,12,12) + TIME(0,47,21)</f>
        <v>41620.032881944448</v>
      </c>
      <c r="C1931">
        <v>80</v>
      </c>
      <c r="D1931">
        <v>76.156829834000007</v>
      </c>
      <c r="E1931">
        <v>60</v>
      </c>
      <c r="F1931">
        <v>59.971931458</v>
      </c>
      <c r="G1931">
        <v>1297.1662598</v>
      </c>
      <c r="H1931">
        <v>1282.6036377</v>
      </c>
      <c r="I1931">
        <v>1396.5417480000001</v>
      </c>
      <c r="J1931">
        <v>1376.9157714999999</v>
      </c>
      <c r="K1931">
        <v>0</v>
      </c>
      <c r="L1931">
        <v>2750</v>
      </c>
      <c r="M1931">
        <v>2750</v>
      </c>
      <c r="N1931">
        <v>0</v>
      </c>
    </row>
    <row r="1932" spans="1:14" x14ac:dyDescent="0.25">
      <c r="A1932">
        <v>1322.409408</v>
      </c>
      <c r="B1932" s="1">
        <f>DATE(2013,12,13) + TIME(9,49,32)</f>
        <v>41621.409398148149</v>
      </c>
      <c r="C1932">
        <v>80</v>
      </c>
      <c r="D1932">
        <v>76.056747436999999</v>
      </c>
      <c r="E1932">
        <v>60</v>
      </c>
      <c r="F1932">
        <v>59.971946715999998</v>
      </c>
      <c r="G1932">
        <v>1297.0952147999999</v>
      </c>
      <c r="H1932">
        <v>1282.515625</v>
      </c>
      <c r="I1932">
        <v>1396.4915771000001</v>
      </c>
      <c r="J1932">
        <v>1376.8747559000001</v>
      </c>
      <c r="K1932">
        <v>0</v>
      </c>
      <c r="L1932">
        <v>2750</v>
      </c>
      <c r="M1932">
        <v>2750</v>
      </c>
      <c r="N1932">
        <v>0</v>
      </c>
    </row>
    <row r="1933" spans="1:14" x14ac:dyDescent="0.25">
      <c r="A1933">
        <v>1323.827665</v>
      </c>
      <c r="B1933" s="1">
        <f>DATE(2013,12,14) + TIME(19,51,50)</f>
        <v>41622.827662037038</v>
      </c>
      <c r="C1933">
        <v>80</v>
      </c>
      <c r="D1933">
        <v>75.954963684000006</v>
      </c>
      <c r="E1933">
        <v>60</v>
      </c>
      <c r="F1933">
        <v>59.971965789999999</v>
      </c>
      <c r="G1933">
        <v>1297.0207519999999</v>
      </c>
      <c r="H1933">
        <v>1282.4232178</v>
      </c>
      <c r="I1933">
        <v>1396.4411620999999</v>
      </c>
      <c r="J1933">
        <v>1376.8334961</v>
      </c>
      <c r="K1933">
        <v>0</v>
      </c>
      <c r="L1933">
        <v>2750</v>
      </c>
      <c r="M1933">
        <v>2750</v>
      </c>
      <c r="N1933">
        <v>0</v>
      </c>
    </row>
    <row r="1934" spans="1:14" x14ac:dyDescent="0.25">
      <c r="A1934">
        <v>1325.291864</v>
      </c>
      <c r="B1934" s="1">
        <f>DATE(2013,12,16) + TIME(7,0,17)</f>
        <v>41624.291863425926</v>
      </c>
      <c r="C1934">
        <v>80</v>
      </c>
      <c r="D1934">
        <v>75.851226807000003</v>
      </c>
      <c r="E1934">
        <v>60</v>
      </c>
      <c r="F1934">
        <v>59.971984863000003</v>
      </c>
      <c r="G1934">
        <v>1296.9426269999999</v>
      </c>
      <c r="H1934">
        <v>1282.3259277</v>
      </c>
      <c r="I1934">
        <v>1396.3907471</v>
      </c>
      <c r="J1934">
        <v>1376.7922363</v>
      </c>
      <c r="K1934">
        <v>0</v>
      </c>
      <c r="L1934">
        <v>2750</v>
      </c>
      <c r="M1934">
        <v>2750</v>
      </c>
      <c r="N1934">
        <v>0</v>
      </c>
    </row>
    <row r="1935" spans="1:14" x14ac:dyDescent="0.25">
      <c r="A1935">
        <v>1326.813382</v>
      </c>
      <c r="B1935" s="1">
        <f>DATE(2013,12,17) + TIME(19,31,16)</f>
        <v>41625.813379629632</v>
      </c>
      <c r="C1935">
        <v>80</v>
      </c>
      <c r="D1935">
        <v>75.745124817000004</v>
      </c>
      <c r="E1935">
        <v>60</v>
      </c>
      <c r="F1935">
        <v>59.972003936999997</v>
      </c>
      <c r="G1935">
        <v>1296.8604736</v>
      </c>
      <c r="H1935">
        <v>1282.2231445</v>
      </c>
      <c r="I1935">
        <v>1396.3399658000001</v>
      </c>
      <c r="J1935">
        <v>1376.7506103999999</v>
      </c>
      <c r="K1935">
        <v>0</v>
      </c>
      <c r="L1935">
        <v>2750</v>
      </c>
      <c r="M1935">
        <v>2750</v>
      </c>
      <c r="N1935">
        <v>0</v>
      </c>
    </row>
    <row r="1936" spans="1:14" x14ac:dyDescent="0.25">
      <c r="A1936">
        <v>1328.356268</v>
      </c>
      <c r="B1936" s="1">
        <f>DATE(2013,12,19) + TIME(8,33,1)</f>
        <v>41627.356261574074</v>
      </c>
      <c r="C1936">
        <v>80</v>
      </c>
      <c r="D1936">
        <v>75.637100219999994</v>
      </c>
      <c r="E1936">
        <v>60</v>
      </c>
      <c r="F1936">
        <v>59.972023010000001</v>
      </c>
      <c r="G1936">
        <v>1296.7735596</v>
      </c>
      <c r="H1936">
        <v>1282.1141356999999</v>
      </c>
      <c r="I1936">
        <v>1396.2885742000001</v>
      </c>
      <c r="J1936">
        <v>1376.708374</v>
      </c>
      <c r="K1936">
        <v>0</v>
      </c>
      <c r="L1936">
        <v>2750</v>
      </c>
      <c r="M1936">
        <v>2750</v>
      </c>
      <c r="N1936">
        <v>0</v>
      </c>
    </row>
    <row r="1937" spans="1:14" x14ac:dyDescent="0.25">
      <c r="A1937">
        <v>1329.9063659999999</v>
      </c>
      <c r="B1937" s="1">
        <f>DATE(2013,12,20) + TIME(21,45,9)</f>
        <v>41628.906354166669</v>
      </c>
      <c r="C1937">
        <v>80</v>
      </c>
      <c r="D1937">
        <v>75.528526306000003</v>
      </c>
      <c r="E1937">
        <v>60</v>
      </c>
      <c r="F1937">
        <v>59.972042084000002</v>
      </c>
      <c r="G1937">
        <v>1296.6835937999999</v>
      </c>
      <c r="H1937">
        <v>1282.0008545000001</v>
      </c>
      <c r="I1937">
        <v>1396.2379149999999</v>
      </c>
      <c r="J1937">
        <v>1376.6667480000001</v>
      </c>
      <c r="K1937">
        <v>0</v>
      </c>
      <c r="L1937">
        <v>2750</v>
      </c>
      <c r="M1937">
        <v>2750</v>
      </c>
      <c r="N1937">
        <v>0</v>
      </c>
    </row>
    <row r="1938" spans="1:14" x14ac:dyDescent="0.25">
      <c r="A1938">
        <v>1331.4732899999999</v>
      </c>
      <c r="B1938" s="1">
        <f>DATE(2013,12,22) + TIME(11,21,32)</f>
        <v>41630.473287037035</v>
      </c>
      <c r="C1938">
        <v>80</v>
      </c>
      <c r="D1938">
        <v>75.419960021999998</v>
      </c>
      <c r="E1938">
        <v>60</v>
      </c>
      <c r="F1938">
        <v>59.972064971999998</v>
      </c>
      <c r="G1938">
        <v>1296.5914307</v>
      </c>
      <c r="H1938">
        <v>1281.8840332</v>
      </c>
      <c r="I1938">
        <v>1396.1882324000001</v>
      </c>
      <c r="J1938">
        <v>1376.6258545000001</v>
      </c>
      <c r="K1938">
        <v>0</v>
      </c>
      <c r="L1938">
        <v>2750</v>
      </c>
      <c r="M1938">
        <v>2750</v>
      </c>
      <c r="N1938">
        <v>0</v>
      </c>
    </row>
    <row r="1939" spans="1:14" x14ac:dyDescent="0.25">
      <c r="A1939">
        <v>1333.0666650000001</v>
      </c>
      <c r="B1939" s="1">
        <f>DATE(2013,12,24) + TIME(1,35,59)</f>
        <v>41632.066655092596</v>
      </c>
      <c r="C1939">
        <v>80</v>
      </c>
      <c r="D1939">
        <v>75.311134338000002</v>
      </c>
      <c r="E1939">
        <v>60</v>
      </c>
      <c r="F1939">
        <v>59.972084045000003</v>
      </c>
      <c r="G1939">
        <v>1296.4963379000001</v>
      </c>
      <c r="H1939">
        <v>1281.7630615</v>
      </c>
      <c r="I1939">
        <v>1396.1392822</v>
      </c>
      <c r="J1939">
        <v>1376.5855713000001</v>
      </c>
      <c r="K1939">
        <v>0</v>
      </c>
      <c r="L1939">
        <v>2750</v>
      </c>
      <c r="M1939">
        <v>2750</v>
      </c>
      <c r="N1939">
        <v>0</v>
      </c>
    </row>
    <row r="1940" spans="1:14" x14ac:dyDescent="0.25">
      <c r="A1940">
        <v>1334.6964869999999</v>
      </c>
      <c r="B1940" s="1">
        <f>DATE(2013,12,25) + TIME(16,42,56)</f>
        <v>41633.696481481478</v>
      </c>
      <c r="C1940">
        <v>80</v>
      </c>
      <c r="D1940">
        <v>75.201507567999997</v>
      </c>
      <c r="E1940">
        <v>60</v>
      </c>
      <c r="F1940">
        <v>59.972106934000003</v>
      </c>
      <c r="G1940">
        <v>1296.3978271000001</v>
      </c>
      <c r="H1940">
        <v>1281.637207</v>
      </c>
      <c r="I1940">
        <v>1396.0908202999999</v>
      </c>
      <c r="J1940">
        <v>1376.5455322</v>
      </c>
      <c r="K1940">
        <v>0</v>
      </c>
      <c r="L1940">
        <v>2750</v>
      </c>
      <c r="M1940">
        <v>2750</v>
      </c>
      <c r="N1940">
        <v>0</v>
      </c>
    </row>
    <row r="1941" spans="1:14" x14ac:dyDescent="0.25">
      <c r="A1941">
        <v>1336.3735139999999</v>
      </c>
      <c r="B1941" s="1">
        <f>DATE(2013,12,27) + TIME(8,57,51)</f>
        <v>41635.373506944445</v>
      </c>
      <c r="C1941">
        <v>80</v>
      </c>
      <c r="D1941">
        <v>75.090446471999996</v>
      </c>
      <c r="E1941">
        <v>60</v>
      </c>
      <c r="F1941">
        <v>59.972129821999999</v>
      </c>
      <c r="G1941">
        <v>1296.2950439000001</v>
      </c>
      <c r="H1941">
        <v>1281.5054932</v>
      </c>
      <c r="I1941">
        <v>1396.0423584</v>
      </c>
      <c r="J1941">
        <v>1376.5056152</v>
      </c>
      <c r="K1941">
        <v>0</v>
      </c>
      <c r="L1941">
        <v>2750</v>
      </c>
      <c r="M1941">
        <v>2750</v>
      </c>
      <c r="N1941">
        <v>0</v>
      </c>
    </row>
    <row r="1942" spans="1:14" x14ac:dyDescent="0.25">
      <c r="A1942">
        <v>1338.109721</v>
      </c>
      <c r="B1942" s="1">
        <f>DATE(2013,12,29) + TIME(2,37,59)</f>
        <v>41637.109710648147</v>
      </c>
      <c r="C1942">
        <v>80</v>
      </c>
      <c r="D1942">
        <v>74.977279663000004</v>
      </c>
      <c r="E1942">
        <v>60</v>
      </c>
      <c r="F1942">
        <v>59.972152710000003</v>
      </c>
      <c r="G1942">
        <v>1296.1872559000001</v>
      </c>
      <c r="H1942">
        <v>1281.3665771000001</v>
      </c>
      <c r="I1942">
        <v>1395.9937743999999</v>
      </c>
      <c r="J1942">
        <v>1376.465332</v>
      </c>
      <c r="K1942">
        <v>0</v>
      </c>
      <c r="L1942">
        <v>2750</v>
      </c>
      <c r="M1942">
        <v>2750</v>
      </c>
      <c r="N1942">
        <v>0</v>
      </c>
    </row>
    <row r="1943" spans="1:14" x14ac:dyDescent="0.25">
      <c r="A1943">
        <v>1339.918856</v>
      </c>
      <c r="B1943" s="1">
        <f>DATE(2013,12,30) + TIME(22,3,9)</f>
        <v>41638.918854166666</v>
      </c>
      <c r="C1943">
        <v>80</v>
      </c>
      <c r="D1943">
        <v>74.861106872999997</v>
      </c>
      <c r="E1943">
        <v>60</v>
      </c>
      <c r="F1943">
        <v>59.972179412999999</v>
      </c>
      <c r="G1943">
        <v>1296.0733643000001</v>
      </c>
      <c r="H1943">
        <v>1281.2194824000001</v>
      </c>
      <c r="I1943">
        <v>1395.9445800999999</v>
      </c>
      <c r="J1943">
        <v>1376.4246826000001</v>
      </c>
      <c r="K1943">
        <v>0</v>
      </c>
      <c r="L1943">
        <v>2750</v>
      </c>
      <c r="M1943">
        <v>2750</v>
      </c>
      <c r="N1943">
        <v>0</v>
      </c>
    </row>
    <row r="1944" spans="1:14" x14ac:dyDescent="0.25">
      <c r="A1944">
        <v>1341</v>
      </c>
      <c r="B1944" s="1">
        <f>DATE(2014,1,1) + TIME(0,0,0)</f>
        <v>41640</v>
      </c>
      <c r="C1944">
        <v>80</v>
      </c>
      <c r="D1944">
        <v>74.762168884000005</v>
      </c>
      <c r="E1944">
        <v>60</v>
      </c>
      <c r="F1944">
        <v>59.972190857000001</v>
      </c>
      <c r="G1944">
        <v>1295.9533690999999</v>
      </c>
      <c r="H1944">
        <v>1281.0678711</v>
      </c>
      <c r="I1944">
        <v>1395.8941649999999</v>
      </c>
      <c r="J1944">
        <v>1376.3829346</v>
      </c>
      <c r="K1944">
        <v>0</v>
      </c>
      <c r="L1944">
        <v>2750</v>
      </c>
      <c r="M1944">
        <v>2750</v>
      </c>
      <c r="N1944">
        <v>0</v>
      </c>
    </row>
    <row r="1945" spans="1:14" x14ac:dyDescent="0.25">
      <c r="A1945">
        <v>1342.8387070000001</v>
      </c>
      <c r="B1945" s="1">
        <f>DATE(2014,1,2) + TIME(20,7,44)</f>
        <v>41641.838703703703</v>
      </c>
      <c r="C1945">
        <v>80</v>
      </c>
      <c r="D1945">
        <v>74.663337708</v>
      </c>
      <c r="E1945">
        <v>60</v>
      </c>
      <c r="F1945">
        <v>59.972221374999997</v>
      </c>
      <c r="G1945">
        <v>1295.8758545000001</v>
      </c>
      <c r="H1945">
        <v>1280.9609375</v>
      </c>
      <c r="I1945">
        <v>1395.8652344</v>
      </c>
      <c r="J1945">
        <v>1376.3588867000001</v>
      </c>
      <c r="K1945">
        <v>0</v>
      </c>
      <c r="L1945">
        <v>2750</v>
      </c>
      <c r="M1945">
        <v>2750</v>
      </c>
      <c r="N1945">
        <v>0</v>
      </c>
    </row>
    <row r="1946" spans="1:14" x14ac:dyDescent="0.25">
      <c r="A1946">
        <v>1344.6903609999999</v>
      </c>
      <c r="B1946" s="1">
        <f>DATE(2014,1,4) + TIME(16,34,7)</f>
        <v>41643.690358796295</v>
      </c>
      <c r="C1946">
        <v>80</v>
      </c>
      <c r="D1946">
        <v>74.549415588000002</v>
      </c>
      <c r="E1946">
        <v>60</v>
      </c>
      <c r="F1946">
        <v>59.972248077000003</v>
      </c>
      <c r="G1946">
        <v>1295.7503661999999</v>
      </c>
      <c r="H1946">
        <v>1280.7987060999999</v>
      </c>
      <c r="I1946">
        <v>1395.8164062000001</v>
      </c>
      <c r="J1946">
        <v>1376.3182373</v>
      </c>
      <c r="K1946">
        <v>0</v>
      </c>
      <c r="L1946">
        <v>2750</v>
      </c>
      <c r="M1946">
        <v>2750</v>
      </c>
      <c r="N1946">
        <v>0</v>
      </c>
    </row>
    <row r="1947" spans="1:14" x14ac:dyDescent="0.25">
      <c r="A1947">
        <v>1346.5636239999999</v>
      </c>
      <c r="B1947" s="1">
        <f>DATE(2014,1,6) + TIME(13,31,37)</f>
        <v>41645.563622685186</v>
      </c>
      <c r="C1947">
        <v>80</v>
      </c>
      <c r="D1947">
        <v>74.431022643999995</v>
      </c>
      <c r="E1947">
        <v>60</v>
      </c>
      <c r="F1947">
        <v>59.972274779999999</v>
      </c>
      <c r="G1947">
        <v>1295.6198730000001</v>
      </c>
      <c r="H1947">
        <v>1280.6280518000001</v>
      </c>
      <c r="I1947">
        <v>1395.7681885</v>
      </c>
      <c r="J1947">
        <v>1376.2781981999999</v>
      </c>
      <c r="K1947">
        <v>0</v>
      </c>
      <c r="L1947">
        <v>2750</v>
      </c>
      <c r="M1947">
        <v>2750</v>
      </c>
      <c r="N1947">
        <v>0</v>
      </c>
    </row>
    <row r="1948" spans="1:14" x14ac:dyDescent="0.25">
      <c r="A1948">
        <v>1348.469664</v>
      </c>
      <c r="B1948" s="1">
        <f>DATE(2014,1,8) + TIME(11,16,18)</f>
        <v>41647.469652777778</v>
      </c>
      <c r="C1948">
        <v>80</v>
      </c>
      <c r="D1948">
        <v>74.310714722</v>
      </c>
      <c r="E1948">
        <v>60</v>
      </c>
      <c r="F1948">
        <v>59.972301483000003</v>
      </c>
      <c r="G1948">
        <v>1295.4846190999999</v>
      </c>
      <c r="H1948">
        <v>1280.4503173999999</v>
      </c>
      <c r="I1948">
        <v>1395.7205810999999</v>
      </c>
      <c r="J1948">
        <v>1376.2385254000001</v>
      </c>
      <c r="K1948">
        <v>0</v>
      </c>
      <c r="L1948">
        <v>2750</v>
      </c>
      <c r="M1948">
        <v>2750</v>
      </c>
      <c r="N1948">
        <v>0</v>
      </c>
    </row>
    <row r="1949" spans="1:14" x14ac:dyDescent="0.25">
      <c r="A1949">
        <v>1350.4201989999999</v>
      </c>
      <c r="B1949" s="1">
        <f>DATE(2014,1,10) + TIME(10,5,5)</f>
        <v>41649.42019675926</v>
      </c>
      <c r="C1949">
        <v>80</v>
      </c>
      <c r="D1949">
        <v>74.188667296999995</v>
      </c>
      <c r="E1949">
        <v>60</v>
      </c>
      <c r="F1949">
        <v>59.972328185999999</v>
      </c>
      <c r="G1949">
        <v>1295.3442382999999</v>
      </c>
      <c r="H1949">
        <v>1280.2650146000001</v>
      </c>
      <c r="I1949">
        <v>1395.6732178</v>
      </c>
      <c r="J1949">
        <v>1376.1989745999999</v>
      </c>
      <c r="K1949">
        <v>0</v>
      </c>
      <c r="L1949">
        <v>2750</v>
      </c>
      <c r="M1949">
        <v>2750</v>
      </c>
      <c r="N1949">
        <v>0</v>
      </c>
    </row>
    <row r="1950" spans="1:14" x14ac:dyDescent="0.25">
      <c r="A1950">
        <v>1352.427925</v>
      </c>
      <c r="B1950" s="1">
        <f>DATE(2014,1,12) + TIME(10,16,12)</f>
        <v>41651.427916666667</v>
      </c>
      <c r="C1950">
        <v>80</v>
      </c>
      <c r="D1950">
        <v>74.064331054999997</v>
      </c>
      <c r="E1950">
        <v>60</v>
      </c>
      <c r="F1950">
        <v>59.972358704000001</v>
      </c>
      <c r="G1950">
        <v>1295.1977539</v>
      </c>
      <c r="H1950">
        <v>1280.0708007999999</v>
      </c>
      <c r="I1950">
        <v>1395.6257324000001</v>
      </c>
      <c r="J1950">
        <v>1376.1593018000001</v>
      </c>
      <c r="K1950">
        <v>0</v>
      </c>
      <c r="L1950">
        <v>2750</v>
      </c>
      <c r="M1950">
        <v>2750</v>
      </c>
      <c r="N1950">
        <v>0</v>
      </c>
    </row>
    <row r="1951" spans="1:14" x14ac:dyDescent="0.25">
      <c r="A1951">
        <v>1354.505488</v>
      </c>
      <c r="B1951" s="1">
        <f>DATE(2014,1,14) + TIME(12,7,54)</f>
        <v>41653.505486111113</v>
      </c>
      <c r="C1951">
        <v>80</v>
      </c>
      <c r="D1951">
        <v>73.936943053999997</v>
      </c>
      <c r="E1951">
        <v>60</v>
      </c>
      <c r="F1951">
        <v>59.972389221</v>
      </c>
      <c r="G1951">
        <v>1295.0438231999999</v>
      </c>
      <c r="H1951">
        <v>1279.8660889</v>
      </c>
      <c r="I1951">
        <v>1395.5780029</v>
      </c>
      <c r="J1951">
        <v>1376.1192627</v>
      </c>
      <c r="K1951">
        <v>0</v>
      </c>
      <c r="L1951">
        <v>2750</v>
      </c>
      <c r="M1951">
        <v>2750</v>
      </c>
      <c r="N1951">
        <v>0</v>
      </c>
    </row>
    <row r="1952" spans="1:14" x14ac:dyDescent="0.25">
      <c r="A1952">
        <v>1355.58376</v>
      </c>
      <c r="B1952" s="1">
        <f>DATE(2014,1,15) + TIME(14,0,36)</f>
        <v>41654.583749999998</v>
      </c>
      <c r="C1952">
        <v>80</v>
      </c>
      <c r="D1952">
        <v>73.832313537999994</v>
      </c>
      <c r="E1952">
        <v>60</v>
      </c>
      <c r="F1952">
        <v>59.972400665000002</v>
      </c>
      <c r="G1952">
        <v>1294.8845214999999</v>
      </c>
      <c r="H1952">
        <v>1279.6594238</v>
      </c>
      <c r="I1952">
        <v>1395.5291748</v>
      </c>
      <c r="J1952">
        <v>1376.0782471</v>
      </c>
      <c r="K1952">
        <v>0</v>
      </c>
      <c r="L1952">
        <v>2750</v>
      </c>
      <c r="M1952">
        <v>2750</v>
      </c>
      <c r="N1952">
        <v>0</v>
      </c>
    </row>
    <row r="1953" spans="1:14" x14ac:dyDescent="0.25">
      <c r="A1953">
        <v>1357.606047</v>
      </c>
      <c r="B1953" s="1">
        <f>DATE(2014,1,17) + TIME(14,32,42)</f>
        <v>41656.606041666666</v>
      </c>
      <c r="C1953">
        <v>80</v>
      </c>
      <c r="D1953">
        <v>73.730186462000006</v>
      </c>
      <c r="E1953">
        <v>60</v>
      </c>
      <c r="F1953">
        <v>59.972434997999997</v>
      </c>
      <c r="G1953">
        <v>1294.7905272999999</v>
      </c>
      <c r="H1953">
        <v>1279.5250243999999</v>
      </c>
      <c r="I1953">
        <v>1395.5048827999999</v>
      </c>
      <c r="J1953">
        <v>1376.0579834</v>
      </c>
      <c r="K1953">
        <v>0</v>
      </c>
      <c r="L1953">
        <v>2750</v>
      </c>
      <c r="M1953">
        <v>2750</v>
      </c>
      <c r="N1953">
        <v>0</v>
      </c>
    </row>
    <row r="1954" spans="1:14" x14ac:dyDescent="0.25">
      <c r="A1954">
        <v>1359.758282</v>
      </c>
      <c r="B1954" s="1">
        <f>DATE(2014,1,19) + TIME(18,11,55)</f>
        <v>41658.758275462962</v>
      </c>
      <c r="C1954">
        <v>80</v>
      </c>
      <c r="D1954">
        <v>73.607788085999999</v>
      </c>
      <c r="E1954">
        <v>60</v>
      </c>
      <c r="F1954">
        <v>59.972465515000003</v>
      </c>
      <c r="G1954">
        <v>1294.6303711</v>
      </c>
      <c r="H1954">
        <v>1279.3118896000001</v>
      </c>
      <c r="I1954">
        <v>1395.4593506000001</v>
      </c>
      <c r="J1954">
        <v>1376.0196533000001</v>
      </c>
      <c r="K1954">
        <v>0</v>
      </c>
      <c r="L1954">
        <v>2750</v>
      </c>
      <c r="M1954">
        <v>2750</v>
      </c>
      <c r="N1954">
        <v>0</v>
      </c>
    </row>
    <row r="1955" spans="1:14" x14ac:dyDescent="0.25">
      <c r="A1955">
        <v>1361.9259569999999</v>
      </c>
      <c r="B1955" s="1">
        <f>DATE(2014,1,21) + TIME(22,13,22)</f>
        <v>41660.925949074073</v>
      </c>
      <c r="C1955">
        <v>80</v>
      </c>
      <c r="D1955">
        <v>73.475708007999998</v>
      </c>
      <c r="E1955">
        <v>60</v>
      </c>
      <c r="F1955">
        <v>59.972499847000002</v>
      </c>
      <c r="G1955">
        <v>1294.4549560999999</v>
      </c>
      <c r="H1955">
        <v>1279.0767822</v>
      </c>
      <c r="I1955">
        <v>1395.4117432</v>
      </c>
      <c r="J1955">
        <v>1375.9796143000001</v>
      </c>
      <c r="K1955">
        <v>0</v>
      </c>
      <c r="L1955">
        <v>2750</v>
      </c>
      <c r="M1955">
        <v>2750</v>
      </c>
      <c r="N1955">
        <v>0</v>
      </c>
    </row>
    <row r="1956" spans="1:14" x14ac:dyDescent="0.25">
      <c r="A1956">
        <v>1364.121294</v>
      </c>
      <c r="B1956" s="1">
        <f>DATE(2014,1,24) + TIME(2,54,39)</f>
        <v>41663.12128472222</v>
      </c>
      <c r="C1956">
        <v>80</v>
      </c>
      <c r="D1956">
        <v>73.340209960999999</v>
      </c>
      <c r="E1956">
        <v>60</v>
      </c>
      <c r="F1956">
        <v>59.972530364999997</v>
      </c>
      <c r="G1956">
        <v>1294.2733154</v>
      </c>
      <c r="H1956">
        <v>1278.8317870999999</v>
      </c>
      <c r="I1956">
        <v>1395.3647461</v>
      </c>
      <c r="J1956">
        <v>1375.9399414</v>
      </c>
      <c r="K1956">
        <v>0</v>
      </c>
      <c r="L1956">
        <v>2750</v>
      </c>
      <c r="M1956">
        <v>2750</v>
      </c>
      <c r="N1956">
        <v>0</v>
      </c>
    </row>
    <row r="1957" spans="1:14" x14ac:dyDescent="0.25">
      <c r="A1957">
        <v>1366.3566519999999</v>
      </c>
      <c r="B1957" s="1">
        <f>DATE(2014,1,26) + TIME(8,33,34)</f>
        <v>41665.35664351852</v>
      </c>
      <c r="C1957">
        <v>80</v>
      </c>
      <c r="D1957">
        <v>73.202178954999994</v>
      </c>
      <c r="E1957">
        <v>60</v>
      </c>
      <c r="F1957">
        <v>59.972564697000003</v>
      </c>
      <c r="G1957">
        <v>1294.0856934000001</v>
      </c>
      <c r="H1957">
        <v>1278.5775146000001</v>
      </c>
      <c r="I1957">
        <v>1395.3181152</v>
      </c>
      <c r="J1957">
        <v>1375.9006348</v>
      </c>
      <c r="K1957">
        <v>0</v>
      </c>
      <c r="L1957">
        <v>2750</v>
      </c>
      <c r="M1957">
        <v>2750</v>
      </c>
      <c r="N1957">
        <v>0</v>
      </c>
    </row>
    <row r="1958" spans="1:14" x14ac:dyDescent="0.25">
      <c r="A1958">
        <v>1368.645192</v>
      </c>
      <c r="B1958" s="1">
        <f>DATE(2014,1,28) + TIME(15,29,4)</f>
        <v>41667.645185185182</v>
      </c>
      <c r="C1958">
        <v>80</v>
      </c>
      <c r="D1958">
        <v>73.061134338000002</v>
      </c>
      <c r="E1958">
        <v>60</v>
      </c>
      <c r="F1958">
        <v>59.972599029999998</v>
      </c>
      <c r="G1958">
        <v>1293.8909911999999</v>
      </c>
      <c r="H1958">
        <v>1278.3129882999999</v>
      </c>
      <c r="I1958">
        <v>1395.2716064000001</v>
      </c>
      <c r="J1958">
        <v>1375.8612060999999</v>
      </c>
      <c r="K1958">
        <v>0</v>
      </c>
      <c r="L1958">
        <v>2750</v>
      </c>
      <c r="M1958">
        <v>2750</v>
      </c>
      <c r="N1958">
        <v>0</v>
      </c>
    </row>
    <row r="1959" spans="1:14" x14ac:dyDescent="0.25">
      <c r="A1959">
        <v>1371.0013309999999</v>
      </c>
      <c r="B1959" s="1">
        <f>DATE(2014,1,31) + TIME(0,1,55)</f>
        <v>41670.001331018517</v>
      </c>
      <c r="C1959">
        <v>80</v>
      </c>
      <c r="D1959">
        <v>72.916130065999994</v>
      </c>
      <c r="E1959">
        <v>60</v>
      </c>
      <c r="F1959">
        <v>59.972633362000003</v>
      </c>
      <c r="G1959">
        <v>1293.6881103999999</v>
      </c>
      <c r="H1959">
        <v>1278.0362548999999</v>
      </c>
      <c r="I1959">
        <v>1395.2248535000001</v>
      </c>
      <c r="J1959">
        <v>1375.8216553</v>
      </c>
      <c r="K1959">
        <v>0</v>
      </c>
      <c r="L1959">
        <v>2750</v>
      </c>
      <c r="M1959">
        <v>2750</v>
      </c>
      <c r="N1959">
        <v>0</v>
      </c>
    </row>
    <row r="1960" spans="1:14" x14ac:dyDescent="0.25">
      <c r="A1960">
        <v>1372</v>
      </c>
      <c r="B1960" s="1">
        <f>DATE(2014,2,1) + TIME(0,0,0)</f>
        <v>41671</v>
      </c>
      <c r="C1960">
        <v>80</v>
      </c>
      <c r="D1960">
        <v>72.803230286000002</v>
      </c>
      <c r="E1960">
        <v>60</v>
      </c>
      <c r="F1960">
        <v>59.972644805999998</v>
      </c>
      <c r="G1960">
        <v>1293.4821777</v>
      </c>
      <c r="H1960">
        <v>1277.7637939000001</v>
      </c>
      <c r="I1960">
        <v>1395.177124</v>
      </c>
      <c r="J1960">
        <v>1375.7810059000001</v>
      </c>
      <c r="K1960">
        <v>0</v>
      </c>
      <c r="L1960">
        <v>2750</v>
      </c>
      <c r="M1960">
        <v>2750</v>
      </c>
      <c r="N1960">
        <v>0</v>
      </c>
    </row>
    <row r="1961" spans="1:14" x14ac:dyDescent="0.25">
      <c r="A1961">
        <v>1374.4399679999999</v>
      </c>
      <c r="B1961" s="1">
        <f>DATE(2014,2,3) + TIME(10,33,33)</f>
        <v>41673.439965277779</v>
      </c>
      <c r="C1961">
        <v>80</v>
      </c>
      <c r="D1961">
        <v>72.690689086999996</v>
      </c>
      <c r="E1961">
        <v>60</v>
      </c>
      <c r="F1961">
        <v>59.972682953000003</v>
      </c>
      <c r="G1961">
        <v>1293.375</v>
      </c>
      <c r="H1961">
        <v>1277.6031493999999</v>
      </c>
      <c r="I1961">
        <v>1395.1578368999999</v>
      </c>
      <c r="J1961">
        <v>1375.7646483999999</v>
      </c>
      <c r="K1961">
        <v>0</v>
      </c>
      <c r="L1961">
        <v>2750</v>
      </c>
      <c r="M1961">
        <v>2750</v>
      </c>
      <c r="N1961">
        <v>0</v>
      </c>
    </row>
    <row r="1962" spans="1:14" x14ac:dyDescent="0.25">
      <c r="A1962">
        <v>1376.944649</v>
      </c>
      <c r="B1962" s="1">
        <f>DATE(2014,2,5) + TIME(22,40,17)</f>
        <v>41675.944641203707</v>
      </c>
      <c r="C1962">
        <v>80</v>
      </c>
      <c r="D1962">
        <v>72.542823791999993</v>
      </c>
      <c r="E1962">
        <v>60</v>
      </c>
      <c r="F1962">
        <v>59.972721100000001</v>
      </c>
      <c r="G1962">
        <v>1293.1560059000001</v>
      </c>
      <c r="H1962">
        <v>1277.3059082</v>
      </c>
      <c r="I1962">
        <v>1395.1102295000001</v>
      </c>
      <c r="J1962">
        <v>1375.7241211</v>
      </c>
      <c r="K1962">
        <v>0</v>
      </c>
      <c r="L1962">
        <v>2750</v>
      </c>
      <c r="M1962">
        <v>2750</v>
      </c>
      <c r="N1962">
        <v>0</v>
      </c>
    </row>
    <row r="1963" spans="1:14" x14ac:dyDescent="0.25">
      <c r="A1963">
        <v>1379.457523</v>
      </c>
      <c r="B1963" s="1">
        <f>DATE(2014,2,8) + TIME(10,58,49)</f>
        <v>41678.457511574074</v>
      </c>
      <c r="C1963">
        <v>80</v>
      </c>
      <c r="D1963">
        <v>72.383148192999997</v>
      </c>
      <c r="E1963">
        <v>60</v>
      </c>
      <c r="F1963">
        <v>59.972759246999999</v>
      </c>
      <c r="G1963">
        <v>1292.9217529</v>
      </c>
      <c r="H1963">
        <v>1276.9841309000001</v>
      </c>
      <c r="I1963">
        <v>1395.0621338000001</v>
      </c>
      <c r="J1963">
        <v>1375.6831055</v>
      </c>
      <c r="K1963">
        <v>0</v>
      </c>
      <c r="L1963">
        <v>2750</v>
      </c>
      <c r="M1963">
        <v>2750</v>
      </c>
      <c r="N1963">
        <v>0</v>
      </c>
    </row>
    <row r="1964" spans="1:14" x14ac:dyDescent="0.25">
      <c r="A1964">
        <v>1381.992931</v>
      </c>
      <c r="B1964" s="1">
        <f>DATE(2014,2,10) + TIME(23,49,49)</f>
        <v>41680.992928240739</v>
      </c>
      <c r="C1964">
        <v>80</v>
      </c>
      <c r="D1964">
        <v>72.218704224000007</v>
      </c>
      <c r="E1964">
        <v>60</v>
      </c>
      <c r="F1964">
        <v>59.972797393999997</v>
      </c>
      <c r="G1964">
        <v>1292.6807861</v>
      </c>
      <c r="H1964">
        <v>1276.6513672000001</v>
      </c>
      <c r="I1964">
        <v>1395.0147704999999</v>
      </c>
      <c r="J1964">
        <v>1375.6427002</v>
      </c>
      <c r="K1964">
        <v>0</v>
      </c>
      <c r="L1964">
        <v>2750</v>
      </c>
      <c r="M1964">
        <v>2750</v>
      </c>
      <c r="N1964">
        <v>0</v>
      </c>
    </row>
    <row r="1965" spans="1:14" x14ac:dyDescent="0.25">
      <c r="A1965">
        <v>1384.5650869999999</v>
      </c>
      <c r="B1965" s="1">
        <f>DATE(2014,2,13) + TIME(13,33,43)</f>
        <v>41683.565081018518</v>
      </c>
      <c r="C1965">
        <v>80</v>
      </c>
      <c r="D1965">
        <v>72.050094603999995</v>
      </c>
      <c r="E1965">
        <v>60</v>
      </c>
      <c r="F1965">
        <v>59.972835541000002</v>
      </c>
      <c r="G1965">
        <v>1292.4334716999999</v>
      </c>
      <c r="H1965">
        <v>1276.3083495999999</v>
      </c>
      <c r="I1965">
        <v>1394.9677733999999</v>
      </c>
      <c r="J1965">
        <v>1375.6024170000001</v>
      </c>
      <c r="K1965">
        <v>0</v>
      </c>
      <c r="L1965">
        <v>2750</v>
      </c>
      <c r="M1965">
        <v>2750</v>
      </c>
      <c r="N1965">
        <v>0</v>
      </c>
    </row>
    <row r="1966" spans="1:14" x14ac:dyDescent="0.25">
      <c r="A1966">
        <v>1387.188533</v>
      </c>
      <c r="B1966" s="1">
        <f>DATE(2014,2,16) + TIME(4,31,29)</f>
        <v>41686.188530092593</v>
      </c>
      <c r="C1966">
        <v>80</v>
      </c>
      <c r="D1966">
        <v>71.876419067</v>
      </c>
      <c r="E1966">
        <v>60</v>
      </c>
      <c r="F1966">
        <v>59.972873688</v>
      </c>
      <c r="G1966">
        <v>1292.1784668</v>
      </c>
      <c r="H1966">
        <v>1275.9537353999999</v>
      </c>
      <c r="I1966">
        <v>1394.9208983999999</v>
      </c>
      <c r="J1966">
        <v>1375.5622559000001</v>
      </c>
      <c r="K1966">
        <v>0</v>
      </c>
      <c r="L1966">
        <v>2750</v>
      </c>
      <c r="M1966">
        <v>2750</v>
      </c>
      <c r="N1966">
        <v>0</v>
      </c>
    </row>
    <row r="1967" spans="1:14" x14ac:dyDescent="0.25">
      <c r="A1967">
        <v>1389.8789509999999</v>
      </c>
      <c r="B1967" s="1">
        <f>DATE(2014,2,18) + TIME(21,5,41)</f>
        <v>41688.878946759258</v>
      </c>
      <c r="C1967">
        <v>80</v>
      </c>
      <c r="D1967">
        <v>71.696357727000006</v>
      </c>
      <c r="E1967">
        <v>60</v>
      </c>
      <c r="F1967">
        <v>59.972915649000001</v>
      </c>
      <c r="G1967">
        <v>1291.9144286999999</v>
      </c>
      <c r="H1967">
        <v>1275.5854492000001</v>
      </c>
      <c r="I1967">
        <v>1394.8739014</v>
      </c>
      <c r="J1967">
        <v>1375.5217285000001</v>
      </c>
      <c r="K1967">
        <v>0</v>
      </c>
      <c r="L1967">
        <v>2750</v>
      </c>
      <c r="M1967">
        <v>2750</v>
      </c>
      <c r="N1967">
        <v>0</v>
      </c>
    </row>
    <row r="1968" spans="1:14" x14ac:dyDescent="0.25">
      <c r="A1968">
        <v>1392.623636</v>
      </c>
      <c r="B1968" s="1">
        <f>DATE(2014,2,21) + TIME(14,58,2)</f>
        <v>41691.62363425926</v>
      </c>
      <c r="C1968">
        <v>80</v>
      </c>
      <c r="D1968">
        <v>71.508750915999997</v>
      </c>
      <c r="E1968">
        <v>60</v>
      </c>
      <c r="F1968">
        <v>59.972953795999999</v>
      </c>
      <c r="G1968">
        <v>1291.6398925999999</v>
      </c>
      <c r="H1968">
        <v>1275.2014160000001</v>
      </c>
      <c r="I1968">
        <v>1394.8264160000001</v>
      </c>
      <c r="J1968">
        <v>1375.4808350000001</v>
      </c>
      <c r="K1968">
        <v>0</v>
      </c>
      <c r="L1968">
        <v>2750</v>
      </c>
      <c r="M1968">
        <v>2750</v>
      </c>
      <c r="N1968">
        <v>0</v>
      </c>
    </row>
    <row r="1969" spans="1:14" x14ac:dyDescent="0.25">
      <c r="A1969">
        <v>1395.3981389999999</v>
      </c>
      <c r="B1969" s="1">
        <f>DATE(2014,2,24) + TIME(9,33,19)</f>
        <v>41694.398136574076</v>
      </c>
      <c r="C1969">
        <v>80</v>
      </c>
      <c r="D1969">
        <v>71.313781738000003</v>
      </c>
      <c r="E1969">
        <v>60</v>
      </c>
      <c r="F1969">
        <v>59.972995758000003</v>
      </c>
      <c r="G1969">
        <v>1291.3557129000001</v>
      </c>
      <c r="H1969">
        <v>1274.8028564000001</v>
      </c>
      <c r="I1969">
        <v>1394.7785644999999</v>
      </c>
      <c r="J1969">
        <v>1375.4395752</v>
      </c>
      <c r="K1969">
        <v>0</v>
      </c>
      <c r="L1969">
        <v>2750</v>
      </c>
      <c r="M1969">
        <v>2750</v>
      </c>
      <c r="N1969">
        <v>0</v>
      </c>
    </row>
    <row r="1970" spans="1:14" x14ac:dyDescent="0.25">
      <c r="A1970">
        <v>1398.2212689999999</v>
      </c>
      <c r="B1970" s="1">
        <f>DATE(2014,2,27) + TIME(5,18,37)</f>
        <v>41697.221261574072</v>
      </c>
      <c r="C1970">
        <v>80</v>
      </c>
      <c r="D1970">
        <v>71.111816406000003</v>
      </c>
      <c r="E1970">
        <v>60</v>
      </c>
      <c r="F1970">
        <v>59.973037720000001</v>
      </c>
      <c r="G1970">
        <v>1291.0642089999999</v>
      </c>
      <c r="H1970">
        <v>1274.3924560999999</v>
      </c>
      <c r="I1970">
        <v>1394.730957</v>
      </c>
      <c r="J1970">
        <v>1375.3984375</v>
      </c>
      <c r="K1970">
        <v>0</v>
      </c>
      <c r="L1970">
        <v>2750</v>
      </c>
      <c r="M1970">
        <v>2750</v>
      </c>
      <c r="N1970">
        <v>0</v>
      </c>
    </row>
    <row r="1971" spans="1:14" x14ac:dyDescent="0.25">
      <c r="A1971">
        <v>1400</v>
      </c>
      <c r="B1971" s="1">
        <f>DATE(2014,3,1) + TIME(0,0,0)</f>
        <v>41699</v>
      </c>
      <c r="C1971">
        <v>80</v>
      </c>
      <c r="D1971">
        <v>70.924148560000006</v>
      </c>
      <c r="E1971">
        <v>60</v>
      </c>
      <c r="F1971">
        <v>59.973060607999997</v>
      </c>
      <c r="G1971">
        <v>1290.7685547000001</v>
      </c>
      <c r="H1971">
        <v>1273.9814452999999</v>
      </c>
      <c r="I1971">
        <v>1394.6828613</v>
      </c>
      <c r="J1971">
        <v>1375.3566894999999</v>
      </c>
      <c r="K1971">
        <v>0</v>
      </c>
      <c r="L1971">
        <v>2750</v>
      </c>
      <c r="M1971">
        <v>2750</v>
      </c>
      <c r="N1971">
        <v>0</v>
      </c>
    </row>
    <row r="1972" spans="1:14" x14ac:dyDescent="0.25">
      <c r="A1972">
        <v>1402.8804500000001</v>
      </c>
      <c r="B1972" s="1">
        <f>DATE(2014,3,3) + TIME(21,7,50)</f>
        <v>41701.880439814813</v>
      </c>
      <c r="C1972">
        <v>80</v>
      </c>
      <c r="D1972">
        <v>70.755027771000002</v>
      </c>
      <c r="E1972">
        <v>60</v>
      </c>
      <c r="F1972">
        <v>59.973106383999998</v>
      </c>
      <c r="G1972">
        <v>1290.5617675999999</v>
      </c>
      <c r="H1972">
        <v>1273.677124</v>
      </c>
      <c r="I1972">
        <v>1394.6534423999999</v>
      </c>
      <c r="J1972">
        <v>1375.3311768000001</v>
      </c>
      <c r="K1972">
        <v>0</v>
      </c>
      <c r="L1972">
        <v>2750</v>
      </c>
      <c r="M1972">
        <v>2750</v>
      </c>
      <c r="N1972">
        <v>0</v>
      </c>
    </row>
    <row r="1973" spans="1:14" x14ac:dyDescent="0.25">
      <c r="A1973">
        <v>1405.8174449999999</v>
      </c>
      <c r="B1973" s="1">
        <f>DATE(2014,3,6) + TIME(19,37,7)</f>
        <v>41704.817442129628</v>
      </c>
      <c r="C1973">
        <v>80</v>
      </c>
      <c r="D1973">
        <v>70.540542603000006</v>
      </c>
      <c r="E1973">
        <v>60</v>
      </c>
      <c r="F1973">
        <v>59.973148346000002</v>
      </c>
      <c r="G1973">
        <v>1290.2576904</v>
      </c>
      <c r="H1973">
        <v>1273.2497559000001</v>
      </c>
      <c r="I1973">
        <v>1394.6057129000001</v>
      </c>
      <c r="J1973">
        <v>1375.2897949000001</v>
      </c>
      <c r="K1973">
        <v>0</v>
      </c>
      <c r="L1973">
        <v>2750</v>
      </c>
      <c r="M1973">
        <v>2750</v>
      </c>
      <c r="N1973">
        <v>0</v>
      </c>
    </row>
    <row r="1974" spans="1:14" x14ac:dyDescent="0.25">
      <c r="A1974">
        <v>1408.809299</v>
      </c>
      <c r="B1974" s="1">
        <f>DATE(2014,3,9) + TIME(19,25,23)</f>
        <v>41707.809293981481</v>
      </c>
      <c r="C1974">
        <v>80</v>
      </c>
      <c r="D1974">
        <v>70.308570861999996</v>
      </c>
      <c r="E1974">
        <v>60</v>
      </c>
      <c r="F1974">
        <v>59.973194122000002</v>
      </c>
      <c r="G1974">
        <v>1289.9373779</v>
      </c>
      <c r="H1974">
        <v>1272.7946777</v>
      </c>
      <c r="I1974">
        <v>1394.5576172000001</v>
      </c>
      <c r="J1974">
        <v>1375.2478027</v>
      </c>
      <c r="K1974">
        <v>0</v>
      </c>
      <c r="L1974">
        <v>2750</v>
      </c>
      <c r="M1974">
        <v>2750</v>
      </c>
      <c r="N1974">
        <v>0</v>
      </c>
    </row>
    <row r="1975" spans="1:14" x14ac:dyDescent="0.25">
      <c r="A1975">
        <v>1411.847704</v>
      </c>
      <c r="B1975" s="1">
        <f>DATE(2014,3,12) + TIME(20,20,41)</f>
        <v>41710.847696759258</v>
      </c>
      <c r="C1975">
        <v>80</v>
      </c>
      <c r="D1975">
        <v>70.064559936999999</v>
      </c>
      <c r="E1975">
        <v>60</v>
      </c>
      <c r="F1975">
        <v>59.973236084</v>
      </c>
      <c r="G1975">
        <v>1289.6064452999999</v>
      </c>
      <c r="H1975">
        <v>1272.3225098</v>
      </c>
      <c r="I1975">
        <v>1394.5092772999999</v>
      </c>
      <c r="J1975">
        <v>1375.2055664</v>
      </c>
      <c r="K1975">
        <v>0</v>
      </c>
      <c r="L1975">
        <v>2750</v>
      </c>
      <c r="M1975">
        <v>2750</v>
      </c>
      <c r="N1975">
        <v>0</v>
      </c>
    </row>
    <row r="1976" spans="1:14" x14ac:dyDescent="0.25">
      <c r="A1976">
        <v>1414.9437760000001</v>
      </c>
      <c r="B1976" s="1">
        <f>DATE(2014,3,15) + TIME(22,39,2)</f>
        <v>41713.943773148145</v>
      </c>
      <c r="C1976">
        <v>80</v>
      </c>
      <c r="D1976">
        <v>69.809120178000001</v>
      </c>
      <c r="E1976">
        <v>60</v>
      </c>
      <c r="F1976">
        <v>59.97328186</v>
      </c>
      <c r="G1976">
        <v>1289.2668457</v>
      </c>
      <c r="H1976">
        <v>1271.8361815999999</v>
      </c>
      <c r="I1976">
        <v>1394.4605713000001</v>
      </c>
      <c r="J1976">
        <v>1375.1630858999999</v>
      </c>
      <c r="K1976">
        <v>0</v>
      </c>
      <c r="L1976">
        <v>2750</v>
      </c>
      <c r="M1976">
        <v>2750</v>
      </c>
      <c r="N1976">
        <v>0</v>
      </c>
    </row>
    <row r="1977" spans="1:14" x14ac:dyDescent="0.25">
      <c r="A1977">
        <v>1418.0996740000001</v>
      </c>
      <c r="B1977" s="1">
        <f>DATE(2014,3,19) + TIME(2,23,31)</f>
        <v>41717.099664351852</v>
      </c>
      <c r="C1977">
        <v>80</v>
      </c>
      <c r="D1977">
        <v>69.541061400999993</v>
      </c>
      <c r="E1977">
        <v>60</v>
      </c>
      <c r="F1977">
        <v>59.973327636999997</v>
      </c>
      <c r="G1977">
        <v>1288.9179687999999</v>
      </c>
      <c r="H1977">
        <v>1271.3350829999999</v>
      </c>
      <c r="I1977">
        <v>1394.411499</v>
      </c>
      <c r="J1977">
        <v>1375.1199951000001</v>
      </c>
      <c r="K1977">
        <v>0</v>
      </c>
      <c r="L1977">
        <v>2750</v>
      </c>
      <c r="M1977">
        <v>2750</v>
      </c>
      <c r="N1977">
        <v>0</v>
      </c>
    </row>
    <row r="1978" spans="1:14" x14ac:dyDescent="0.25">
      <c r="A1978">
        <v>1421.3067759999999</v>
      </c>
      <c r="B1978" s="1">
        <f>DATE(2014,3,22) + TIME(7,21,45)</f>
        <v>41720.306770833333</v>
      </c>
      <c r="C1978">
        <v>80</v>
      </c>
      <c r="D1978">
        <v>69.259704589999998</v>
      </c>
      <c r="E1978">
        <v>60</v>
      </c>
      <c r="F1978">
        <v>59.973373412999997</v>
      </c>
      <c r="G1978">
        <v>1288.5599365</v>
      </c>
      <c r="H1978">
        <v>1270.8189697</v>
      </c>
      <c r="I1978">
        <v>1394.3620605000001</v>
      </c>
      <c r="J1978">
        <v>1375.0765381000001</v>
      </c>
      <c r="K1978">
        <v>0</v>
      </c>
      <c r="L1978">
        <v>2750</v>
      </c>
      <c r="M1978">
        <v>2750</v>
      </c>
      <c r="N1978">
        <v>0</v>
      </c>
    </row>
    <row r="1979" spans="1:14" x14ac:dyDescent="0.25">
      <c r="A1979">
        <v>1424.572995</v>
      </c>
      <c r="B1979" s="1">
        <f>DATE(2014,3,25) + TIME(13,45,6)</f>
        <v>41723.57298611111</v>
      </c>
      <c r="C1979">
        <v>80</v>
      </c>
      <c r="D1979">
        <v>68.964714049999998</v>
      </c>
      <c r="E1979">
        <v>60</v>
      </c>
      <c r="F1979">
        <v>59.973423003999997</v>
      </c>
      <c r="G1979">
        <v>1288.1937256000001</v>
      </c>
      <c r="H1979">
        <v>1270.2894286999999</v>
      </c>
      <c r="I1979">
        <v>1394.3121338000001</v>
      </c>
      <c r="J1979">
        <v>1375.0324707</v>
      </c>
      <c r="K1979">
        <v>0</v>
      </c>
      <c r="L1979">
        <v>2750</v>
      </c>
      <c r="M1979">
        <v>2750</v>
      </c>
      <c r="N1979">
        <v>0</v>
      </c>
    </row>
    <row r="1980" spans="1:14" x14ac:dyDescent="0.25">
      <c r="A1980">
        <v>1427.871607</v>
      </c>
      <c r="B1980" s="1">
        <f>DATE(2014,3,28) + TIME(20,55,6)</f>
        <v>41726.87159722222</v>
      </c>
      <c r="C1980">
        <v>80</v>
      </c>
      <c r="D1980">
        <v>68.655586243000002</v>
      </c>
      <c r="E1980">
        <v>60</v>
      </c>
      <c r="F1980">
        <v>59.973468781000001</v>
      </c>
      <c r="G1980">
        <v>1287.8190918</v>
      </c>
      <c r="H1980">
        <v>1269.7460937999999</v>
      </c>
      <c r="I1980">
        <v>1394.2617187999999</v>
      </c>
      <c r="J1980">
        <v>1374.9880370999999</v>
      </c>
      <c r="K1980">
        <v>0</v>
      </c>
      <c r="L1980">
        <v>2750</v>
      </c>
      <c r="M1980">
        <v>2750</v>
      </c>
      <c r="N1980">
        <v>0</v>
      </c>
    </row>
    <row r="1981" spans="1:14" x14ac:dyDescent="0.25">
      <c r="A1981">
        <v>1431</v>
      </c>
      <c r="B1981" s="1">
        <f>DATE(2014,4,1) + TIME(0,0,0)</f>
        <v>41730</v>
      </c>
      <c r="C1981">
        <v>80</v>
      </c>
      <c r="D1981">
        <v>68.336929321</v>
      </c>
      <c r="E1981">
        <v>60</v>
      </c>
      <c r="F1981">
        <v>59.973514557000001</v>
      </c>
      <c r="G1981">
        <v>1287.4398193</v>
      </c>
      <c r="H1981">
        <v>1269.1948242000001</v>
      </c>
      <c r="I1981">
        <v>1394.2110596</v>
      </c>
      <c r="J1981">
        <v>1374.9432373</v>
      </c>
      <c r="K1981">
        <v>0</v>
      </c>
      <c r="L1981">
        <v>2750</v>
      </c>
      <c r="M1981">
        <v>2750</v>
      </c>
      <c r="N1981">
        <v>0</v>
      </c>
    </row>
    <row r="1982" spans="1:14" x14ac:dyDescent="0.25">
      <c r="A1982">
        <v>1434.353151</v>
      </c>
      <c r="B1982" s="1">
        <f>DATE(2014,4,4) + TIME(8,28,32)</f>
        <v>41733.353148148148</v>
      </c>
      <c r="C1982">
        <v>80</v>
      </c>
      <c r="D1982">
        <v>68.016296386999997</v>
      </c>
      <c r="E1982">
        <v>60</v>
      </c>
      <c r="F1982">
        <v>59.973560333000002</v>
      </c>
      <c r="G1982">
        <v>1287.0756836</v>
      </c>
      <c r="H1982">
        <v>1268.6606445</v>
      </c>
      <c r="I1982">
        <v>1394.1634521000001</v>
      </c>
      <c r="J1982">
        <v>1374.901001</v>
      </c>
      <c r="K1982">
        <v>0</v>
      </c>
      <c r="L1982">
        <v>2750</v>
      </c>
      <c r="M1982">
        <v>2750</v>
      </c>
      <c r="N1982">
        <v>0</v>
      </c>
    </row>
    <row r="1983" spans="1:14" x14ac:dyDescent="0.25">
      <c r="A1983">
        <v>1437.797894</v>
      </c>
      <c r="B1983" s="1">
        <f>DATE(2014,4,7) + TIME(19,8,58)</f>
        <v>41736.797893518517</v>
      </c>
      <c r="C1983">
        <v>80</v>
      </c>
      <c r="D1983">
        <v>67.671134949000006</v>
      </c>
      <c r="E1983">
        <v>60</v>
      </c>
      <c r="F1983">
        <v>59.973609924000002</v>
      </c>
      <c r="G1983">
        <v>1286.6901855000001</v>
      </c>
      <c r="H1983">
        <v>1268.0961914</v>
      </c>
      <c r="I1983">
        <v>1394.112793</v>
      </c>
      <c r="J1983">
        <v>1374.8558350000001</v>
      </c>
      <c r="K1983">
        <v>0</v>
      </c>
      <c r="L1983">
        <v>2750</v>
      </c>
      <c r="M1983">
        <v>2750</v>
      </c>
      <c r="N1983">
        <v>0</v>
      </c>
    </row>
    <row r="1984" spans="1:14" x14ac:dyDescent="0.25">
      <c r="A1984">
        <v>1441.3127999999999</v>
      </c>
      <c r="B1984" s="1">
        <f>DATE(2014,4,11) + TIME(7,30,25)</f>
        <v>41740.312789351854</v>
      </c>
      <c r="C1984">
        <v>80</v>
      </c>
      <c r="D1984">
        <v>67.306030273000005</v>
      </c>
      <c r="E1984">
        <v>60</v>
      </c>
      <c r="F1984">
        <v>59.973659515000001</v>
      </c>
      <c r="G1984">
        <v>1286.2935791</v>
      </c>
      <c r="H1984">
        <v>1267.5131836</v>
      </c>
      <c r="I1984">
        <v>1394.0607910000001</v>
      </c>
      <c r="J1984">
        <v>1374.8096923999999</v>
      </c>
      <c r="K1984">
        <v>0</v>
      </c>
      <c r="L1984">
        <v>2750</v>
      </c>
      <c r="M1984">
        <v>2750</v>
      </c>
      <c r="N1984">
        <v>0</v>
      </c>
    </row>
    <row r="1985" spans="1:14" x14ac:dyDescent="0.25">
      <c r="A1985">
        <v>1444.8758909999999</v>
      </c>
      <c r="B1985" s="1">
        <f>DATE(2014,4,14) + TIME(21,1,16)</f>
        <v>41743.875879629632</v>
      </c>
      <c r="C1985">
        <v>80</v>
      </c>
      <c r="D1985">
        <v>66.923522949000002</v>
      </c>
      <c r="E1985">
        <v>60</v>
      </c>
      <c r="F1985">
        <v>59.973709106000001</v>
      </c>
      <c r="G1985">
        <v>1285.8895264</v>
      </c>
      <c r="H1985">
        <v>1266.9168701000001</v>
      </c>
      <c r="I1985">
        <v>1394.0081786999999</v>
      </c>
      <c r="J1985">
        <v>1374.7625731999999</v>
      </c>
      <c r="K1985">
        <v>0</v>
      </c>
      <c r="L1985">
        <v>2750</v>
      </c>
      <c r="M1985">
        <v>2750</v>
      </c>
      <c r="N1985">
        <v>0</v>
      </c>
    </row>
    <row r="1986" spans="1:14" x14ac:dyDescent="0.25">
      <c r="A1986">
        <v>1448.4945290000001</v>
      </c>
      <c r="B1986" s="1">
        <f>DATE(2014,4,18) + TIME(11,52,7)</f>
        <v>41747.494525462964</v>
      </c>
      <c r="C1986">
        <v>80</v>
      </c>
      <c r="D1986">
        <v>66.525512695000003</v>
      </c>
      <c r="E1986">
        <v>60</v>
      </c>
      <c r="F1986">
        <v>59.973758697999997</v>
      </c>
      <c r="G1986">
        <v>1285.4812012</v>
      </c>
      <c r="H1986">
        <v>1266.3121338000001</v>
      </c>
      <c r="I1986">
        <v>1393.9549560999999</v>
      </c>
      <c r="J1986">
        <v>1374.7148437999999</v>
      </c>
      <c r="K1986">
        <v>0</v>
      </c>
      <c r="L1986">
        <v>2750</v>
      </c>
      <c r="M1986">
        <v>2750</v>
      </c>
      <c r="N1986">
        <v>0</v>
      </c>
    </row>
    <row r="1987" spans="1:14" x14ac:dyDescent="0.25">
      <c r="A1987">
        <v>1452.162902</v>
      </c>
      <c r="B1987" s="1">
        <f>DATE(2014,4,22) + TIME(3,54,34)</f>
        <v>41751.162893518522</v>
      </c>
      <c r="C1987">
        <v>80</v>
      </c>
      <c r="D1987">
        <v>66.112098693999997</v>
      </c>
      <c r="E1987">
        <v>60</v>
      </c>
      <c r="F1987">
        <v>59.973808288999997</v>
      </c>
      <c r="G1987">
        <v>1285.0690918</v>
      </c>
      <c r="H1987">
        <v>1265.6994629000001</v>
      </c>
      <c r="I1987">
        <v>1393.901001</v>
      </c>
      <c r="J1987">
        <v>1374.6665039</v>
      </c>
      <c r="K1987">
        <v>0</v>
      </c>
      <c r="L1987">
        <v>2750</v>
      </c>
      <c r="M1987">
        <v>2750</v>
      </c>
      <c r="N1987">
        <v>0</v>
      </c>
    </row>
    <row r="1988" spans="1:14" x14ac:dyDescent="0.25">
      <c r="A1988">
        <v>1455.8773140000001</v>
      </c>
      <c r="B1988" s="1">
        <f>DATE(2014,4,25) + TIME(21,3,19)</f>
        <v>41754.877303240741</v>
      </c>
      <c r="C1988">
        <v>80</v>
      </c>
      <c r="D1988">
        <v>65.684104919000006</v>
      </c>
      <c r="E1988">
        <v>60</v>
      </c>
      <c r="F1988">
        <v>59.973861694</v>
      </c>
      <c r="G1988">
        <v>1284.6545410000001</v>
      </c>
      <c r="H1988">
        <v>1265.0809326000001</v>
      </c>
      <c r="I1988">
        <v>1393.8465576000001</v>
      </c>
      <c r="J1988">
        <v>1374.6174315999999</v>
      </c>
      <c r="K1988">
        <v>0</v>
      </c>
      <c r="L1988">
        <v>2750</v>
      </c>
      <c r="M1988">
        <v>2750</v>
      </c>
      <c r="N1988">
        <v>0</v>
      </c>
    </row>
    <row r="1989" spans="1:14" x14ac:dyDescent="0.25">
      <c r="A1989">
        <v>1459.661022</v>
      </c>
      <c r="B1989" s="1">
        <f>DATE(2014,4,29) + TIME(15,51,52)</f>
        <v>41758.66101851852</v>
      </c>
      <c r="C1989">
        <v>80</v>
      </c>
      <c r="D1989">
        <v>65.242050171000002</v>
      </c>
      <c r="E1989">
        <v>60</v>
      </c>
      <c r="F1989">
        <v>59.973911285</v>
      </c>
      <c r="G1989">
        <v>1284.2388916</v>
      </c>
      <c r="H1989">
        <v>1264.4584961</v>
      </c>
      <c r="I1989">
        <v>1393.7915039</v>
      </c>
      <c r="J1989">
        <v>1374.5678711</v>
      </c>
      <c r="K1989">
        <v>0</v>
      </c>
      <c r="L1989">
        <v>2750</v>
      </c>
      <c r="M1989">
        <v>2750</v>
      </c>
      <c r="N1989">
        <v>0</v>
      </c>
    </row>
    <row r="1990" spans="1:14" x14ac:dyDescent="0.25">
      <c r="A1990">
        <v>1461</v>
      </c>
      <c r="B1990" s="1">
        <f>DATE(2014,5,1) + TIME(0,0,0)</f>
        <v>41760</v>
      </c>
      <c r="C1990">
        <v>80</v>
      </c>
      <c r="D1990">
        <v>64.880523682000003</v>
      </c>
      <c r="E1990">
        <v>60</v>
      </c>
      <c r="F1990">
        <v>59.973926544000001</v>
      </c>
      <c r="G1990">
        <v>1283.831543</v>
      </c>
      <c r="H1990">
        <v>1263.8768310999999</v>
      </c>
      <c r="I1990">
        <v>1393.7351074000001</v>
      </c>
      <c r="J1990">
        <v>1374.5168457</v>
      </c>
      <c r="K1990">
        <v>0</v>
      </c>
      <c r="L1990">
        <v>2750</v>
      </c>
      <c r="M1990">
        <v>2750</v>
      </c>
      <c r="N1990">
        <v>0</v>
      </c>
    </row>
    <row r="1991" spans="1:14" x14ac:dyDescent="0.25">
      <c r="A1991">
        <v>1461.0000010000001</v>
      </c>
      <c r="B1991" s="1">
        <f>DATE(2014,5,1) + TIME(0,0,0)</f>
        <v>41760</v>
      </c>
      <c r="C1991">
        <v>80</v>
      </c>
      <c r="D1991">
        <v>64.880699157999999</v>
      </c>
      <c r="E1991">
        <v>60</v>
      </c>
      <c r="F1991">
        <v>59.973793030000003</v>
      </c>
      <c r="G1991">
        <v>1305.2670897999999</v>
      </c>
      <c r="H1991">
        <v>1284.9783935999999</v>
      </c>
      <c r="I1991">
        <v>1373.515625</v>
      </c>
      <c r="J1991">
        <v>1355.0463867000001</v>
      </c>
      <c r="K1991">
        <v>2750</v>
      </c>
      <c r="L1991">
        <v>0</v>
      </c>
      <c r="M1991">
        <v>0</v>
      </c>
      <c r="N1991">
        <v>2750</v>
      </c>
    </row>
    <row r="1992" spans="1:14" x14ac:dyDescent="0.25">
      <c r="A1992">
        <v>1461.000004</v>
      </c>
      <c r="B1992" s="1">
        <f>DATE(2014,5,1) + TIME(0,0,0)</f>
        <v>41760</v>
      </c>
      <c r="C1992">
        <v>80</v>
      </c>
      <c r="D1992">
        <v>64.881164550999998</v>
      </c>
      <c r="E1992">
        <v>60</v>
      </c>
      <c r="F1992">
        <v>59.973445892000001</v>
      </c>
      <c r="G1992">
        <v>1307.9699707</v>
      </c>
      <c r="H1992">
        <v>1287.9393310999999</v>
      </c>
      <c r="I1992">
        <v>1370.8925781</v>
      </c>
      <c r="J1992">
        <v>1352.4227295000001</v>
      </c>
      <c r="K1992">
        <v>2750</v>
      </c>
      <c r="L1992">
        <v>0</v>
      </c>
      <c r="M1992">
        <v>0</v>
      </c>
      <c r="N1992">
        <v>2750</v>
      </c>
    </row>
    <row r="1993" spans="1:14" x14ac:dyDescent="0.25">
      <c r="A1993">
        <v>1461.0000130000001</v>
      </c>
      <c r="B1993" s="1">
        <f>DATE(2014,5,1) + TIME(0,0,1)</f>
        <v>41760.000011574077</v>
      </c>
      <c r="C1993">
        <v>80</v>
      </c>
      <c r="D1993">
        <v>64.882217406999999</v>
      </c>
      <c r="E1993">
        <v>60</v>
      </c>
      <c r="F1993">
        <v>59.972698211999997</v>
      </c>
      <c r="G1993">
        <v>1313.8676757999999</v>
      </c>
      <c r="H1993">
        <v>1294.1804199000001</v>
      </c>
      <c r="I1993">
        <v>1365.2182617000001</v>
      </c>
      <c r="J1993">
        <v>1346.7475586</v>
      </c>
      <c r="K1993">
        <v>2750</v>
      </c>
      <c r="L1993">
        <v>0</v>
      </c>
      <c r="M1993">
        <v>0</v>
      </c>
      <c r="N1993">
        <v>2750</v>
      </c>
    </row>
    <row r="1994" spans="1:14" x14ac:dyDescent="0.25">
      <c r="A1994">
        <v>1461.0000399999999</v>
      </c>
      <c r="B1994" s="1">
        <f>DATE(2014,5,1) + TIME(0,0,3)</f>
        <v>41760.000034722223</v>
      </c>
      <c r="C1994">
        <v>80</v>
      </c>
      <c r="D1994">
        <v>64.884147643999995</v>
      </c>
      <c r="E1994">
        <v>60</v>
      </c>
      <c r="F1994">
        <v>59.971508026000002</v>
      </c>
      <c r="G1994">
        <v>1323.3961182</v>
      </c>
      <c r="H1994">
        <v>1303.8509521000001</v>
      </c>
      <c r="I1994">
        <v>1356.192749</v>
      </c>
      <c r="J1994">
        <v>1337.7233887</v>
      </c>
      <c r="K1994">
        <v>2750</v>
      </c>
      <c r="L1994">
        <v>0</v>
      </c>
      <c r="M1994">
        <v>0</v>
      </c>
      <c r="N1994">
        <v>2750</v>
      </c>
    </row>
    <row r="1995" spans="1:14" x14ac:dyDescent="0.25">
      <c r="A1995">
        <v>1461.000121</v>
      </c>
      <c r="B1995" s="1">
        <f>DATE(2014,5,1) + TIME(0,0,10)</f>
        <v>41760.000115740739</v>
      </c>
      <c r="C1995">
        <v>80</v>
      </c>
      <c r="D1995">
        <v>64.887565613000007</v>
      </c>
      <c r="E1995">
        <v>60</v>
      </c>
      <c r="F1995">
        <v>59.970104218000003</v>
      </c>
      <c r="G1995">
        <v>1334.8096923999999</v>
      </c>
      <c r="H1995">
        <v>1315.1578368999999</v>
      </c>
      <c r="I1995">
        <v>1345.5780029</v>
      </c>
      <c r="J1995">
        <v>1327.1134033000001</v>
      </c>
      <c r="K1995">
        <v>2750</v>
      </c>
      <c r="L1995">
        <v>0</v>
      </c>
      <c r="M1995">
        <v>0</v>
      </c>
      <c r="N1995">
        <v>2750</v>
      </c>
    </row>
    <row r="1996" spans="1:14" x14ac:dyDescent="0.25">
      <c r="A1996">
        <v>1461.000364</v>
      </c>
      <c r="B1996" s="1">
        <f>DATE(2014,5,1) + TIME(0,0,31)</f>
        <v>41760.000358796293</v>
      </c>
      <c r="C1996">
        <v>80</v>
      </c>
      <c r="D1996">
        <v>64.894889832000004</v>
      </c>
      <c r="E1996">
        <v>60</v>
      </c>
      <c r="F1996">
        <v>59.968650818</v>
      </c>
      <c r="G1996">
        <v>1346.6115723</v>
      </c>
      <c r="H1996">
        <v>1326.8081055</v>
      </c>
      <c r="I1996">
        <v>1334.7731934000001</v>
      </c>
      <c r="J1996">
        <v>1316.3172606999999</v>
      </c>
      <c r="K1996">
        <v>2750</v>
      </c>
      <c r="L1996">
        <v>0</v>
      </c>
      <c r="M1996">
        <v>0</v>
      </c>
      <c r="N1996">
        <v>2750</v>
      </c>
    </row>
    <row r="1997" spans="1:14" x14ac:dyDescent="0.25">
      <c r="A1997">
        <v>1461.0010930000001</v>
      </c>
      <c r="B1997" s="1">
        <f>DATE(2014,5,1) + TIME(0,1,34)</f>
        <v>41760.001087962963</v>
      </c>
      <c r="C1997">
        <v>80</v>
      </c>
      <c r="D1997">
        <v>64.913894653</v>
      </c>
      <c r="E1997">
        <v>60</v>
      </c>
      <c r="F1997">
        <v>59.967128754000001</v>
      </c>
      <c r="G1997">
        <v>1358.6882324000001</v>
      </c>
      <c r="H1997">
        <v>1338.7062988</v>
      </c>
      <c r="I1997">
        <v>1323.9758300999999</v>
      </c>
      <c r="J1997">
        <v>1305.5257568</v>
      </c>
      <c r="K1997">
        <v>2750</v>
      </c>
      <c r="L1997">
        <v>0</v>
      </c>
      <c r="M1997">
        <v>0</v>
      </c>
      <c r="N1997">
        <v>2750</v>
      </c>
    </row>
    <row r="1998" spans="1:14" x14ac:dyDescent="0.25">
      <c r="A1998">
        <v>1461.0032799999999</v>
      </c>
      <c r="B1998" s="1">
        <f>DATE(2014,5,1) + TIME(0,4,43)</f>
        <v>41760.003275462965</v>
      </c>
      <c r="C1998">
        <v>80</v>
      </c>
      <c r="D1998">
        <v>64.968223571999999</v>
      </c>
      <c r="E1998">
        <v>60</v>
      </c>
      <c r="F1998">
        <v>59.965396880999997</v>
      </c>
      <c r="G1998">
        <v>1371.3096923999999</v>
      </c>
      <c r="H1998">
        <v>1351.0985106999999</v>
      </c>
      <c r="I1998">
        <v>1313.0556641000001</v>
      </c>
      <c r="J1998">
        <v>1294.5668945</v>
      </c>
      <c r="K1998">
        <v>2750</v>
      </c>
      <c r="L1998">
        <v>0</v>
      </c>
      <c r="M1998">
        <v>0</v>
      </c>
      <c r="N1998">
        <v>2750</v>
      </c>
    </row>
    <row r="1999" spans="1:14" x14ac:dyDescent="0.25">
      <c r="A1999">
        <v>1461.0098410000001</v>
      </c>
      <c r="B1999" s="1">
        <f>DATE(2014,5,1) + TIME(0,14,10)</f>
        <v>41760.009837962964</v>
      </c>
      <c r="C1999">
        <v>80</v>
      </c>
      <c r="D1999">
        <v>65.128105164000004</v>
      </c>
      <c r="E1999">
        <v>60</v>
      </c>
      <c r="F1999">
        <v>59.963085175000003</v>
      </c>
      <c r="G1999">
        <v>1383.8048096</v>
      </c>
      <c r="H1999">
        <v>1363.3956298999999</v>
      </c>
      <c r="I1999">
        <v>1302.2702637</v>
      </c>
      <c r="J1999">
        <v>1283.6871338000001</v>
      </c>
      <c r="K1999">
        <v>2750</v>
      </c>
      <c r="L1999">
        <v>0</v>
      </c>
      <c r="M1999">
        <v>0</v>
      </c>
      <c r="N1999">
        <v>2750</v>
      </c>
    </row>
    <row r="2000" spans="1:14" x14ac:dyDescent="0.25">
      <c r="A2000">
        <v>1461.029524</v>
      </c>
      <c r="B2000" s="1">
        <f>DATE(2014,5,1) + TIME(0,42,30)</f>
        <v>41760.029513888891</v>
      </c>
      <c r="C2000">
        <v>80</v>
      </c>
      <c r="D2000">
        <v>65.592430114999999</v>
      </c>
      <c r="E2000">
        <v>60</v>
      </c>
      <c r="F2000">
        <v>59.959327698000003</v>
      </c>
      <c r="G2000">
        <v>1393.6761475000001</v>
      </c>
      <c r="H2000">
        <v>1373.262207</v>
      </c>
      <c r="I2000">
        <v>1293.7517089999999</v>
      </c>
      <c r="J2000">
        <v>1275.0950928</v>
      </c>
      <c r="K2000">
        <v>2750</v>
      </c>
      <c r="L2000">
        <v>0</v>
      </c>
      <c r="M2000">
        <v>0</v>
      </c>
      <c r="N2000">
        <v>2750</v>
      </c>
    </row>
    <row r="2001" spans="1:14" x14ac:dyDescent="0.25">
      <c r="A2001">
        <v>1461.054095</v>
      </c>
      <c r="B2001" s="1">
        <f>DATE(2014,5,1) + TIME(1,17,53)</f>
        <v>41760.054085648146</v>
      </c>
      <c r="C2001">
        <v>80</v>
      </c>
      <c r="D2001">
        <v>66.149749756000006</v>
      </c>
      <c r="E2001">
        <v>60</v>
      </c>
      <c r="F2001">
        <v>59.955657959</v>
      </c>
      <c r="G2001">
        <v>1397.5290527</v>
      </c>
      <c r="H2001">
        <v>1377.2336425999999</v>
      </c>
      <c r="I2001">
        <v>1290.7388916</v>
      </c>
      <c r="J2001">
        <v>1272.0595702999999</v>
      </c>
      <c r="K2001">
        <v>2750</v>
      </c>
      <c r="L2001">
        <v>0</v>
      </c>
      <c r="M2001">
        <v>0</v>
      </c>
      <c r="N2001">
        <v>2750</v>
      </c>
    </row>
    <row r="2002" spans="1:14" x14ac:dyDescent="0.25">
      <c r="A2002">
        <v>1461.079277</v>
      </c>
      <c r="B2002" s="1">
        <f>DATE(2014,5,1) + TIME(1,54,9)</f>
        <v>41760.079270833332</v>
      </c>
      <c r="C2002">
        <v>80</v>
      </c>
      <c r="D2002">
        <v>66.698471068999993</v>
      </c>
      <c r="E2002">
        <v>60</v>
      </c>
      <c r="F2002">
        <v>59.952213286999999</v>
      </c>
      <c r="G2002">
        <v>1398.9244385</v>
      </c>
      <c r="H2002">
        <v>1378.7683105000001</v>
      </c>
      <c r="I2002">
        <v>1289.8686522999999</v>
      </c>
      <c r="J2002">
        <v>1271.1824951000001</v>
      </c>
      <c r="K2002">
        <v>2750</v>
      </c>
      <c r="L2002">
        <v>0</v>
      </c>
      <c r="M2002">
        <v>0</v>
      </c>
      <c r="N2002">
        <v>2750</v>
      </c>
    </row>
    <row r="2003" spans="1:14" x14ac:dyDescent="0.25">
      <c r="A2003">
        <v>1461.105018</v>
      </c>
      <c r="B2003" s="1">
        <f>DATE(2014,5,1) + TIME(2,31,13)</f>
        <v>41760.105011574073</v>
      </c>
      <c r="C2003">
        <v>80</v>
      </c>
      <c r="D2003">
        <v>67.236824036000002</v>
      </c>
      <c r="E2003">
        <v>60</v>
      </c>
      <c r="F2003">
        <v>59.948818207000002</v>
      </c>
      <c r="G2003">
        <v>1399.4078368999999</v>
      </c>
      <c r="H2003">
        <v>1379.3941649999999</v>
      </c>
      <c r="I2003">
        <v>1289.6700439000001</v>
      </c>
      <c r="J2003">
        <v>1270.9815673999999</v>
      </c>
      <c r="K2003">
        <v>2750</v>
      </c>
      <c r="L2003">
        <v>0</v>
      </c>
      <c r="M2003">
        <v>0</v>
      </c>
      <c r="N2003">
        <v>2750</v>
      </c>
    </row>
    <row r="2004" spans="1:14" x14ac:dyDescent="0.25">
      <c r="A2004">
        <v>1461.1313170000001</v>
      </c>
      <c r="B2004" s="1">
        <f>DATE(2014,5,1) + TIME(3,9,5)</f>
        <v>41760.131307870368</v>
      </c>
      <c r="C2004">
        <v>80</v>
      </c>
      <c r="D2004">
        <v>67.764266968000001</v>
      </c>
      <c r="E2004">
        <v>60</v>
      </c>
      <c r="F2004">
        <v>59.945407867</v>
      </c>
      <c r="G2004">
        <v>1399.5155029</v>
      </c>
      <c r="H2004">
        <v>1379.6417236</v>
      </c>
      <c r="I2004">
        <v>1289.6680908000001</v>
      </c>
      <c r="J2004">
        <v>1270.9788818</v>
      </c>
      <c r="K2004">
        <v>2750</v>
      </c>
      <c r="L2004">
        <v>0</v>
      </c>
      <c r="M2004">
        <v>0</v>
      </c>
      <c r="N2004">
        <v>2750</v>
      </c>
    </row>
    <row r="2005" spans="1:14" x14ac:dyDescent="0.25">
      <c r="A2005">
        <v>1461.1582000000001</v>
      </c>
      <c r="B2005" s="1">
        <f>DATE(2014,5,1) + TIME(3,47,48)</f>
        <v>41760.158194444448</v>
      </c>
      <c r="C2005">
        <v>80</v>
      </c>
      <c r="D2005">
        <v>68.280815125000004</v>
      </c>
      <c r="E2005">
        <v>60</v>
      </c>
      <c r="F2005">
        <v>59.941967009999999</v>
      </c>
      <c r="G2005">
        <v>1399.4573975000001</v>
      </c>
      <c r="H2005">
        <v>1379.7198486</v>
      </c>
      <c r="I2005">
        <v>1289.7094727000001</v>
      </c>
      <c r="J2005">
        <v>1271.0197754000001</v>
      </c>
      <c r="K2005">
        <v>2750</v>
      </c>
      <c r="L2005">
        <v>0</v>
      </c>
      <c r="M2005">
        <v>0</v>
      </c>
      <c r="N2005">
        <v>2750</v>
      </c>
    </row>
    <row r="2006" spans="1:14" x14ac:dyDescent="0.25">
      <c r="A2006">
        <v>1461.1856990000001</v>
      </c>
      <c r="B2006" s="1">
        <f>DATE(2014,5,1) + TIME(4,27,24)</f>
        <v>41760.185694444444</v>
      </c>
      <c r="C2006">
        <v>80</v>
      </c>
      <c r="D2006">
        <v>68.786529540999993</v>
      </c>
      <c r="E2006">
        <v>60</v>
      </c>
      <c r="F2006">
        <v>59.938480376999998</v>
      </c>
      <c r="G2006">
        <v>1399.3233643000001</v>
      </c>
      <c r="H2006">
        <v>1379.7176514</v>
      </c>
      <c r="I2006">
        <v>1289.7490233999999</v>
      </c>
      <c r="J2006">
        <v>1271.0592041</v>
      </c>
      <c r="K2006">
        <v>2750</v>
      </c>
      <c r="L2006">
        <v>0</v>
      </c>
      <c r="M2006">
        <v>0</v>
      </c>
      <c r="N2006">
        <v>2750</v>
      </c>
    </row>
    <row r="2007" spans="1:14" x14ac:dyDescent="0.25">
      <c r="A2007">
        <v>1461.2138480000001</v>
      </c>
      <c r="B2007" s="1">
        <f>DATE(2014,5,1) + TIME(5,7,56)</f>
        <v>41760.213842592595</v>
      </c>
      <c r="C2007">
        <v>80</v>
      </c>
      <c r="D2007">
        <v>69.281463622999993</v>
      </c>
      <c r="E2007">
        <v>60</v>
      </c>
      <c r="F2007">
        <v>59.934947968000003</v>
      </c>
      <c r="G2007">
        <v>1399.1540527</v>
      </c>
      <c r="H2007">
        <v>1379.6761475000001</v>
      </c>
      <c r="I2007">
        <v>1289.7775879000001</v>
      </c>
      <c r="J2007">
        <v>1271.0875243999999</v>
      </c>
      <c r="K2007">
        <v>2750</v>
      </c>
      <c r="L2007">
        <v>0</v>
      </c>
      <c r="M2007">
        <v>0</v>
      </c>
      <c r="N2007">
        <v>2750</v>
      </c>
    </row>
    <row r="2008" spans="1:14" x14ac:dyDescent="0.25">
      <c r="A2008">
        <v>1461.2426829999999</v>
      </c>
      <c r="B2008" s="1">
        <f>DATE(2014,5,1) + TIME(5,49,27)</f>
        <v>41760.242673611108</v>
      </c>
      <c r="C2008">
        <v>80</v>
      </c>
      <c r="D2008">
        <v>69.765693665000001</v>
      </c>
      <c r="E2008">
        <v>60</v>
      </c>
      <c r="F2008">
        <v>59.931362151999998</v>
      </c>
      <c r="G2008">
        <v>1398.9693603999999</v>
      </c>
      <c r="H2008">
        <v>1379.6148682</v>
      </c>
      <c r="I2008">
        <v>1289.7958983999999</v>
      </c>
      <c r="J2008">
        <v>1271.1055908000001</v>
      </c>
      <c r="K2008">
        <v>2750</v>
      </c>
      <c r="L2008">
        <v>0</v>
      </c>
      <c r="M2008">
        <v>0</v>
      </c>
      <c r="N2008">
        <v>2750</v>
      </c>
    </row>
    <row r="2009" spans="1:14" x14ac:dyDescent="0.25">
      <c r="A2009">
        <v>1461.2722470000001</v>
      </c>
      <c r="B2009" s="1">
        <f>DATE(2014,5,1) + TIME(6,32,2)</f>
        <v>41760.272245370368</v>
      </c>
      <c r="C2009">
        <v>80</v>
      </c>
      <c r="D2009">
        <v>70.239120482999994</v>
      </c>
      <c r="E2009">
        <v>60</v>
      </c>
      <c r="F2009">
        <v>59.927726745999998</v>
      </c>
      <c r="G2009">
        <v>1398.7791748</v>
      </c>
      <c r="H2009">
        <v>1379.5438231999999</v>
      </c>
      <c r="I2009">
        <v>1289.8070068</v>
      </c>
      <c r="J2009">
        <v>1271.1163329999999</v>
      </c>
      <c r="K2009">
        <v>2750</v>
      </c>
      <c r="L2009">
        <v>0</v>
      </c>
      <c r="M2009">
        <v>0</v>
      </c>
      <c r="N2009">
        <v>2750</v>
      </c>
    </row>
    <row r="2010" spans="1:14" x14ac:dyDescent="0.25">
      <c r="A2010">
        <v>1461.302584</v>
      </c>
      <c r="B2010" s="1">
        <f>DATE(2014,5,1) + TIME(7,15,43)</f>
        <v>41760.302581018521</v>
      </c>
      <c r="C2010">
        <v>80</v>
      </c>
      <c r="D2010">
        <v>70.701805114999999</v>
      </c>
      <c r="E2010">
        <v>60</v>
      </c>
      <c r="F2010">
        <v>59.924034118999998</v>
      </c>
      <c r="G2010">
        <v>1398.5883789</v>
      </c>
      <c r="H2010">
        <v>1379.4682617000001</v>
      </c>
      <c r="I2010">
        <v>1289.8133545000001</v>
      </c>
      <c r="J2010">
        <v>1271.1224365</v>
      </c>
      <c r="K2010">
        <v>2750</v>
      </c>
      <c r="L2010">
        <v>0</v>
      </c>
      <c r="M2010">
        <v>0</v>
      </c>
      <c r="N2010">
        <v>2750</v>
      </c>
    </row>
    <row r="2011" spans="1:14" x14ac:dyDescent="0.25">
      <c r="A2011">
        <v>1461.3337429999999</v>
      </c>
      <c r="B2011" s="1">
        <f>DATE(2014,5,1) + TIME(8,0,35)</f>
        <v>41760.333738425928</v>
      </c>
      <c r="C2011">
        <v>80</v>
      </c>
      <c r="D2011">
        <v>71.153968810999999</v>
      </c>
      <c r="E2011">
        <v>60</v>
      </c>
      <c r="F2011">
        <v>59.920280456999997</v>
      </c>
      <c r="G2011">
        <v>1398.3997803</v>
      </c>
      <c r="H2011">
        <v>1379.3911132999999</v>
      </c>
      <c r="I2011">
        <v>1289.8168945</v>
      </c>
      <c r="J2011">
        <v>1271.1257324000001</v>
      </c>
      <c r="K2011">
        <v>2750</v>
      </c>
      <c r="L2011">
        <v>0</v>
      </c>
      <c r="M2011">
        <v>0</v>
      </c>
      <c r="N2011">
        <v>2750</v>
      </c>
    </row>
    <row r="2012" spans="1:14" x14ac:dyDescent="0.25">
      <c r="A2012">
        <v>1461.3657780000001</v>
      </c>
      <c r="B2012" s="1">
        <f>DATE(2014,5,1) + TIME(8,46,43)</f>
        <v>41760.36577546296</v>
      </c>
      <c r="C2012">
        <v>80</v>
      </c>
      <c r="D2012">
        <v>71.595664978000002</v>
      </c>
      <c r="E2012">
        <v>60</v>
      </c>
      <c r="F2012">
        <v>59.916461945000002</v>
      </c>
      <c r="G2012">
        <v>1398.2147216999999</v>
      </c>
      <c r="H2012">
        <v>1379.3135986</v>
      </c>
      <c r="I2012">
        <v>1289.8186035000001</v>
      </c>
      <c r="J2012">
        <v>1271.1271973</v>
      </c>
      <c r="K2012">
        <v>2750</v>
      </c>
      <c r="L2012">
        <v>0</v>
      </c>
      <c r="M2012">
        <v>0</v>
      </c>
      <c r="N2012">
        <v>2750</v>
      </c>
    </row>
    <row r="2013" spans="1:14" x14ac:dyDescent="0.25">
      <c r="A2013">
        <v>1461.398745</v>
      </c>
      <c r="B2013" s="1">
        <f>DATE(2014,5,1) + TIME(9,34,11)</f>
        <v>41760.398738425924</v>
      </c>
      <c r="C2013">
        <v>80</v>
      </c>
      <c r="D2013">
        <v>72.026931762999993</v>
      </c>
      <c r="E2013">
        <v>60</v>
      </c>
      <c r="F2013">
        <v>59.912570952999999</v>
      </c>
      <c r="G2013">
        <v>1398.0338135</v>
      </c>
      <c r="H2013">
        <v>1379.2368164</v>
      </c>
      <c r="I2013">
        <v>1289.8194579999999</v>
      </c>
      <c r="J2013">
        <v>1271.1276855000001</v>
      </c>
      <c r="K2013">
        <v>2750</v>
      </c>
      <c r="L2013">
        <v>0</v>
      </c>
      <c r="M2013">
        <v>0</v>
      </c>
      <c r="N2013">
        <v>2750</v>
      </c>
    </row>
    <row r="2014" spans="1:14" x14ac:dyDescent="0.25">
      <c r="A2014">
        <v>1461.4327189999999</v>
      </c>
      <c r="B2014" s="1">
        <f>DATE(2014,5,1) + TIME(10,23,6)</f>
        <v>41760.432708333334</v>
      </c>
      <c r="C2014">
        <v>80</v>
      </c>
      <c r="D2014">
        <v>72.447921753000003</v>
      </c>
      <c r="E2014">
        <v>60</v>
      </c>
      <c r="F2014">
        <v>59.908603667999998</v>
      </c>
      <c r="G2014">
        <v>1397.8571777</v>
      </c>
      <c r="H2014">
        <v>1379.1607666</v>
      </c>
      <c r="I2014">
        <v>1289.8197021000001</v>
      </c>
      <c r="J2014">
        <v>1271.1276855000001</v>
      </c>
      <c r="K2014">
        <v>2750</v>
      </c>
      <c r="L2014">
        <v>0</v>
      </c>
      <c r="M2014">
        <v>0</v>
      </c>
      <c r="N2014">
        <v>2750</v>
      </c>
    </row>
    <row r="2015" spans="1:14" x14ac:dyDescent="0.25">
      <c r="A2015">
        <v>1461.467766</v>
      </c>
      <c r="B2015" s="1">
        <f>DATE(2014,5,1) + TIME(11,13,35)</f>
        <v>41760.467766203707</v>
      </c>
      <c r="C2015">
        <v>80</v>
      </c>
      <c r="D2015">
        <v>72.858581543</v>
      </c>
      <c r="E2015">
        <v>60</v>
      </c>
      <c r="F2015">
        <v>59.904556274000001</v>
      </c>
      <c r="G2015">
        <v>1397.6850586</v>
      </c>
      <c r="H2015">
        <v>1379.0859375</v>
      </c>
      <c r="I2015">
        <v>1289.8195800999999</v>
      </c>
      <c r="J2015">
        <v>1271.1273193</v>
      </c>
      <c r="K2015">
        <v>2750</v>
      </c>
      <c r="L2015">
        <v>0</v>
      </c>
      <c r="M2015">
        <v>0</v>
      </c>
      <c r="N2015">
        <v>2750</v>
      </c>
    </row>
    <row r="2016" spans="1:14" x14ac:dyDescent="0.25">
      <c r="A2016">
        <v>1461.503958</v>
      </c>
      <c r="B2016" s="1">
        <f>DATE(2014,5,1) + TIME(12,5,41)</f>
        <v>41760.503946759258</v>
      </c>
      <c r="C2016">
        <v>80</v>
      </c>
      <c r="D2016">
        <v>73.258872986</v>
      </c>
      <c r="E2016">
        <v>60</v>
      </c>
      <c r="F2016">
        <v>59.900421143000003</v>
      </c>
      <c r="G2016">
        <v>1397.5172118999999</v>
      </c>
      <c r="H2016">
        <v>1379.0120850000001</v>
      </c>
      <c r="I2016">
        <v>1289.8193358999999</v>
      </c>
      <c r="J2016">
        <v>1271.1267089999999</v>
      </c>
      <c r="K2016">
        <v>2750</v>
      </c>
      <c r="L2016">
        <v>0</v>
      </c>
      <c r="M2016">
        <v>0</v>
      </c>
      <c r="N2016">
        <v>2750</v>
      </c>
    </row>
    <row r="2017" spans="1:14" x14ac:dyDescent="0.25">
      <c r="A2017">
        <v>1461.5413799999999</v>
      </c>
      <c r="B2017" s="1">
        <f>DATE(2014,5,1) + TIME(12,59,35)</f>
        <v>41760.541377314818</v>
      </c>
      <c r="C2017">
        <v>80</v>
      </c>
      <c r="D2017">
        <v>73.648788452000005</v>
      </c>
      <c r="E2017">
        <v>60</v>
      </c>
      <c r="F2017">
        <v>59.896190642999997</v>
      </c>
      <c r="G2017">
        <v>1397.3536377</v>
      </c>
      <c r="H2017">
        <v>1378.9393310999999</v>
      </c>
      <c r="I2017">
        <v>1289.8188477000001</v>
      </c>
      <c r="J2017">
        <v>1271.1258545000001</v>
      </c>
      <c r="K2017">
        <v>2750</v>
      </c>
      <c r="L2017">
        <v>0</v>
      </c>
      <c r="M2017">
        <v>0</v>
      </c>
      <c r="N2017">
        <v>2750</v>
      </c>
    </row>
    <row r="2018" spans="1:14" x14ac:dyDescent="0.25">
      <c r="A2018">
        <v>1461.580125</v>
      </c>
      <c r="B2018" s="1">
        <f>DATE(2014,5,1) + TIME(13,55,22)</f>
        <v>41760.58011574074</v>
      </c>
      <c r="C2018">
        <v>80</v>
      </c>
      <c r="D2018">
        <v>74.028312682999996</v>
      </c>
      <c r="E2018">
        <v>60</v>
      </c>
      <c r="F2018">
        <v>59.891857147000003</v>
      </c>
      <c r="G2018">
        <v>1397.1939697</v>
      </c>
      <c r="H2018">
        <v>1378.8676757999999</v>
      </c>
      <c r="I2018">
        <v>1289.8183594</v>
      </c>
      <c r="J2018">
        <v>1271.125</v>
      </c>
      <c r="K2018">
        <v>2750</v>
      </c>
      <c r="L2018">
        <v>0</v>
      </c>
      <c r="M2018">
        <v>0</v>
      </c>
      <c r="N2018">
        <v>2750</v>
      </c>
    </row>
    <row r="2019" spans="1:14" x14ac:dyDescent="0.25">
      <c r="A2019">
        <v>1461.6202989999999</v>
      </c>
      <c r="B2019" s="1">
        <f>DATE(2014,5,1) + TIME(14,53,13)</f>
        <v>41760.620289351849</v>
      </c>
      <c r="C2019">
        <v>80</v>
      </c>
      <c r="D2019">
        <v>74.397438049000002</v>
      </c>
      <c r="E2019">
        <v>60</v>
      </c>
      <c r="F2019">
        <v>59.887413025000001</v>
      </c>
      <c r="G2019">
        <v>1397.0383300999999</v>
      </c>
      <c r="H2019">
        <v>1378.796875</v>
      </c>
      <c r="I2019">
        <v>1289.817749</v>
      </c>
      <c r="J2019">
        <v>1271.1240233999999</v>
      </c>
      <c r="K2019">
        <v>2750</v>
      </c>
      <c r="L2019">
        <v>0</v>
      </c>
      <c r="M2019">
        <v>0</v>
      </c>
      <c r="N2019">
        <v>2750</v>
      </c>
    </row>
    <row r="2020" spans="1:14" x14ac:dyDescent="0.25">
      <c r="A2020">
        <v>1461.6620190000001</v>
      </c>
      <c r="B2020" s="1">
        <f>DATE(2014,5,1) + TIME(15,53,18)</f>
        <v>41760.66201388889</v>
      </c>
      <c r="C2020">
        <v>80</v>
      </c>
      <c r="D2020">
        <v>74.756126404</v>
      </c>
      <c r="E2020">
        <v>60</v>
      </c>
      <c r="F2020">
        <v>59.882846831999998</v>
      </c>
      <c r="G2020">
        <v>1396.8862305</v>
      </c>
      <c r="H2020">
        <v>1378.7269286999999</v>
      </c>
      <c r="I2020">
        <v>1289.8170166</v>
      </c>
      <c r="J2020">
        <v>1271.1230469</v>
      </c>
      <c r="K2020">
        <v>2750</v>
      </c>
      <c r="L2020">
        <v>0</v>
      </c>
      <c r="M2020">
        <v>0</v>
      </c>
      <c r="N2020">
        <v>2750</v>
      </c>
    </row>
    <row r="2021" spans="1:14" x14ac:dyDescent="0.25">
      <c r="A2021">
        <v>1461.705416</v>
      </c>
      <c r="B2021" s="1">
        <f>DATE(2014,5,1) + TIME(16,55,47)</f>
        <v>41760.705405092594</v>
      </c>
      <c r="C2021">
        <v>80</v>
      </c>
      <c r="D2021">
        <v>75.104255675999994</v>
      </c>
      <c r="E2021">
        <v>60</v>
      </c>
      <c r="F2021">
        <v>59.878147124999998</v>
      </c>
      <c r="G2021">
        <v>1396.7375488</v>
      </c>
      <c r="H2021">
        <v>1378.6575928</v>
      </c>
      <c r="I2021">
        <v>1289.8162841999999</v>
      </c>
      <c r="J2021">
        <v>1271.1219481999999</v>
      </c>
      <c r="K2021">
        <v>2750</v>
      </c>
      <c r="L2021">
        <v>0</v>
      </c>
      <c r="M2021">
        <v>0</v>
      </c>
      <c r="N2021">
        <v>2750</v>
      </c>
    </row>
    <row r="2022" spans="1:14" x14ac:dyDescent="0.25">
      <c r="A2022">
        <v>1461.7506390000001</v>
      </c>
      <c r="B2022" s="1">
        <f>DATE(2014,5,1) + TIME(18,0,55)</f>
        <v>41760.750636574077</v>
      </c>
      <c r="C2022">
        <v>80</v>
      </c>
      <c r="D2022">
        <v>75.441680907999995</v>
      </c>
      <c r="E2022">
        <v>60</v>
      </c>
      <c r="F2022">
        <v>59.873306274000001</v>
      </c>
      <c r="G2022">
        <v>1396.5921631000001</v>
      </c>
      <c r="H2022">
        <v>1378.5889893000001</v>
      </c>
      <c r="I2022">
        <v>1289.8154297000001</v>
      </c>
      <c r="J2022">
        <v>1271.1207274999999</v>
      </c>
      <c r="K2022">
        <v>2750</v>
      </c>
      <c r="L2022">
        <v>0</v>
      </c>
      <c r="M2022">
        <v>0</v>
      </c>
      <c r="N2022">
        <v>2750</v>
      </c>
    </row>
    <row r="2023" spans="1:14" x14ac:dyDescent="0.25">
      <c r="A2023">
        <v>1461.7978539999999</v>
      </c>
      <c r="B2023" s="1">
        <f>DATE(2014,5,1) + TIME(19,8,54)</f>
        <v>41760.797847222224</v>
      </c>
      <c r="C2023">
        <v>80</v>
      </c>
      <c r="D2023">
        <v>75.768501282000003</v>
      </c>
      <c r="E2023">
        <v>60</v>
      </c>
      <c r="F2023">
        <v>59.868309021000002</v>
      </c>
      <c r="G2023">
        <v>1396.4498291</v>
      </c>
      <c r="H2023">
        <v>1378.5207519999999</v>
      </c>
      <c r="I2023">
        <v>1289.8145752</v>
      </c>
      <c r="J2023">
        <v>1271.1195068</v>
      </c>
      <c r="K2023">
        <v>2750</v>
      </c>
      <c r="L2023">
        <v>0</v>
      </c>
      <c r="M2023">
        <v>0</v>
      </c>
      <c r="N2023">
        <v>2750</v>
      </c>
    </row>
    <row r="2024" spans="1:14" x14ac:dyDescent="0.25">
      <c r="A2024">
        <v>1461.847266</v>
      </c>
      <c r="B2024" s="1">
        <f>DATE(2014,5,1) + TIME(20,20,3)</f>
        <v>41760.847256944442</v>
      </c>
      <c r="C2024">
        <v>80</v>
      </c>
      <c r="D2024">
        <v>76.084724425999994</v>
      </c>
      <c r="E2024">
        <v>60</v>
      </c>
      <c r="F2024">
        <v>59.863136292</v>
      </c>
      <c r="G2024">
        <v>1396.3103027</v>
      </c>
      <c r="H2024">
        <v>1378.4528809000001</v>
      </c>
      <c r="I2024">
        <v>1289.8137207</v>
      </c>
      <c r="J2024">
        <v>1271.1182861</v>
      </c>
      <c r="K2024">
        <v>2750</v>
      </c>
      <c r="L2024">
        <v>0</v>
      </c>
      <c r="M2024">
        <v>0</v>
      </c>
      <c r="N2024">
        <v>2750</v>
      </c>
    </row>
    <row r="2025" spans="1:14" x14ac:dyDescent="0.25">
      <c r="A2025">
        <v>1461.8991100000001</v>
      </c>
      <c r="B2025" s="1">
        <f>DATE(2014,5,1) + TIME(21,34,43)</f>
        <v>41760.899108796293</v>
      </c>
      <c r="C2025">
        <v>80</v>
      </c>
      <c r="D2025">
        <v>76.390327454000001</v>
      </c>
      <c r="E2025">
        <v>60</v>
      </c>
      <c r="F2025">
        <v>59.857772826999998</v>
      </c>
      <c r="G2025">
        <v>1396.1733397999999</v>
      </c>
      <c r="H2025">
        <v>1378.3851318</v>
      </c>
      <c r="I2025">
        <v>1289.8127440999999</v>
      </c>
      <c r="J2025">
        <v>1271.1168213000001</v>
      </c>
      <c r="K2025">
        <v>2750</v>
      </c>
      <c r="L2025">
        <v>0</v>
      </c>
      <c r="M2025">
        <v>0</v>
      </c>
      <c r="N2025">
        <v>2750</v>
      </c>
    </row>
    <row r="2026" spans="1:14" x14ac:dyDescent="0.25">
      <c r="A2026">
        <v>1461.9536149999999</v>
      </c>
      <c r="B2026" s="1">
        <f>DATE(2014,5,1) + TIME(22,53,12)</f>
        <v>41760.953611111108</v>
      </c>
      <c r="C2026">
        <v>80</v>
      </c>
      <c r="D2026">
        <v>76.685073853000006</v>
      </c>
      <c r="E2026">
        <v>60</v>
      </c>
      <c r="F2026">
        <v>59.852195739999999</v>
      </c>
      <c r="G2026">
        <v>1396.0388184000001</v>
      </c>
      <c r="H2026">
        <v>1378.3175048999999</v>
      </c>
      <c r="I2026">
        <v>1289.8116454999999</v>
      </c>
      <c r="J2026">
        <v>1271.1153564000001</v>
      </c>
      <c r="K2026">
        <v>2750</v>
      </c>
      <c r="L2026">
        <v>0</v>
      </c>
      <c r="M2026">
        <v>0</v>
      </c>
      <c r="N2026">
        <v>2750</v>
      </c>
    </row>
    <row r="2027" spans="1:14" x14ac:dyDescent="0.25">
      <c r="A2027">
        <v>1462.0110790000001</v>
      </c>
      <c r="B2027" s="1">
        <f>DATE(2014,5,2) + TIME(0,15,57)</f>
        <v>41761.011076388888</v>
      </c>
      <c r="C2027">
        <v>80</v>
      </c>
      <c r="D2027">
        <v>76.968849182</v>
      </c>
      <c r="E2027">
        <v>60</v>
      </c>
      <c r="F2027">
        <v>59.846385955999999</v>
      </c>
      <c r="G2027">
        <v>1395.9064940999999</v>
      </c>
      <c r="H2027">
        <v>1378.2498779</v>
      </c>
      <c r="I2027">
        <v>1289.8105469</v>
      </c>
      <c r="J2027">
        <v>1271.1138916</v>
      </c>
      <c r="K2027">
        <v>2750</v>
      </c>
      <c r="L2027">
        <v>0</v>
      </c>
      <c r="M2027">
        <v>0</v>
      </c>
      <c r="N2027">
        <v>2750</v>
      </c>
    </row>
    <row r="2028" spans="1:14" x14ac:dyDescent="0.25">
      <c r="A2028">
        <v>1462.0718440000001</v>
      </c>
      <c r="B2028" s="1">
        <f>DATE(2014,5,2) + TIME(1,43,27)</f>
        <v>41761.071840277778</v>
      </c>
      <c r="C2028">
        <v>80</v>
      </c>
      <c r="D2028">
        <v>77.241516113000003</v>
      </c>
      <c r="E2028">
        <v>60</v>
      </c>
      <c r="F2028">
        <v>59.840316772000001</v>
      </c>
      <c r="G2028">
        <v>1395.7762451000001</v>
      </c>
      <c r="H2028">
        <v>1378.1820068</v>
      </c>
      <c r="I2028">
        <v>1289.8093262</v>
      </c>
      <c r="J2028">
        <v>1271.1121826000001</v>
      </c>
      <c r="K2028">
        <v>2750</v>
      </c>
      <c r="L2028">
        <v>0</v>
      </c>
      <c r="M2028">
        <v>0</v>
      </c>
      <c r="N2028">
        <v>2750</v>
      </c>
    </row>
    <row r="2029" spans="1:14" x14ac:dyDescent="0.25">
      <c r="A2029">
        <v>1462.1363180000001</v>
      </c>
      <c r="B2029" s="1">
        <f>DATE(2014,5,2) + TIME(3,16,17)</f>
        <v>41761.136307870373</v>
      </c>
      <c r="C2029">
        <v>80</v>
      </c>
      <c r="D2029">
        <v>77.502944946</v>
      </c>
      <c r="E2029">
        <v>60</v>
      </c>
      <c r="F2029">
        <v>59.833953856999997</v>
      </c>
      <c r="G2029">
        <v>1395.6477050999999</v>
      </c>
      <c r="H2029">
        <v>1378.1136475000001</v>
      </c>
      <c r="I2029">
        <v>1289.8081055</v>
      </c>
      <c r="J2029">
        <v>1271.1104736</v>
      </c>
      <c r="K2029">
        <v>2750</v>
      </c>
      <c r="L2029">
        <v>0</v>
      </c>
      <c r="M2029">
        <v>0</v>
      </c>
      <c r="N2029">
        <v>2750</v>
      </c>
    </row>
    <row r="2030" spans="1:14" x14ac:dyDescent="0.25">
      <c r="A2030">
        <v>1462.2049689999999</v>
      </c>
      <c r="B2030" s="1">
        <f>DATE(2014,5,2) + TIME(4,55,9)</f>
        <v>41761.204965277779</v>
      </c>
      <c r="C2030">
        <v>80</v>
      </c>
      <c r="D2030">
        <v>77.752914429</v>
      </c>
      <c r="E2030">
        <v>60</v>
      </c>
      <c r="F2030">
        <v>59.827262877999999</v>
      </c>
      <c r="G2030">
        <v>1395.5206298999999</v>
      </c>
      <c r="H2030">
        <v>1378.0447998</v>
      </c>
      <c r="I2030">
        <v>1289.8067627</v>
      </c>
      <c r="J2030">
        <v>1271.1086425999999</v>
      </c>
      <c r="K2030">
        <v>2750</v>
      </c>
      <c r="L2030">
        <v>0</v>
      </c>
      <c r="M2030">
        <v>0</v>
      </c>
      <c r="N2030">
        <v>2750</v>
      </c>
    </row>
    <row r="2031" spans="1:14" x14ac:dyDescent="0.25">
      <c r="A2031">
        <v>1462.2783939999999</v>
      </c>
      <c r="B2031" s="1">
        <f>DATE(2014,5,2) + TIME(6,40,53)</f>
        <v>41761.278391203705</v>
      </c>
      <c r="C2031">
        <v>80</v>
      </c>
      <c r="D2031">
        <v>77.991302489999995</v>
      </c>
      <c r="E2031">
        <v>60</v>
      </c>
      <c r="F2031">
        <v>59.820198058999999</v>
      </c>
      <c r="G2031">
        <v>1395.3947754000001</v>
      </c>
      <c r="H2031">
        <v>1377.9752197</v>
      </c>
      <c r="I2031">
        <v>1289.8052978999999</v>
      </c>
      <c r="J2031">
        <v>1271.1065673999999</v>
      </c>
      <c r="K2031">
        <v>2750</v>
      </c>
      <c r="L2031">
        <v>0</v>
      </c>
      <c r="M2031">
        <v>0</v>
      </c>
      <c r="N2031">
        <v>2750</v>
      </c>
    </row>
    <row r="2032" spans="1:14" x14ac:dyDescent="0.25">
      <c r="A2032">
        <v>1462.357301</v>
      </c>
      <c r="B2032" s="1">
        <f>DATE(2014,5,2) + TIME(8,34,30)</f>
        <v>41761.357291666667</v>
      </c>
      <c r="C2032">
        <v>80</v>
      </c>
      <c r="D2032">
        <v>78.217910767000006</v>
      </c>
      <c r="E2032">
        <v>60</v>
      </c>
      <c r="F2032">
        <v>59.812705993999998</v>
      </c>
      <c r="G2032">
        <v>1395.2700195</v>
      </c>
      <c r="H2032">
        <v>1377.9045410000001</v>
      </c>
      <c r="I2032">
        <v>1289.8037108999999</v>
      </c>
      <c r="J2032">
        <v>1271.1044922000001</v>
      </c>
      <c r="K2032">
        <v>2750</v>
      </c>
      <c r="L2032">
        <v>0</v>
      </c>
      <c r="M2032">
        <v>0</v>
      </c>
      <c r="N2032">
        <v>2750</v>
      </c>
    </row>
    <row r="2033" spans="1:14" x14ac:dyDescent="0.25">
      <c r="A2033">
        <v>1462.4425659999999</v>
      </c>
      <c r="B2033" s="1">
        <f>DATE(2014,5,2) + TIME(10,37,17)</f>
        <v>41761.442557870374</v>
      </c>
      <c r="C2033">
        <v>80</v>
      </c>
      <c r="D2033">
        <v>78.432502747000001</v>
      </c>
      <c r="E2033">
        <v>60</v>
      </c>
      <c r="F2033">
        <v>59.804721831999998</v>
      </c>
      <c r="G2033">
        <v>1395.1457519999999</v>
      </c>
      <c r="H2033">
        <v>1377.8325195</v>
      </c>
      <c r="I2033">
        <v>1289.8020019999999</v>
      </c>
      <c r="J2033">
        <v>1271.1021728999999</v>
      </c>
      <c r="K2033">
        <v>2750</v>
      </c>
      <c r="L2033">
        <v>0</v>
      </c>
      <c r="M2033">
        <v>0</v>
      </c>
      <c r="N2033">
        <v>2750</v>
      </c>
    </row>
    <row r="2034" spans="1:14" x14ac:dyDescent="0.25">
      <c r="A2034">
        <v>1462.535284</v>
      </c>
      <c r="B2034" s="1">
        <f>DATE(2014,5,2) + TIME(12,50,48)</f>
        <v>41761.535277777781</v>
      </c>
      <c r="C2034">
        <v>80</v>
      </c>
      <c r="D2034">
        <v>78.634834290000001</v>
      </c>
      <c r="E2034">
        <v>60</v>
      </c>
      <c r="F2034">
        <v>59.796161652000002</v>
      </c>
      <c r="G2034">
        <v>1395.0217285000001</v>
      </c>
      <c r="H2034">
        <v>1377.7590332</v>
      </c>
      <c r="I2034">
        <v>1289.8001709</v>
      </c>
      <c r="J2034">
        <v>1271.0997314000001</v>
      </c>
      <c r="K2034">
        <v>2750</v>
      </c>
      <c r="L2034">
        <v>0</v>
      </c>
      <c r="M2034">
        <v>0</v>
      </c>
      <c r="N2034">
        <v>2750</v>
      </c>
    </row>
    <row r="2035" spans="1:14" x14ac:dyDescent="0.25">
      <c r="A2035">
        <v>1462.6369030000001</v>
      </c>
      <c r="B2035" s="1">
        <f>DATE(2014,5,2) + TIME(15,17,8)</f>
        <v>41761.63689814815</v>
      </c>
      <c r="C2035">
        <v>80</v>
      </c>
      <c r="D2035">
        <v>78.824699401999993</v>
      </c>
      <c r="E2035">
        <v>60</v>
      </c>
      <c r="F2035">
        <v>59.786926270000002</v>
      </c>
      <c r="G2035">
        <v>1394.8973389</v>
      </c>
      <c r="H2035">
        <v>1377.6834716999999</v>
      </c>
      <c r="I2035">
        <v>1289.7982178</v>
      </c>
      <c r="J2035">
        <v>1271.0970459</v>
      </c>
      <c r="K2035">
        <v>2750</v>
      </c>
      <c r="L2035">
        <v>0</v>
      </c>
      <c r="M2035">
        <v>0</v>
      </c>
      <c r="N2035">
        <v>2750</v>
      </c>
    </row>
    <row r="2036" spans="1:14" x14ac:dyDescent="0.25">
      <c r="A2036">
        <v>1462.738756</v>
      </c>
      <c r="B2036" s="1">
        <f>DATE(2014,5,2) + TIME(17,43,48)</f>
        <v>41761.738749999997</v>
      </c>
      <c r="C2036">
        <v>80</v>
      </c>
      <c r="D2036">
        <v>78.987602233999993</v>
      </c>
      <c r="E2036">
        <v>60</v>
      </c>
      <c r="F2036">
        <v>59.777702331999997</v>
      </c>
      <c r="G2036">
        <v>1394.7808838000001</v>
      </c>
      <c r="H2036">
        <v>1377.6098632999999</v>
      </c>
      <c r="I2036">
        <v>1289.7958983999999</v>
      </c>
      <c r="J2036">
        <v>1271.0942382999999</v>
      </c>
      <c r="K2036">
        <v>2750</v>
      </c>
      <c r="L2036">
        <v>0</v>
      </c>
      <c r="M2036">
        <v>0</v>
      </c>
      <c r="N2036">
        <v>2750</v>
      </c>
    </row>
    <row r="2037" spans="1:14" x14ac:dyDescent="0.25">
      <c r="A2037">
        <v>1462.841038</v>
      </c>
      <c r="B2037" s="1">
        <f>DATE(2014,5,2) + TIME(20,11,5)</f>
        <v>41761.84103009259</v>
      </c>
      <c r="C2037">
        <v>80</v>
      </c>
      <c r="D2037">
        <v>79.127563476999995</v>
      </c>
      <c r="E2037">
        <v>60</v>
      </c>
      <c r="F2037">
        <v>59.768474578999999</v>
      </c>
      <c r="G2037">
        <v>1394.6724853999999</v>
      </c>
      <c r="H2037">
        <v>1377.5396728999999</v>
      </c>
      <c r="I2037">
        <v>1289.7937012</v>
      </c>
      <c r="J2037">
        <v>1271.0913086</v>
      </c>
      <c r="K2037">
        <v>2750</v>
      </c>
      <c r="L2037">
        <v>0</v>
      </c>
      <c r="M2037">
        <v>0</v>
      </c>
      <c r="N2037">
        <v>2750</v>
      </c>
    </row>
    <row r="2038" spans="1:14" x14ac:dyDescent="0.25">
      <c r="A2038">
        <v>1462.944066</v>
      </c>
      <c r="B2038" s="1">
        <f>DATE(2014,5,2) + TIME(22,39,27)</f>
        <v>41761.944062499999</v>
      </c>
      <c r="C2038">
        <v>80</v>
      </c>
      <c r="D2038">
        <v>79.248069763000004</v>
      </c>
      <c r="E2038">
        <v>60</v>
      </c>
      <c r="F2038">
        <v>59.759223937999998</v>
      </c>
      <c r="G2038">
        <v>1394.5708007999999</v>
      </c>
      <c r="H2038">
        <v>1377.4725341999999</v>
      </c>
      <c r="I2038">
        <v>1289.7913818</v>
      </c>
      <c r="J2038">
        <v>1271.0883789</v>
      </c>
      <c r="K2038">
        <v>2750</v>
      </c>
      <c r="L2038">
        <v>0</v>
      </c>
      <c r="M2038">
        <v>0</v>
      </c>
      <c r="N2038">
        <v>2750</v>
      </c>
    </row>
    <row r="2039" spans="1:14" x14ac:dyDescent="0.25">
      <c r="A2039">
        <v>1463.048131</v>
      </c>
      <c r="B2039" s="1">
        <f>DATE(2014,5,3) + TIME(1,9,18)</f>
        <v>41762.048125000001</v>
      </c>
      <c r="C2039">
        <v>80</v>
      </c>
      <c r="D2039">
        <v>79.351982117000006</v>
      </c>
      <c r="E2039">
        <v>60</v>
      </c>
      <c r="F2039">
        <v>59.749919890999998</v>
      </c>
      <c r="G2039">
        <v>1394.4749756000001</v>
      </c>
      <c r="H2039">
        <v>1377.4080810999999</v>
      </c>
      <c r="I2039">
        <v>1289.7890625</v>
      </c>
      <c r="J2039">
        <v>1271.0854492000001</v>
      </c>
      <c r="K2039">
        <v>2750</v>
      </c>
      <c r="L2039">
        <v>0</v>
      </c>
      <c r="M2039">
        <v>0</v>
      </c>
      <c r="N2039">
        <v>2750</v>
      </c>
    </row>
    <row r="2040" spans="1:14" x14ac:dyDescent="0.25">
      <c r="A2040">
        <v>1463.153546</v>
      </c>
      <c r="B2040" s="1">
        <f>DATE(2014,5,3) + TIME(3,41,6)</f>
        <v>41762.153541666667</v>
      </c>
      <c r="C2040">
        <v>80</v>
      </c>
      <c r="D2040">
        <v>79.441680907999995</v>
      </c>
      <c r="E2040">
        <v>60</v>
      </c>
      <c r="F2040">
        <v>59.740543365000001</v>
      </c>
      <c r="G2040">
        <v>1394.3842772999999</v>
      </c>
      <c r="H2040">
        <v>1377.3458252</v>
      </c>
      <c r="I2040">
        <v>1289.7867432</v>
      </c>
      <c r="J2040">
        <v>1271.0823975000001</v>
      </c>
      <c r="K2040">
        <v>2750</v>
      </c>
      <c r="L2040">
        <v>0</v>
      </c>
      <c r="M2040">
        <v>0</v>
      </c>
      <c r="N2040">
        <v>2750</v>
      </c>
    </row>
    <row r="2041" spans="1:14" x14ac:dyDescent="0.25">
      <c r="A2041">
        <v>1463.2605779999999</v>
      </c>
      <c r="B2041" s="1">
        <f>DATE(2014,5,3) + TIME(6,15,13)</f>
        <v>41762.260567129626</v>
      </c>
      <c r="C2041">
        <v>80</v>
      </c>
      <c r="D2041">
        <v>79.519126892000003</v>
      </c>
      <c r="E2041">
        <v>60</v>
      </c>
      <c r="F2041">
        <v>59.731075287000003</v>
      </c>
      <c r="G2041">
        <v>1394.2978516000001</v>
      </c>
      <c r="H2041">
        <v>1377.2855225000001</v>
      </c>
      <c r="I2041">
        <v>1289.7843018000001</v>
      </c>
      <c r="J2041">
        <v>1271.0793457</v>
      </c>
      <c r="K2041">
        <v>2750</v>
      </c>
      <c r="L2041">
        <v>0</v>
      </c>
      <c r="M2041">
        <v>0</v>
      </c>
      <c r="N2041">
        <v>2750</v>
      </c>
    </row>
    <row r="2042" spans="1:14" x14ac:dyDescent="0.25">
      <c r="A2042">
        <v>1463.3694909999999</v>
      </c>
      <c r="B2042" s="1">
        <f>DATE(2014,5,3) + TIME(8,52,3)</f>
        <v>41762.369479166664</v>
      </c>
      <c r="C2042">
        <v>80</v>
      </c>
      <c r="D2042">
        <v>79.585983275999993</v>
      </c>
      <c r="E2042">
        <v>60</v>
      </c>
      <c r="F2042">
        <v>59.721488952999998</v>
      </c>
      <c r="G2042">
        <v>1394.2152100000001</v>
      </c>
      <c r="H2042">
        <v>1377.2270507999999</v>
      </c>
      <c r="I2042">
        <v>1289.7818603999999</v>
      </c>
      <c r="J2042">
        <v>1271.0762939000001</v>
      </c>
      <c r="K2042">
        <v>2750</v>
      </c>
      <c r="L2042">
        <v>0</v>
      </c>
      <c r="M2042">
        <v>0</v>
      </c>
      <c r="N2042">
        <v>2750</v>
      </c>
    </row>
    <row r="2043" spans="1:14" x14ac:dyDescent="0.25">
      <c r="A2043">
        <v>1463.4805719999999</v>
      </c>
      <c r="B2043" s="1">
        <f>DATE(2014,5,3) + TIME(11,32,1)</f>
        <v>41762.480567129627</v>
      </c>
      <c r="C2043">
        <v>80</v>
      </c>
      <c r="D2043">
        <v>79.643669127999999</v>
      </c>
      <c r="E2043">
        <v>60</v>
      </c>
      <c r="F2043">
        <v>59.711761475000003</v>
      </c>
      <c r="G2043">
        <v>1394.1358643000001</v>
      </c>
      <c r="H2043">
        <v>1377.1699219</v>
      </c>
      <c r="I2043">
        <v>1289.7794189000001</v>
      </c>
      <c r="J2043">
        <v>1271.0731201000001</v>
      </c>
      <c r="K2043">
        <v>2750</v>
      </c>
      <c r="L2043">
        <v>0</v>
      </c>
      <c r="M2043">
        <v>0</v>
      </c>
      <c r="N2043">
        <v>2750</v>
      </c>
    </row>
    <row r="2044" spans="1:14" x14ac:dyDescent="0.25">
      <c r="A2044">
        <v>1463.594122</v>
      </c>
      <c r="B2044" s="1">
        <f>DATE(2014,5,3) + TIME(14,15,32)</f>
        <v>41762.59412037037</v>
      </c>
      <c r="C2044">
        <v>80</v>
      </c>
      <c r="D2044">
        <v>79.693405150999993</v>
      </c>
      <c r="E2044">
        <v>60</v>
      </c>
      <c r="F2044">
        <v>59.701877594000003</v>
      </c>
      <c r="G2044">
        <v>1394.0593262</v>
      </c>
      <c r="H2044">
        <v>1377.1142577999999</v>
      </c>
      <c r="I2044">
        <v>1289.7768555</v>
      </c>
      <c r="J2044">
        <v>1271.0699463000001</v>
      </c>
      <c r="K2044">
        <v>2750</v>
      </c>
      <c r="L2044">
        <v>0</v>
      </c>
      <c r="M2044">
        <v>0</v>
      </c>
      <c r="N2044">
        <v>2750</v>
      </c>
    </row>
    <row r="2045" spans="1:14" x14ac:dyDescent="0.25">
      <c r="A2045">
        <v>1463.710458</v>
      </c>
      <c r="B2045" s="1">
        <f>DATE(2014,5,3) + TIME(17,3,3)</f>
        <v>41762.710451388892</v>
      </c>
      <c r="C2045">
        <v>80</v>
      </c>
      <c r="D2045">
        <v>79.736213684000006</v>
      </c>
      <c r="E2045">
        <v>60</v>
      </c>
      <c r="F2045">
        <v>59.691806792999998</v>
      </c>
      <c r="G2045">
        <v>1393.9852295000001</v>
      </c>
      <c r="H2045">
        <v>1377.0595702999999</v>
      </c>
      <c r="I2045">
        <v>1289.7742920000001</v>
      </c>
      <c r="J2045">
        <v>1271.0666504000001</v>
      </c>
      <c r="K2045">
        <v>2750</v>
      </c>
      <c r="L2045">
        <v>0</v>
      </c>
      <c r="M2045">
        <v>0</v>
      </c>
      <c r="N2045">
        <v>2750</v>
      </c>
    </row>
    <row r="2046" spans="1:14" x14ac:dyDescent="0.25">
      <c r="A2046">
        <v>1463.8299199999999</v>
      </c>
      <c r="B2046" s="1">
        <f>DATE(2014,5,3) + TIME(19,55,5)</f>
        <v>41762.829918981479</v>
      </c>
      <c r="C2046">
        <v>80</v>
      </c>
      <c r="D2046">
        <v>79.773017882999994</v>
      </c>
      <c r="E2046">
        <v>60</v>
      </c>
      <c r="F2046">
        <v>59.681526183999999</v>
      </c>
      <c r="G2046">
        <v>1393.9130858999999</v>
      </c>
      <c r="H2046">
        <v>1377.0057373</v>
      </c>
      <c r="I2046">
        <v>1289.7716064000001</v>
      </c>
      <c r="J2046">
        <v>1271.0632324000001</v>
      </c>
      <c r="K2046">
        <v>2750</v>
      </c>
      <c r="L2046">
        <v>0</v>
      </c>
      <c r="M2046">
        <v>0</v>
      </c>
      <c r="N2046">
        <v>2750</v>
      </c>
    </row>
    <row r="2047" spans="1:14" x14ac:dyDescent="0.25">
      <c r="A2047">
        <v>1463.9528760000001</v>
      </c>
      <c r="B2047" s="1">
        <f>DATE(2014,5,3) + TIME(22,52,8)</f>
        <v>41762.952870370369</v>
      </c>
      <c r="C2047">
        <v>80</v>
      </c>
      <c r="D2047">
        <v>79.804580688000001</v>
      </c>
      <c r="E2047">
        <v>60</v>
      </c>
      <c r="F2047">
        <v>59.671009064000003</v>
      </c>
      <c r="G2047">
        <v>1393.8428954999999</v>
      </c>
      <c r="H2047">
        <v>1376.9527588000001</v>
      </c>
      <c r="I2047">
        <v>1289.7689209</v>
      </c>
      <c r="J2047">
        <v>1271.0598144999999</v>
      </c>
      <c r="K2047">
        <v>2750</v>
      </c>
      <c r="L2047">
        <v>0</v>
      </c>
      <c r="M2047">
        <v>0</v>
      </c>
      <c r="N2047">
        <v>2750</v>
      </c>
    </row>
    <row r="2048" spans="1:14" x14ac:dyDescent="0.25">
      <c r="A2048">
        <v>1464.0797299999999</v>
      </c>
      <c r="B2048" s="1">
        <f>DATE(2014,5,4) + TIME(1,54,48)</f>
        <v>41763.079722222225</v>
      </c>
      <c r="C2048">
        <v>80</v>
      </c>
      <c r="D2048">
        <v>79.831588745000005</v>
      </c>
      <c r="E2048">
        <v>60</v>
      </c>
      <c r="F2048">
        <v>59.660224915000001</v>
      </c>
      <c r="G2048">
        <v>1393.7740478999999</v>
      </c>
      <c r="H2048">
        <v>1376.9002685999999</v>
      </c>
      <c r="I2048">
        <v>1289.7661132999999</v>
      </c>
      <c r="J2048">
        <v>1271.0561522999999</v>
      </c>
      <c r="K2048">
        <v>2750</v>
      </c>
      <c r="L2048">
        <v>0</v>
      </c>
      <c r="M2048">
        <v>0</v>
      </c>
      <c r="N2048">
        <v>2750</v>
      </c>
    </row>
    <row r="2049" spans="1:14" x14ac:dyDescent="0.25">
      <c r="A2049">
        <v>1464.2109270000001</v>
      </c>
      <c r="B2049" s="1">
        <f>DATE(2014,5,4) + TIME(5,3,44)</f>
        <v>41763.210925925923</v>
      </c>
      <c r="C2049">
        <v>80</v>
      </c>
      <c r="D2049">
        <v>79.854629517000006</v>
      </c>
      <c r="E2049">
        <v>60</v>
      </c>
      <c r="F2049">
        <v>59.649139404000003</v>
      </c>
      <c r="G2049">
        <v>1393.7062988</v>
      </c>
      <c r="H2049">
        <v>1376.8483887</v>
      </c>
      <c r="I2049">
        <v>1289.7631836</v>
      </c>
      <c r="J2049">
        <v>1271.0524902</v>
      </c>
      <c r="K2049">
        <v>2750</v>
      </c>
      <c r="L2049">
        <v>0</v>
      </c>
      <c r="M2049">
        <v>0</v>
      </c>
      <c r="N2049">
        <v>2750</v>
      </c>
    </row>
    <row r="2050" spans="1:14" x14ac:dyDescent="0.25">
      <c r="A2050">
        <v>1464.347004</v>
      </c>
      <c r="B2050" s="1">
        <f>DATE(2014,5,4) + TIME(8,19,41)</f>
        <v>41763.347002314818</v>
      </c>
      <c r="C2050">
        <v>80</v>
      </c>
      <c r="D2050">
        <v>79.874229431000003</v>
      </c>
      <c r="E2050">
        <v>60</v>
      </c>
      <c r="F2050">
        <v>59.637718200999998</v>
      </c>
      <c r="G2050">
        <v>1393.6395264</v>
      </c>
      <c r="H2050">
        <v>1376.7966309000001</v>
      </c>
      <c r="I2050">
        <v>1289.7601318</v>
      </c>
      <c r="J2050">
        <v>1271.0487060999999</v>
      </c>
      <c r="K2050">
        <v>2750</v>
      </c>
      <c r="L2050">
        <v>0</v>
      </c>
      <c r="M2050">
        <v>0</v>
      </c>
      <c r="N2050">
        <v>2750</v>
      </c>
    </row>
    <row r="2051" spans="1:14" x14ac:dyDescent="0.25">
      <c r="A2051">
        <v>1464.488548</v>
      </c>
      <c r="B2051" s="1">
        <f>DATE(2014,5,4) + TIME(11,43,30)</f>
        <v>41763.488541666666</v>
      </c>
      <c r="C2051">
        <v>80</v>
      </c>
      <c r="D2051">
        <v>79.890838622999993</v>
      </c>
      <c r="E2051">
        <v>60</v>
      </c>
      <c r="F2051">
        <v>59.625919342000003</v>
      </c>
      <c r="G2051">
        <v>1393.5733643000001</v>
      </c>
      <c r="H2051">
        <v>1376.7451172000001</v>
      </c>
      <c r="I2051">
        <v>1289.7570800999999</v>
      </c>
      <c r="J2051">
        <v>1271.0446777</v>
      </c>
      <c r="K2051">
        <v>2750</v>
      </c>
      <c r="L2051">
        <v>0</v>
      </c>
      <c r="M2051">
        <v>0</v>
      </c>
      <c r="N2051">
        <v>2750</v>
      </c>
    </row>
    <row r="2052" spans="1:14" x14ac:dyDescent="0.25">
      <c r="A2052">
        <v>1464.6361460000001</v>
      </c>
      <c r="B2052" s="1">
        <f>DATE(2014,5,4) + TIME(15,16,3)</f>
        <v>41763.636145833334</v>
      </c>
      <c r="C2052">
        <v>80</v>
      </c>
      <c r="D2052">
        <v>79.904853821000003</v>
      </c>
      <c r="E2052">
        <v>60</v>
      </c>
      <c r="F2052">
        <v>59.613697051999999</v>
      </c>
      <c r="G2052">
        <v>1393.5075684000001</v>
      </c>
      <c r="H2052">
        <v>1376.6934814000001</v>
      </c>
      <c r="I2052">
        <v>1289.7537841999999</v>
      </c>
      <c r="J2052">
        <v>1271.0405272999999</v>
      </c>
      <c r="K2052">
        <v>2750</v>
      </c>
      <c r="L2052">
        <v>0</v>
      </c>
      <c r="M2052">
        <v>0</v>
      </c>
      <c r="N2052">
        <v>2750</v>
      </c>
    </row>
    <row r="2053" spans="1:14" x14ac:dyDescent="0.25">
      <c r="A2053">
        <v>1464.7901770000001</v>
      </c>
      <c r="B2053" s="1">
        <f>DATE(2014,5,4) + TIME(18,57,51)</f>
        <v>41763.790173611109</v>
      </c>
      <c r="C2053">
        <v>80</v>
      </c>
      <c r="D2053">
        <v>79.916595459000007</v>
      </c>
      <c r="E2053">
        <v>60</v>
      </c>
      <c r="F2053">
        <v>59.601028442</v>
      </c>
      <c r="G2053">
        <v>1393.4418945</v>
      </c>
      <c r="H2053">
        <v>1376.6418457</v>
      </c>
      <c r="I2053">
        <v>1289.7503661999999</v>
      </c>
      <c r="J2053">
        <v>1271.0362548999999</v>
      </c>
      <c r="K2053">
        <v>2750</v>
      </c>
      <c r="L2053">
        <v>0</v>
      </c>
      <c r="M2053">
        <v>0</v>
      </c>
      <c r="N2053">
        <v>2750</v>
      </c>
    </row>
    <row r="2054" spans="1:14" x14ac:dyDescent="0.25">
      <c r="A2054">
        <v>1464.9495770000001</v>
      </c>
      <c r="B2054" s="1">
        <f>DATE(2014,5,4) + TIME(22,47,23)</f>
        <v>41763.949571759258</v>
      </c>
      <c r="C2054">
        <v>80</v>
      </c>
      <c r="D2054">
        <v>79.926292419000006</v>
      </c>
      <c r="E2054">
        <v>60</v>
      </c>
      <c r="F2054">
        <v>59.587982177999997</v>
      </c>
      <c r="G2054">
        <v>1393.3763428</v>
      </c>
      <c r="H2054">
        <v>1376.5899658000001</v>
      </c>
      <c r="I2054">
        <v>1289.7468262</v>
      </c>
      <c r="J2054">
        <v>1271.0317382999999</v>
      </c>
      <c r="K2054">
        <v>2750</v>
      </c>
      <c r="L2054">
        <v>0</v>
      </c>
      <c r="M2054">
        <v>0</v>
      </c>
      <c r="N2054">
        <v>2750</v>
      </c>
    </row>
    <row r="2055" spans="1:14" x14ac:dyDescent="0.25">
      <c r="A2055">
        <v>1465.114986</v>
      </c>
      <c r="B2055" s="1">
        <f>DATE(2014,5,5) + TIME(2,45,34)</f>
        <v>41764.114976851852</v>
      </c>
      <c r="C2055">
        <v>80</v>
      </c>
      <c r="D2055">
        <v>79.934280396000005</v>
      </c>
      <c r="E2055">
        <v>60</v>
      </c>
      <c r="F2055">
        <v>59.574516295999999</v>
      </c>
      <c r="G2055">
        <v>1393.3112793</v>
      </c>
      <c r="H2055">
        <v>1376.5382079999999</v>
      </c>
      <c r="I2055">
        <v>1289.7430420000001</v>
      </c>
      <c r="J2055">
        <v>1271.0269774999999</v>
      </c>
      <c r="K2055">
        <v>2750</v>
      </c>
      <c r="L2055">
        <v>0</v>
      </c>
      <c r="M2055">
        <v>0</v>
      </c>
      <c r="N2055">
        <v>2750</v>
      </c>
    </row>
    <row r="2056" spans="1:14" x14ac:dyDescent="0.25">
      <c r="A2056">
        <v>1465.287141</v>
      </c>
      <c r="B2056" s="1">
        <f>DATE(2014,5,5) + TIME(6,53,28)</f>
        <v>41764.287129629629</v>
      </c>
      <c r="C2056">
        <v>80</v>
      </c>
      <c r="D2056">
        <v>79.940834045000003</v>
      </c>
      <c r="E2056">
        <v>60</v>
      </c>
      <c r="F2056">
        <v>59.560585021999998</v>
      </c>
      <c r="G2056">
        <v>1393.2464600000001</v>
      </c>
      <c r="H2056">
        <v>1376.4865723</v>
      </c>
      <c r="I2056">
        <v>1289.7392577999999</v>
      </c>
      <c r="J2056">
        <v>1271.0220947</v>
      </c>
      <c r="K2056">
        <v>2750</v>
      </c>
      <c r="L2056">
        <v>0</v>
      </c>
      <c r="M2056">
        <v>0</v>
      </c>
      <c r="N2056">
        <v>2750</v>
      </c>
    </row>
    <row r="2057" spans="1:14" x14ac:dyDescent="0.25">
      <c r="A2057">
        <v>1465.4667119999999</v>
      </c>
      <c r="B2057" s="1">
        <f>DATE(2014,5,5) + TIME(11,12,3)</f>
        <v>41764.46670138889</v>
      </c>
      <c r="C2057">
        <v>80</v>
      </c>
      <c r="D2057">
        <v>79.946182250999996</v>
      </c>
      <c r="E2057">
        <v>60</v>
      </c>
      <c r="F2057">
        <v>59.546138763000002</v>
      </c>
      <c r="G2057">
        <v>1393.1815185999999</v>
      </c>
      <c r="H2057">
        <v>1376.4348144999999</v>
      </c>
      <c r="I2057">
        <v>1289.7352295000001</v>
      </c>
      <c r="J2057">
        <v>1271.0170897999999</v>
      </c>
      <c r="K2057">
        <v>2750</v>
      </c>
      <c r="L2057">
        <v>0</v>
      </c>
      <c r="M2057">
        <v>0</v>
      </c>
      <c r="N2057">
        <v>2750</v>
      </c>
    </row>
    <row r="2058" spans="1:14" x14ac:dyDescent="0.25">
      <c r="A2058">
        <v>1465.6545209999999</v>
      </c>
      <c r="B2058" s="1">
        <f>DATE(2014,5,5) + TIME(15,42,30)</f>
        <v>41764.654513888891</v>
      </c>
      <c r="C2058">
        <v>80</v>
      </c>
      <c r="D2058">
        <v>79.950523376000007</v>
      </c>
      <c r="E2058">
        <v>60</v>
      </c>
      <c r="F2058">
        <v>59.531127929999997</v>
      </c>
      <c r="G2058">
        <v>1393.1164550999999</v>
      </c>
      <c r="H2058">
        <v>1376.3828125</v>
      </c>
      <c r="I2058">
        <v>1289.730957</v>
      </c>
      <c r="J2058">
        <v>1271.0118408000001</v>
      </c>
      <c r="K2058">
        <v>2750</v>
      </c>
      <c r="L2058">
        <v>0</v>
      </c>
      <c r="M2058">
        <v>0</v>
      </c>
      <c r="N2058">
        <v>2750</v>
      </c>
    </row>
    <row r="2059" spans="1:14" x14ac:dyDescent="0.25">
      <c r="A2059">
        <v>1465.8515400000001</v>
      </c>
      <c r="B2059" s="1">
        <f>DATE(2014,5,5) + TIME(20,26,13)</f>
        <v>41764.851539351854</v>
      </c>
      <c r="C2059">
        <v>80</v>
      </c>
      <c r="D2059">
        <v>79.954025268999999</v>
      </c>
      <c r="E2059">
        <v>60</v>
      </c>
      <c r="F2059">
        <v>59.515487671000002</v>
      </c>
      <c r="G2059">
        <v>1393.0509033000001</v>
      </c>
      <c r="H2059">
        <v>1376.3303223</v>
      </c>
      <c r="I2059">
        <v>1289.7265625</v>
      </c>
      <c r="J2059">
        <v>1271.0062256000001</v>
      </c>
      <c r="K2059">
        <v>2750</v>
      </c>
      <c r="L2059">
        <v>0</v>
      </c>
      <c r="M2059">
        <v>0</v>
      </c>
      <c r="N2059">
        <v>2750</v>
      </c>
    </row>
    <row r="2060" spans="1:14" x14ac:dyDescent="0.25">
      <c r="A2060">
        <v>1466.058896</v>
      </c>
      <c r="B2060" s="1">
        <f>DATE(2014,5,6) + TIME(1,24,48)</f>
        <v>41765.058888888889</v>
      </c>
      <c r="C2060">
        <v>80</v>
      </c>
      <c r="D2060">
        <v>79.956848144999995</v>
      </c>
      <c r="E2060">
        <v>60</v>
      </c>
      <c r="F2060">
        <v>59.499145507999998</v>
      </c>
      <c r="G2060">
        <v>1392.9847411999999</v>
      </c>
      <c r="H2060">
        <v>1376.2772216999999</v>
      </c>
      <c r="I2060">
        <v>1289.7220459</v>
      </c>
      <c r="J2060">
        <v>1271.0004882999999</v>
      </c>
      <c r="K2060">
        <v>2750</v>
      </c>
      <c r="L2060">
        <v>0</v>
      </c>
      <c r="M2060">
        <v>0</v>
      </c>
      <c r="N2060">
        <v>2750</v>
      </c>
    </row>
    <row r="2061" spans="1:14" x14ac:dyDescent="0.25">
      <c r="A2061">
        <v>1466.269462</v>
      </c>
      <c r="B2061" s="1">
        <f>DATE(2014,5,6) + TIME(6,28,1)</f>
        <v>41765.269456018519</v>
      </c>
      <c r="C2061">
        <v>80</v>
      </c>
      <c r="D2061">
        <v>79.959030150999993</v>
      </c>
      <c r="E2061">
        <v>60</v>
      </c>
      <c r="F2061">
        <v>59.482528686999999</v>
      </c>
      <c r="G2061">
        <v>1392.9177245999999</v>
      </c>
      <c r="H2061">
        <v>1376.2235106999999</v>
      </c>
      <c r="I2061">
        <v>1289.7170410000001</v>
      </c>
      <c r="J2061">
        <v>1270.9943848</v>
      </c>
      <c r="K2061">
        <v>2750</v>
      </c>
      <c r="L2061">
        <v>0</v>
      </c>
      <c r="M2061">
        <v>0</v>
      </c>
      <c r="N2061">
        <v>2750</v>
      </c>
    </row>
    <row r="2062" spans="1:14" x14ac:dyDescent="0.25">
      <c r="A2062">
        <v>1466.481738</v>
      </c>
      <c r="B2062" s="1">
        <f>DATE(2014,5,6) + TIME(11,33,42)</f>
        <v>41765.481736111113</v>
      </c>
      <c r="C2062">
        <v>80</v>
      </c>
      <c r="D2062">
        <v>79.960716247999997</v>
      </c>
      <c r="E2062">
        <v>60</v>
      </c>
      <c r="F2062">
        <v>59.465747833000002</v>
      </c>
      <c r="G2062">
        <v>1392.8521728999999</v>
      </c>
      <c r="H2062">
        <v>1376.1708983999999</v>
      </c>
      <c r="I2062">
        <v>1289.7120361</v>
      </c>
      <c r="J2062">
        <v>1270.9881591999999</v>
      </c>
      <c r="K2062">
        <v>2750</v>
      </c>
      <c r="L2062">
        <v>0</v>
      </c>
      <c r="M2062">
        <v>0</v>
      </c>
      <c r="N2062">
        <v>2750</v>
      </c>
    </row>
    <row r="2063" spans="1:14" x14ac:dyDescent="0.25">
      <c r="A2063">
        <v>1466.69642</v>
      </c>
      <c r="B2063" s="1">
        <f>DATE(2014,5,6) + TIME(16,42,50)</f>
        <v>41765.696412037039</v>
      </c>
      <c r="C2063">
        <v>80</v>
      </c>
      <c r="D2063">
        <v>79.962020874000004</v>
      </c>
      <c r="E2063">
        <v>60</v>
      </c>
      <c r="F2063">
        <v>59.448783874999997</v>
      </c>
      <c r="G2063">
        <v>1392.7882079999999</v>
      </c>
      <c r="H2063">
        <v>1376.119751</v>
      </c>
      <c r="I2063">
        <v>1289.7070312000001</v>
      </c>
      <c r="J2063">
        <v>1270.9819336</v>
      </c>
      <c r="K2063">
        <v>2750</v>
      </c>
      <c r="L2063">
        <v>0</v>
      </c>
      <c r="M2063">
        <v>0</v>
      </c>
      <c r="N2063">
        <v>2750</v>
      </c>
    </row>
    <row r="2064" spans="1:14" x14ac:dyDescent="0.25">
      <c r="A2064">
        <v>1466.914178</v>
      </c>
      <c r="B2064" s="1">
        <f>DATE(2014,5,6) + TIME(21,56,24)</f>
        <v>41765.914166666669</v>
      </c>
      <c r="C2064">
        <v>80</v>
      </c>
      <c r="D2064">
        <v>79.963035583000007</v>
      </c>
      <c r="E2064">
        <v>60</v>
      </c>
      <c r="F2064">
        <v>59.431610106999997</v>
      </c>
      <c r="G2064">
        <v>1392.7257079999999</v>
      </c>
      <c r="H2064">
        <v>1376.0697021000001</v>
      </c>
      <c r="I2064">
        <v>1289.7019043</v>
      </c>
      <c r="J2064">
        <v>1270.9755858999999</v>
      </c>
      <c r="K2064">
        <v>2750</v>
      </c>
      <c r="L2064">
        <v>0</v>
      </c>
      <c r="M2064">
        <v>0</v>
      </c>
      <c r="N2064">
        <v>2750</v>
      </c>
    </row>
    <row r="2065" spans="1:14" x14ac:dyDescent="0.25">
      <c r="A2065">
        <v>1467.135691</v>
      </c>
      <c r="B2065" s="1">
        <f>DATE(2014,5,7) + TIME(3,15,23)</f>
        <v>41766.135682870372</v>
      </c>
      <c r="C2065">
        <v>80</v>
      </c>
      <c r="D2065">
        <v>79.963829040999997</v>
      </c>
      <c r="E2065">
        <v>60</v>
      </c>
      <c r="F2065">
        <v>59.414196013999998</v>
      </c>
      <c r="G2065">
        <v>1392.6643065999999</v>
      </c>
      <c r="H2065">
        <v>1376.0205077999999</v>
      </c>
      <c r="I2065">
        <v>1289.6967772999999</v>
      </c>
      <c r="J2065">
        <v>1270.9691161999999</v>
      </c>
      <c r="K2065">
        <v>2750</v>
      </c>
      <c r="L2065">
        <v>0</v>
      </c>
      <c r="M2065">
        <v>0</v>
      </c>
      <c r="N2065">
        <v>2750</v>
      </c>
    </row>
    <row r="2066" spans="1:14" x14ac:dyDescent="0.25">
      <c r="A2066">
        <v>1467.3616569999999</v>
      </c>
      <c r="B2066" s="1">
        <f>DATE(2014,5,7) + TIME(8,40,47)</f>
        <v>41766.361655092594</v>
      </c>
      <c r="C2066">
        <v>80</v>
      </c>
      <c r="D2066">
        <v>79.964454650999997</v>
      </c>
      <c r="E2066">
        <v>60</v>
      </c>
      <c r="F2066">
        <v>59.396499634000001</v>
      </c>
      <c r="G2066">
        <v>1392.6038818</v>
      </c>
      <c r="H2066">
        <v>1375.972168</v>
      </c>
      <c r="I2066">
        <v>1289.6915283000001</v>
      </c>
      <c r="J2066">
        <v>1270.9626464999999</v>
      </c>
      <c r="K2066">
        <v>2750</v>
      </c>
      <c r="L2066">
        <v>0</v>
      </c>
      <c r="M2066">
        <v>0</v>
      </c>
      <c r="N2066">
        <v>2750</v>
      </c>
    </row>
    <row r="2067" spans="1:14" x14ac:dyDescent="0.25">
      <c r="A2067">
        <v>1467.592811</v>
      </c>
      <c r="B2067" s="1">
        <f>DATE(2014,5,7) + TIME(14,13,38)</f>
        <v>41766.592800925922</v>
      </c>
      <c r="C2067">
        <v>80</v>
      </c>
      <c r="D2067">
        <v>79.964950561999999</v>
      </c>
      <c r="E2067">
        <v>60</v>
      </c>
      <c r="F2067">
        <v>59.378486633000001</v>
      </c>
      <c r="G2067">
        <v>1392.5440673999999</v>
      </c>
      <c r="H2067">
        <v>1375.9244385</v>
      </c>
      <c r="I2067">
        <v>1289.6861572</v>
      </c>
      <c r="J2067">
        <v>1270.9559326000001</v>
      </c>
      <c r="K2067">
        <v>2750</v>
      </c>
      <c r="L2067">
        <v>0</v>
      </c>
      <c r="M2067">
        <v>0</v>
      </c>
      <c r="N2067">
        <v>2750</v>
      </c>
    </row>
    <row r="2068" spans="1:14" x14ac:dyDescent="0.25">
      <c r="A2068">
        <v>1467.8299420000001</v>
      </c>
      <c r="B2068" s="1">
        <f>DATE(2014,5,7) + TIME(19,55,6)</f>
        <v>41766.829930555556</v>
      </c>
      <c r="C2068">
        <v>80</v>
      </c>
      <c r="D2068">
        <v>79.965339661000002</v>
      </c>
      <c r="E2068">
        <v>60</v>
      </c>
      <c r="F2068">
        <v>59.360103606999999</v>
      </c>
      <c r="G2068">
        <v>1392.4846190999999</v>
      </c>
      <c r="H2068">
        <v>1375.8769531</v>
      </c>
      <c r="I2068">
        <v>1289.6806641000001</v>
      </c>
      <c r="J2068">
        <v>1270.9490966999999</v>
      </c>
      <c r="K2068">
        <v>2750</v>
      </c>
      <c r="L2068">
        <v>0</v>
      </c>
      <c r="M2068">
        <v>0</v>
      </c>
      <c r="N2068">
        <v>2750</v>
      </c>
    </row>
    <row r="2069" spans="1:14" x14ac:dyDescent="0.25">
      <c r="A2069">
        <v>1468.074001</v>
      </c>
      <c r="B2069" s="1">
        <f>DATE(2014,5,8) + TIME(1,46,33)</f>
        <v>41767.073993055557</v>
      </c>
      <c r="C2069">
        <v>80</v>
      </c>
      <c r="D2069">
        <v>79.965652465999995</v>
      </c>
      <c r="E2069">
        <v>60</v>
      </c>
      <c r="F2069">
        <v>59.341300963999998</v>
      </c>
      <c r="G2069">
        <v>1392.4255370999999</v>
      </c>
      <c r="H2069">
        <v>1375.8298339999999</v>
      </c>
      <c r="I2069">
        <v>1289.6750488</v>
      </c>
      <c r="J2069">
        <v>1270.9420166</v>
      </c>
      <c r="K2069">
        <v>2750</v>
      </c>
      <c r="L2069">
        <v>0</v>
      </c>
      <c r="M2069">
        <v>0</v>
      </c>
      <c r="N2069">
        <v>2750</v>
      </c>
    </row>
    <row r="2070" spans="1:14" x14ac:dyDescent="0.25">
      <c r="A2070">
        <v>1468.3249109999999</v>
      </c>
      <c r="B2070" s="1">
        <f>DATE(2014,5,8) + TIME(7,47,52)</f>
        <v>41767.324907407405</v>
      </c>
      <c r="C2070">
        <v>80</v>
      </c>
      <c r="D2070">
        <v>79.965904236</v>
      </c>
      <c r="E2070">
        <v>60</v>
      </c>
      <c r="F2070">
        <v>59.322067261000001</v>
      </c>
      <c r="G2070">
        <v>1392.3663329999999</v>
      </c>
      <c r="H2070">
        <v>1375.7827147999999</v>
      </c>
      <c r="I2070">
        <v>1289.6691894999999</v>
      </c>
      <c r="J2070">
        <v>1270.9346923999999</v>
      </c>
      <c r="K2070">
        <v>2750</v>
      </c>
      <c r="L2070">
        <v>0</v>
      </c>
      <c r="M2070">
        <v>0</v>
      </c>
      <c r="N2070">
        <v>2750</v>
      </c>
    </row>
    <row r="2071" spans="1:14" x14ac:dyDescent="0.25">
      <c r="A2071">
        <v>1468.5803659999999</v>
      </c>
      <c r="B2071" s="1">
        <f>DATE(2014,5,8) + TIME(13,55,43)</f>
        <v>41767.580358796295</v>
      </c>
      <c r="C2071">
        <v>80</v>
      </c>
      <c r="D2071">
        <v>79.966102599999999</v>
      </c>
      <c r="E2071">
        <v>60</v>
      </c>
      <c r="F2071">
        <v>59.302539824999997</v>
      </c>
      <c r="G2071">
        <v>1392.307251</v>
      </c>
      <c r="H2071">
        <v>1375.7357178</v>
      </c>
      <c r="I2071">
        <v>1289.6632079999999</v>
      </c>
      <c r="J2071">
        <v>1270.9272461</v>
      </c>
      <c r="K2071">
        <v>2750</v>
      </c>
      <c r="L2071">
        <v>0</v>
      </c>
      <c r="M2071">
        <v>0</v>
      </c>
      <c r="N2071">
        <v>2750</v>
      </c>
    </row>
    <row r="2072" spans="1:14" x14ac:dyDescent="0.25">
      <c r="A2072">
        <v>1468.841062</v>
      </c>
      <c r="B2072" s="1">
        <f>DATE(2014,5,8) + TIME(20,11,7)</f>
        <v>41767.841053240743</v>
      </c>
      <c r="C2072">
        <v>80</v>
      </c>
      <c r="D2072">
        <v>79.966255188000005</v>
      </c>
      <c r="E2072">
        <v>60</v>
      </c>
      <c r="F2072">
        <v>59.282680511000002</v>
      </c>
      <c r="G2072">
        <v>1392.2487793</v>
      </c>
      <c r="H2072">
        <v>1375.6893310999999</v>
      </c>
      <c r="I2072">
        <v>1289.6571045000001</v>
      </c>
      <c r="J2072">
        <v>1270.9196777</v>
      </c>
      <c r="K2072">
        <v>2750</v>
      </c>
      <c r="L2072">
        <v>0</v>
      </c>
      <c r="M2072">
        <v>0</v>
      </c>
      <c r="N2072">
        <v>2750</v>
      </c>
    </row>
    <row r="2073" spans="1:14" x14ac:dyDescent="0.25">
      <c r="A2073">
        <v>1469.10769</v>
      </c>
      <c r="B2073" s="1">
        <f>DATE(2014,5,9) + TIME(2,35,4)</f>
        <v>41768.107685185183</v>
      </c>
      <c r="C2073">
        <v>80</v>
      </c>
      <c r="D2073">
        <v>79.966384887999993</v>
      </c>
      <c r="E2073">
        <v>60</v>
      </c>
      <c r="F2073">
        <v>59.262458801000001</v>
      </c>
      <c r="G2073">
        <v>1392.1907959</v>
      </c>
      <c r="H2073">
        <v>1375.6433105000001</v>
      </c>
      <c r="I2073">
        <v>1289.6508789</v>
      </c>
      <c r="J2073">
        <v>1270.9119873</v>
      </c>
      <c r="K2073">
        <v>2750</v>
      </c>
      <c r="L2073">
        <v>0</v>
      </c>
      <c r="M2073">
        <v>0</v>
      </c>
      <c r="N2073">
        <v>2750</v>
      </c>
    </row>
    <row r="2074" spans="1:14" x14ac:dyDescent="0.25">
      <c r="A2074">
        <v>1469.380999</v>
      </c>
      <c r="B2074" s="1">
        <f>DATE(2014,5,9) + TIME(9,8,38)</f>
        <v>41768.380995370368</v>
      </c>
      <c r="C2074">
        <v>80</v>
      </c>
      <c r="D2074">
        <v>79.966484070000007</v>
      </c>
      <c r="E2074">
        <v>60</v>
      </c>
      <c r="F2074">
        <v>59.241836548000002</v>
      </c>
      <c r="G2074">
        <v>1392.1330565999999</v>
      </c>
      <c r="H2074">
        <v>1375.5975341999999</v>
      </c>
      <c r="I2074">
        <v>1289.6444091999999</v>
      </c>
      <c r="J2074">
        <v>1270.9040527</v>
      </c>
      <c r="K2074">
        <v>2750</v>
      </c>
      <c r="L2074">
        <v>0</v>
      </c>
      <c r="M2074">
        <v>0</v>
      </c>
      <c r="N2074">
        <v>2750</v>
      </c>
    </row>
    <row r="2075" spans="1:14" x14ac:dyDescent="0.25">
      <c r="A2075">
        <v>1469.661803</v>
      </c>
      <c r="B2075" s="1">
        <f>DATE(2014,5,9) + TIME(15,52,59)</f>
        <v>41768.661793981482</v>
      </c>
      <c r="C2075">
        <v>80</v>
      </c>
      <c r="D2075">
        <v>79.966567992999998</v>
      </c>
      <c r="E2075">
        <v>60</v>
      </c>
      <c r="F2075">
        <v>59.220760345000002</v>
      </c>
      <c r="G2075">
        <v>1392.0755615</v>
      </c>
      <c r="H2075">
        <v>1375.5518798999999</v>
      </c>
      <c r="I2075">
        <v>1289.6379394999999</v>
      </c>
      <c r="J2075">
        <v>1270.895874</v>
      </c>
      <c r="K2075">
        <v>2750</v>
      </c>
      <c r="L2075">
        <v>0</v>
      </c>
      <c r="M2075">
        <v>0</v>
      </c>
      <c r="N2075">
        <v>2750</v>
      </c>
    </row>
    <row r="2076" spans="1:14" x14ac:dyDescent="0.25">
      <c r="A2076">
        <v>1469.951006</v>
      </c>
      <c r="B2076" s="1">
        <f>DATE(2014,5,9) + TIME(22,49,26)</f>
        <v>41768.950995370367</v>
      </c>
      <c r="C2076">
        <v>80</v>
      </c>
      <c r="D2076">
        <v>79.966629028</v>
      </c>
      <c r="E2076">
        <v>60</v>
      </c>
      <c r="F2076">
        <v>59.199184418000002</v>
      </c>
      <c r="G2076">
        <v>1392.0179443</v>
      </c>
      <c r="H2076">
        <v>1375.5063477000001</v>
      </c>
      <c r="I2076">
        <v>1289.6312256000001</v>
      </c>
      <c r="J2076">
        <v>1270.8874512</v>
      </c>
      <c r="K2076">
        <v>2750</v>
      </c>
      <c r="L2076">
        <v>0</v>
      </c>
      <c r="M2076">
        <v>0</v>
      </c>
      <c r="N2076">
        <v>2750</v>
      </c>
    </row>
    <row r="2077" spans="1:14" x14ac:dyDescent="0.25">
      <c r="A2077">
        <v>1470.2497149999999</v>
      </c>
      <c r="B2077" s="1">
        <f>DATE(2014,5,10) + TIME(5,59,35)</f>
        <v>41769.249710648146</v>
      </c>
      <c r="C2077">
        <v>80</v>
      </c>
      <c r="D2077">
        <v>79.966682434000006</v>
      </c>
      <c r="E2077">
        <v>60</v>
      </c>
      <c r="F2077">
        <v>59.177036285</v>
      </c>
      <c r="G2077">
        <v>1391.9602050999999</v>
      </c>
      <c r="H2077">
        <v>1375.4606934000001</v>
      </c>
      <c r="I2077">
        <v>1289.6242675999999</v>
      </c>
      <c r="J2077">
        <v>1270.8787841999999</v>
      </c>
      <c r="K2077">
        <v>2750</v>
      </c>
      <c r="L2077">
        <v>0</v>
      </c>
      <c r="M2077">
        <v>0</v>
      </c>
      <c r="N2077">
        <v>2750</v>
      </c>
    </row>
    <row r="2078" spans="1:14" x14ac:dyDescent="0.25">
      <c r="A2078">
        <v>1470.559074</v>
      </c>
      <c r="B2078" s="1">
        <f>DATE(2014,5,10) + TIME(13,25,4)</f>
        <v>41769.559074074074</v>
      </c>
      <c r="C2078">
        <v>80</v>
      </c>
      <c r="D2078">
        <v>79.966728209999999</v>
      </c>
      <c r="E2078">
        <v>60</v>
      </c>
      <c r="F2078">
        <v>59.154254913000003</v>
      </c>
      <c r="G2078">
        <v>1391.9022216999999</v>
      </c>
      <c r="H2078">
        <v>1375.4149170000001</v>
      </c>
      <c r="I2078">
        <v>1289.6170654</v>
      </c>
      <c r="J2078">
        <v>1270.8698730000001</v>
      </c>
      <c r="K2078">
        <v>2750</v>
      </c>
      <c r="L2078">
        <v>0</v>
      </c>
      <c r="M2078">
        <v>0</v>
      </c>
      <c r="N2078">
        <v>2750</v>
      </c>
    </row>
    <row r="2079" spans="1:14" x14ac:dyDescent="0.25">
      <c r="A2079">
        <v>1470.880283</v>
      </c>
      <c r="B2079" s="1">
        <f>DATE(2014,5,10) + TIME(21,7,36)</f>
        <v>41769.880277777775</v>
      </c>
      <c r="C2079">
        <v>80</v>
      </c>
      <c r="D2079">
        <v>79.966758728000002</v>
      </c>
      <c r="E2079">
        <v>60</v>
      </c>
      <c r="F2079">
        <v>59.130760193</v>
      </c>
      <c r="G2079">
        <v>1391.8436279</v>
      </c>
      <c r="H2079">
        <v>1375.3686522999999</v>
      </c>
      <c r="I2079">
        <v>1289.6096190999999</v>
      </c>
      <c r="J2079">
        <v>1270.8605957</v>
      </c>
      <c r="K2079">
        <v>2750</v>
      </c>
      <c r="L2079">
        <v>0</v>
      </c>
      <c r="M2079">
        <v>0</v>
      </c>
      <c r="N2079">
        <v>2750</v>
      </c>
    </row>
    <row r="2080" spans="1:14" x14ac:dyDescent="0.25">
      <c r="A2080">
        <v>1471.2129210000001</v>
      </c>
      <c r="B2080" s="1">
        <f>DATE(2014,5,11) + TIME(5,6,36)</f>
        <v>41770.212916666664</v>
      </c>
      <c r="C2080">
        <v>80</v>
      </c>
      <c r="D2080">
        <v>79.966781616000006</v>
      </c>
      <c r="E2080">
        <v>60</v>
      </c>
      <c r="F2080">
        <v>59.106563567999999</v>
      </c>
      <c r="G2080">
        <v>1391.7844238</v>
      </c>
      <c r="H2080">
        <v>1375.3220214999999</v>
      </c>
      <c r="I2080">
        <v>1289.6018065999999</v>
      </c>
      <c r="J2080">
        <v>1270.8509521000001</v>
      </c>
      <c r="K2080">
        <v>2750</v>
      </c>
      <c r="L2080">
        <v>0</v>
      </c>
      <c r="M2080">
        <v>0</v>
      </c>
      <c r="N2080">
        <v>2750</v>
      </c>
    </row>
    <row r="2081" spans="1:14" x14ac:dyDescent="0.25">
      <c r="A2081">
        <v>1471.548045</v>
      </c>
      <c r="B2081" s="1">
        <f>DATE(2014,5,11) + TIME(13,9,11)</f>
        <v>41770.548043981478</v>
      </c>
      <c r="C2081">
        <v>80</v>
      </c>
      <c r="D2081">
        <v>79.966796875</v>
      </c>
      <c r="E2081">
        <v>60</v>
      </c>
      <c r="F2081">
        <v>59.082099915000001</v>
      </c>
      <c r="G2081">
        <v>1391.7247314000001</v>
      </c>
      <c r="H2081">
        <v>1375.2750243999999</v>
      </c>
      <c r="I2081">
        <v>1289.59375</v>
      </c>
      <c r="J2081">
        <v>1270.8410644999999</v>
      </c>
      <c r="K2081">
        <v>2750</v>
      </c>
      <c r="L2081">
        <v>0</v>
      </c>
      <c r="M2081">
        <v>0</v>
      </c>
      <c r="N2081">
        <v>2750</v>
      </c>
    </row>
    <row r="2082" spans="1:14" x14ac:dyDescent="0.25">
      <c r="A2082">
        <v>1471.886706</v>
      </c>
      <c r="B2082" s="1">
        <f>DATE(2014,5,11) + TIME(21,16,51)</f>
        <v>41770.886701388888</v>
      </c>
      <c r="C2082">
        <v>80</v>
      </c>
      <c r="D2082">
        <v>79.966812133999994</v>
      </c>
      <c r="E2082">
        <v>60</v>
      </c>
      <c r="F2082">
        <v>59.057380676000001</v>
      </c>
      <c r="G2082">
        <v>1391.6661377</v>
      </c>
      <c r="H2082">
        <v>1375.2288818</v>
      </c>
      <c r="I2082">
        <v>1289.5855713000001</v>
      </c>
      <c r="J2082">
        <v>1270.8309326000001</v>
      </c>
      <c r="K2082">
        <v>2750</v>
      </c>
      <c r="L2082">
        <v>0</v>
      </c>
      <c r="M2082">
        <v>0</v>
      </c>
      <c r="N2082">
        <v>2750</v>
      </c>
    </row>
    <row r="2083" spans="1:14" x14ac:dyDescent="0.25">
      <c r="A2083">
        <v>1472.22991</v>
      </c>
      <c r="B2083" s="1">
        <f>DATE(2014,5,12) + TIME(5,31,4)</f>
        <v>41771.229907407411</v>
      </c>
      <c r="C2083">
        <v>80</v>
      </c>
      <c r="D2083">
        <v>79.966819763000004</v>
      </c>
      <c r="E2083">
        <v>60</v>
      </c>
      <c r="F2083">
        <v>59.032386780000003</v>
      </c>
      <c r="G2083">
        <v>1391.6085204999999</v>
      </c>
      <c r="H2083">
        <v>1375.1835937999999</v>
      </c>
      <c r="I2083">
        <v>1289.5773925999999</v>
      </c>
      <c r="J2083">
        <v>1270.8208007999999</v>
      </c>
      <c r="K2083">
        <v>2750</v>
      </c>
      <c r="L2083">
        <v>0</v>
      </c>
      <c r="M2083">
        <v>0</v>
      </c>
      <c r="N2083">
        <v>2750</v>
      </c>
    </row>
    <row r="2084" spans="1:14" x14ac:dyDescent="0.25">
      <c r="A2084">
        <v>1472.578683</v>
      </c>
      <c r="B2084" s="1">
        <f>DATE(2014,5,12) + TIME(13,53,18)</f>
        <v>41771.578680555554</v>
      </c>
      <c r="C2084">
        <v>80</v>
      </c>
      <c r="D2084">
        <v>79.966819763000004</v>
      </c>
      <c r="E2084">
        <v>60</v>
      </c>
      <c r="F2084">
        <v>59.007087708</v>
      </c>
      <c r="G2084">
        <v>1391.5515137</v>
      </c>
      <c r="H2084">
        <v>1375.1387939000001</v>
      </c>
      <c r="I2084">
        <v>1289.5689697</v>
      </c>
      <c r="J2084">
        <v>1270.8104248</v>
      </c>
      <c r="K2084">
        <v>2750</v>
      </c>
      <c r="L2084">
        <v>0</v>
      </c>
      <c r="M2084">
        <v>0</v>
      </c>
      <c r="N2084">
        <v>2750</v>
      </c>
    </row>
    <row r="2085" spans="1:14" x14ac:dyDescent="0.25">
      <c r="A2085">
        <v>1472.9340910000001</v>
      </c>
      <c r="B2085" s="1">
        <f>DATE(2014,5,12) + TIME(22,25,5)</f>
        <v>41771.93408564815</v>
      </c>
      <c r="C2085">
        <v>80</v>
      </c>
      <c r="D2085">
        <v>79.966819763000004</v>
      </c>
      <c r="E2085">
        <v>60</v>
      </c>
      <c r="F2085">
        <v>58.981433868000003</v>
      </c>
      <c r="G2085">
        <v>1391.4949951000001</v>
      </c>
      <c r="H2085">
        <v>1375.0944824000001</v>
      </c>
      <c r="I2085">
        <v>1289.5605469</v>
      </c>
      <c r="J2085">
        <v>1270.7999268000001</v>
      </c>
      <c r="K2085">
        <v>2750</v>
      </c>
      <c r="L2085">
        <v>0</v>
      </c>
      <c r="M2085">
        <v>0</v>
      </c>
      <c r="N2085">
        <v>2750</v>
      </c>
    </row>
    <row r="2086" spans="1:14" x14ac:dyDescent="0.25">
      <c r="A2086">
        <v>1473.2972540000001</v>
      </c>
      <c r="B2086" s="1">
        <f>DATE(2014,5,13) + TIME(7,8,2)</f>
        <v>41772.29724537037</v>
      </c>
      <c r="C2086">
        <v>80</v>
      </c>
      <c r="D2086">
        <v>79.966819763000004</v>
      </c>
      <c r="E2086">
        <v>60</v>
      </c>
      <c r="F2086">
        <v>58.955368042000003</v>
      </c>
      <c r="G2086">
        <v>1391.4387207</v>
      </c>
      <c r="H2086">
        <v>1375.0504149999999</v>
      </c>
      <c r="I2086">
        <v>1289.5518798999999</v>
      </c>
      <c r="J2086">
        <v>1270.7890625</v>
      </c>
      <c r="K2086">
        <v>2750</v>
      </c>
      <c r="L2086">
        <v>0</v>
      </c>
      <c r="M2086">
        <v>0</v>
      </c>
      <c r="N2086">
        <v>2750</v>
      </c>
    </row>
    <row r="2087" spans="1:14" x14ac:dyDescent="0.25">
      <c r="A2087">
        <v>1473.6693789999999</v>
      </c>
      <c r="B2087" s="1">
        <f>DATE(2014,5,13) + TIME(16,3,54)</f>
        <v>41772.669374999998</v>
      </c>
      <c r="C2087">
        <v>80</v>
      </c>
      <c r="D2087">
        <v>79.966812133999994</v>
      </c>
      <c r="E2087">
        <v>60</v>
      </c>
      <c r="F2087">
        <v>58.928833007999998</v>
      </c>
      <c r="G2087">
        <v>1391.3826904</v>
      </c>
      <c r="H2087">
        <v>1375.0064697</v>
      </c>
      <c r="I2087">
        <v>1289.5429687999999</v>
      </c>
      <c r="J2087">
        <v>1270.7780762</v>
      </c>
      <c r="K2087">
        <v>2750</v>
      </c>
      <c r="L2087">
        <v>0</v>
      </c>
      <c r="M2087">
        <v>0</v>
      </c>
      <c r="N2087">
        <v>2750</v>
      </c>
    </row>
    <row r="2088" spans="1:14" x14ac:dyDescent="0.25">
      <c r="A2088">
        <v>1474.0518489999999</v>
      </c>
      <c r="B2088" s="1">
        <f>DATE(2014,5,14) + TIME(1,14,39)</f>
        <v>41773.051840277774</v>
      </c>
      <c r="C2088">
        <v>80</v>
      </c>
      <c r="D2088">
        <v>79.966804503999995</v>
      </c>
      <c r="E2088">
        <v>60</v>
      </c>
      <c r="F2088">
        <v>58.901741028000004</v>
      </c>
      <c r="G2088">
        <v>1391.3266602000001</v>
      </c>
      <c r="H2088">
        <v>1374.9625243999999</v>
      </c>
      <c r="I2088">
        <v>1289.5338135</v>
      </c>
      <c r="J2088">
        <v>1270.7667236</v>
      </c>
      <c r="K2088">
        <v>2750</v>
      </c>
      <c r="L2088">
        <v>0</v>
      </c>
      <c r="M2088">
        <v>0</v>
      </c>
      <c r="N2088">
        <v>2750</v>
      </c>
    </row>
    <row r="2089" spans="1:14" x14ac:dyDescent="0.25">
      <c r="A2089">
        <v>1474.4462739999999</v>
      </c>
      <c r="B2089" s="1">
        <f>DATE(2014,5,14) + TIME(10,42,38)</f>
        <v>41773.446273148147</v>
      </c>
      <c r="C2089">
        <v>80</v>
      </c>
      <c r="D2089">
        <v>79.966796875</v>
      </c>
      <c r="E2089">
        <v>60</v>
      </c>
      <c r="F2089">
        <v>58.874008179</v>
      </c>
      <c r="G2089">
        <v>1391.2703856999999</v>
      </c>
      <c r="H2089">
        <v>1374.918457</v>
      </c>
      <c r="I2089">
        <v>1289.5245361</v>
      </c>
      <c r="J2089">
        <v>1270.7551269999999</v>
      </c>
      <c r="K2089">
        <v>2750</v>
      </c>
      <c r="L2089">
        <v>0</v>
      </c>
      <c r="M2089">
        <v>0</v>
      </c>
      <c r="N2089">
        <v>2750</v>
      </c>
    </row>
    <row r="2090" spans="1:14" x14ac:dyDescent="0.25">
      <c r="A2090">
        <v>1474.85015</v>
      </c>
      <c r="B2090" s="1">
        <f>DATE(2014,5,14) + TIME(20,24,12)</f>
        <v>41773.850138888891</v>
      </c>
      <c r="C2090">
        <v>80</v>
      </c>
      <c r="D2090">
        <v>79.966789246000005</v>
      </c>
      <c r="E2090">
        <v>60</v>
      </c>
      <c r="F2090">
        <v>58.845726012999997</v>
      </c>
      <c r="G2090">
        <v>1391.2137451000001</v>
      </c>
      <c r="H2090">
        <v>1374.8740233999999</v>
      </c>
      <c r="I2090">
        <v>1289.5147704999999</v>
      </c>
      <c r="J2090">
        <v>1270.7430420000001</v>
      </c>
      <c r="K2090">
        <v>2750</v>
      </c>
      <c r="L2090">
        <v>0</v>
      </c>
      <c r="M2090">
        <v>0</v>
      </c>
      <c r="N2090">
        <v>2750</v>
      </c>
    </row>
    <row r="2091" spans="1:14" x14ac:dyDescent="0.25">
      <c r="A2091">
        <v>1475.259204</v>
      </c>
      <c r="B2091" s="1">
        <f>DATE(2014,5,15) + TIME(6,13,15)</f>
        <v>41774.259201388886</v>
      </c>
      <c r="C2091">
        <v>80</v>
      </c>
      <c r="D2091">
        <v>79.966781616000006</v>
      </c>
      <c r="E2091">
        <v>60</v>
      </c>
      <c r="F2091">
        <v>58.817089080999999</v>
      </c>
      <c r="G2091">
        <v>1391.1571045000001</v>
      </c>
      <c r="H2091">
        <v>1374.8297118999999</v>
      </c>
      <c r="I2091">
        <v>1289.5047606999999</v>
      </c>
      <c r="J2091">
        <v>1270.7307129000001</v>
      </c>
      <c r="K2091">
        <v>2750</v>
      </c>
      <c r="L2091">
        <v>0</v>
      </c>
      <c r="M2091">
        <v>0</v>
      </c>
      <c r="N2091">
        <v>2750</v>
      </c>
    </row>
    <row r="2092" spans="1:14" x14ac:dyDescent="0.25">
      <c r="A2092">
        <v>1475.6745000000001</v>
      </c>
      <c r="B2092" s="1">
        <f>DATE(2014,5,15) + TIME(16,11,16)</f>
        <v>41774.674490740741</v>
      </c>
      <c r="C2092">
        <v>80</v>
      </c>
      <c r="D2092">
        <v>79.966766356999997</v>
      </c>
      <c r="E2092">
        <v>60</v>
      </c>
      <c r="F2092">
        <v>58.788097381999997</v>
      </c>
      <c r="G2092">
        <v>1391.1009521000001</v>
      </c>
      <c r="H2092">
        <v>1374.7857666</v>
      </c>
      <c r="I2092">
        <v>1289.4946289</v>
      </c>
      <c r="J2092">
        <v>1270.7182617000001</v>
      </c>
      <c r="K2092">
        <v>2750</v>
      </c>
      <c r="L2092">
        <v>0</v>
      </c>
      <c r="M2092">
        <v>0</v>
      </c>
      <c r="N2092">
        <v>2750</v>
      </c>
    </row>
    <row r="2093" spans="1:14" x14ac:dyDescent="0.25">
      <c r="A2093">
        <v>1476.097092</v>
      </c>
      <c r="B2093" s="1">
        <f>DATE(2014,5,16) + TIME(2,19,48)</f>
        <v>41775.097083333334</v>
      </c>
      <c r="C2093">
        <v>80</v>
      </c>
      <c r="D2093">
        <v>79.966758728000002</v>
      </c>
      <c r="E2093">
        <v>60</v>
      </c>
      <c r="F2093">
        <v>58.758720398000001</v>
      </c>
      <c r="G2093">
        <v>1391.0452881000001</v>
      </c>
      <c r="H2093">
        <v>1374.7423096</v>
      </c>
      <c r="I2093">
        <v>1289.484375</v>
      </c>
      <c r="J2093">
        <v>1270.7054443</v>
      </c>
      <c r="K2093">
        <v>2750</v>
      </c>
      <c r="L2093">
        <v>0</v>
      </c>
      <c r="M2093">
        <v>0</v>
      </c>
      <c r="N2093">
        <v>2750</v>
      </c>
    </row>
    <row r="2094" spans="1:14" x14ac:dyDescent="0.25">
      <c r="A2094">
        <v>1476.5280929999999</v>
      </c>
      <c r="B2094" s="1">
        <f>DATE(2014,5,16) + TIME(12,40,27)</f>
        <v>41775.528090277781</v>
      </c>
      <c r="C2094">
        <v>80</v>
      </c>
      <c r="D2094">
        <v>79.966743468999994</v>
      </c>
      <c r="E2094">
        <v>60</v>
      </c>
      <c r="F2094">
        <v>58.728919982999997</v>
      </c>
      <c r="G2094">
        <v>1390.9899902</v>
      </c>
      <c r="H2094">
        <v>1374.6989745999999</v>
      </c>
      <c r="I2094">
        <v>1289.4738769999999</v>
      </c>
      <c r="J2094">
        <v>1270.6925048999999</v>
      </c>
      <c r="K2094">
        <v>2750</v>
      </c>
      <c r="L2094">
        <v>0</v>
      </c>
      <c r="M2094">
        <v>0</v>
      </c>
      <c r="N2094">
        <v>2750</v>
      </c>
    </row>
    <row r="2095" spans="1:14" x14ac:dyDescent="0.25">
      <c r="A2095">
        <v>1476.968695</v>
      </c>
      <c r="B2095" s="1">
        <f>DATE(2014,5,16) + TIME(23,14,55)</f>
        <v>41775.968692129631</v>
      </c>
      <c r="C2095">
        <v>80</v>
      </c>
      <c r="D2095">
        <v>79.966735839999998</v>
      </c>
      <c r="E2095">
        <v>60</v>
      </c>
      <c r="F2095">
        <v>58.698638916</v>
      </c>
      <c r="G2095">
        <v>1390.9348144999999</v>
      </c>
      <c r="H2095">
        <v>1374.6558838000001</v>
      </c>
      <c r="I2095">
        <v>1289.4631348</v>
      </c>
      <c r="J2095">
        <v>1270.6791992000001</v>
      </c>
      <c r="K2095">
        <v>2750</v>
      </c>
      <c r="L2095">
        <v>0</v>
      </c>
      <c r="M2095">
        <v>0</v>
      </c>
      <c r="N2095">
        <v>2750</v>
      </c>
    </row>
    <row r="2096" spans="1:14" x14ac:dyDescent="0.25">
      <c r="A2096">
        <v>1477.420198</v>
      </c>
      <c r="B2096" s="1">
        <f>DATE(2014,5,17) + TIME(10,5,5)</f>
        <v>41776.42019675926</v>
      </c>
      <c r="C2096">
        <v>80</v>
      </c>
      <c r="D2096">
        <v>79.966720581000004</v>
      </c>
      <c r="E2096">
        <v>60</v>
      </c>
      <c r="F2096">
        <v>58.667812347000002</v>
      </c>
      <c r="G2096">
        <v>1390.8796387</v>
      </c>
      <c r="H2096">
        <v>1374.612793</v>
      </c>
      <c r="I2096">
        <v>1289.4521483999999</v>
      </c>
      <c r="J2096">
        <v>1270.6655272999999</v>
      </c>
      <c r="K2096">
        <v>2750</v>
      </c>
      <c r="L2096">
        <v>0</v>
      </c>
      <c r="M2096">
        <v>0</v>
      </c>
      <c r="N2096">
        <v>2750</v>
      </c>
    </row>
    <row r="2097" spans="1:14" x14ac:dyDescent="0.25">
      <c r="A2097">
        <v>1477.8817059999999</v>
      </c>
      <c r="B2097" s="1">
        <f>DATE(2014,5,17) + TIME(21,9,39)</f>
        <v>41776.881701388891</v>
      </c>
      <c r="C2097">
        <v>80</v>
      </c>
      <c r="D2097">
        <v>79.966705321999996</v>
      </c>
      <c r="E2097">
        <v>60</v>
      </c>
      <c r="F2097">
        <v>58.636459350999999</v>
      </c>
      <c r="G2097">
        <v>1390.8243408000001</v>
      </c>
      <c r="H2097">
        <v>1374.5695800999999</v>
      </c>
      <c r="I2097">
        <v>1289.4407959</v>
      </c>
      <c r="J2097">
        <v>1270.6514893000001</v>
      </c>
      <c r="K2097">
        <v>2750</v>
      </c>
      <c r="L2097">
        <v>0</v>
      </c>
      <c r="M2097">
        <v>0</v>
      </c>
      <c r="N2097">
        <v>2750</v>
      </c>
    </row>
    <row r="2098" spans="1:14" x14ac:dyDescent="0.25">
      <c r="A2098">
        <v>1478.3495230000001</v>
      </c>
      <c r="B2098" s="1">
        <f>DATE(2014,5,18) + TIME(8,23,18)</f>
        <v>41777.34951388889</v>
      </c>
      <c r="C2098">
        <v>80</v>
      </c>
      <c r="D2098">
        <v>79.966697693</v>
      </c>
      <c r="E2098">
        <v>60</v>
      </c>
      <c r="F2098">
        <v>58.604732513000002</v>
      </c>
      <c r="G2098">
        <v>1390.769043</v>
      </c>
      <c r="H2098">
        <v>1374.5263672000001</v>
      </c>
      <c r="I2098">
        <v>1289.4291992000001</v>
      </c>
      <c r="J2098">
        <v>1270.637207</v>
      </c>
      <c r="K2098">
        <v>2750</v>
      </c>
      <c r="L2098">
        <v>0</v>
      </c>
      <c r="M2098">
        <v>0</v>
      </c>
      <c r="N2098">
        <v>2750</v>
      </c>
    </row>
    <row r="2099" spans="1:14" x14ac:dyDescent="0.25">
      <c r="A2099">
        <v>1478.8251869999999</v>
      </c>
      <c r="B2099" s="1">
        <f>DATE(2014,5,18) + TIME(19,48,16)</f>
        <v>41777.825185185182</v>
      </c>
      <c r="C2099">
        <v>80</v>
      </c>
      <c r="D2099">
        <v>79.966682434000006</v>
      </c>
      <c r="E2099">
        <v>60</v>
      </c>
      <c r="F2099">
        <v>58.572608948000003</v>
      </c>
      <c r="G2099">
        <v>1390.7141113</v>
      </c>
      <c r="H2099">
        <v>1374.4833983999999</v>
      </c>
      <c r="I2099">
        <v>1289.4174805</v>
      </c>
      <c r="J2099">
        <v>1270.6225586</v>
      </c>
      <c r="K2099">
        <v>2750</v>
      </c>
      <c r="L2099">
        <v>0</v>
      </c>
      <c r="M2099">
        <v>0</v>
      </c>
      <c r="N2099">
        <v>2750</v>
      </c>
    </row>
    <row r="2100" spans="1:14" x14ac:dyDescent="0.25">
      <c r="A2100">
        <v>1479.3102630000001</v>
      </c>
      <c r="B2100" s="1">
        <f>DATE(2014,5,19) + TIME(7,26,46)</f>
        <v>41778.310254629629</v>
      </c>
      <c r="C2100">
        <v>80</v>
      </c>
      <c r="D2100">
        <v>79.966667174999998</v>
      </c>
      <c r="E2100">
        <v>60</v>
      </c>
      <c r="F2100">
        <v>58.540035248000002</v>
      </c>
      <c r="G2100">
        <v>1390.6595459</v>
      </c>
      <c r="H2100">
        <v>1374.4407959</v>
      </c>
      <c r="I2100">
        <v>1289.4055175999999</v>
      </c>
      <c r="J2100">
        <v>1270.6076660000001</v>
      </c>
      <c r="K2100">
        <v>2750</v>
      </c>
      <c r="L2100">
        <v>0</v>
      </c>
      <c r="M2100">
        <v>0</v>
      </c>
      <c r="N2100">
        <v>2750</v>
      </c>
    </row>
    <row r="2101" spans="1:14" x14ac:dyDescent="0.25">
      <c r="A2101">
        <v>1479.8064220000001</v>
      </c>
      <c r="B2101" s="1">
        <f>DATE(2014,5,19) + TIME(19,21,14)</f>
        <v>41778.80641203704</v>
      </c>
      <c r="C2101">
        <v>80</v>
      </c>
      <c r="D2101">
        <v>79.966659546000002</v>
      </c>
      <c r="E2101">
        <v>60</v>
      </c>
      <c r="F2101">
        <v>58.506935120000001</v>
      </c>
      <c r="G2101">
        <v>1390.6049805</v>
      </c>
      <c r="H2101">
        <v>1374.3981934000001</v>
      </c>
      <c r="I2101">
        <v>1289.3931885</v>
      </c>
      <c r="J2101">
        <v>1270.5924072</v>
      </c>
      <c r="K2101">
        <v>2750</v>
      </c>
      <c r="L2101">
        <v>0</v>
      </c>
      <c r="M2101">
        <v>0</v>
      </c>
      <c r="N2101">
        <v>2750</v>
      </c>
    </row>
    <row r="2102" spans="1:14" x14ac:dyDescent="0.25">
      <c r="A2102">
        <v>1480.3157920000001</v>
      </c>
      <c r="B2102" s="1">
        <f>DATE(2014,5,20) + TIME(7,34,44)</f>
        <v>41779.315787037034</v>
      </c>
      <c r="C2102">
        <v>80</v>
      </c>
      <c r="D2102">
        <v>79.966644286999994</v>
      </c>
      <c r="E2102">
        <v>60</v>
      </c>
      <c r="F2102">
        <v>58.473209380999997</v>
      </c>
      <c r="G2102">
        <v>1390.5504149999999</v>
      </c>
      <c r="H2102">
        <v>1374.3554687999999</v>
      </c>
      <c r="I2102">
        <v>1289.3806152</v>
      </c>
      <c r="J2102">
        <v>1270.5767822</v>
      </c>
      <c r="K2102">
        <v>2750</v>
      </c>
      <c r="L2102">
        <v>0</v>
      </c>
      <c r="M2102">
        <v>0</v>
      </c>
      <c r="N2102">
        <v>2750</v>
      </c>
    </row>
    <row r="2103" spans="1:14" x14ac:dyDescent="0.25">
      <c r="A2103">
        <v>1480.8402040000001</v>
      </c>
      <c r="B2103" s="1">
        <f>DATE(2014,5,20) + TIME(20,9,53)</f>
        <v>41779.840196759258</v>
      </c>
      <c r="C2103">
        <v>80</v>
      </c>
      <c r="D2103">
        <v>79.966629028</v>
      </c>
      <c r="E2103">
        <v>60</v>
      </c>
      <c r="F2103">
        <v>58.438758849999999</v>
      </c>
      <c r="G2103">
        <v>1390.4954834</v>
      </c>
      <c r="H2103">
        <v>1374.3126221</v>
      </c>
      <c r="I2103">
        <v>1289.3676757999999</v>
      </c>
      <c r="J2103">
        <v>1270.5606689000001</v>
      </c>
      <c r="K2103">
        <v>2750</v>
      </c>
      <c r="L2103">
        <v>0</v>
      </c>
      <c r="M2103">
        <v>0</v>
      </c>
      <c r="N2103">
        <v>2750</v>
      </c>
    </row>
    <row r="2104" spans="1:14" x14ac:dyDescent="0.25">
      <c r="A2104">
        <v>1481.381905</v>
      </c>
      <c r="B2104" s="1">
        <f>DATE(2014,5,21) + TIME(9,9,56)</f>
        <v>41780.381898148145</v>
      </c>
      <c r="C2104">
        <v>80</v>
      </c>
      <c r="D2104">
        <v>79.966621399000005</v>
      </c>
      <c r="E2104">
        <v>60</v>
      </c>
      <c r="F2104">
        <v>58.403465271000002</v>
      </c>
      <c r="G2104">
        <v>1390.4400635</v>
      </c>
      <c r="H2104">
        <v>1374.2694091999999</v>
      </c>
      <c r="I2104">
        <v>1289.3542480000001</v>
      </c>
      <c r="J2104">
        <v>1270.5439452999999</v>
      </c>
      <c r="K2104">
        <v>2750</v>
      </c>
      <c r="L2104">
        <v>0</v>
      </c>
      <c r="M2104">
        <v>0</v>
      </c>
      <c r="N2104">
        <v>2750</v>
      </c>
    </row>
    <row r="2105" spans="1:14" x14ac:dyDescent="0.25">
      <c r="A2105">
        <v>1481.931122</v>
      </c>
      <c r="B2105" s="1">
        <f>DATE(2014,5,21) + TIME(22,20,48)</f>
        <v>41780.931111111109</v>
      </c>
      <c r="C2105">
        <v>80</v>
      </c>
      <c r="D2105">
        <v>79.966606139999996</v>
      </c>
      <c r="E2105">
        <v>60</v>
      </c>
      <c r="F2105">
        <v>58.367645263999997</v>
      </c>
      <c r="G2105">
        <v>1390.3841553</v>
      </c>
      <c r="H2105">
        <v>1374.2255858999999</v>
      </c>
      <c r="I2105">
        <v>1289.340332</v>
      </c>
      <c r="J2105">
        <v>1270.5267334</v>
      </c>
      <c r="K2105">
        <v>2750</v>
      </c>
      <c r="L2105">
        <v>0</v>
      </c>
      <c r="M2105">
        <v>0</v>
      </c>
      <c r="N2105">
        <v>2750</v>
      </c>
    </row>
    <row r="2106" spans="1:14" x14ac:dyDescent="0.25">
      <c r="A2106">
        <v>1482.488038</v>
      </c>
      <c r="B2106" s="1">
        <f>DATE(2014,5,22) + TIME(11,42,46)</f>
        <v>41781.488032407404</v>
      </c>
      <c r="C2106">
        <v>80</v>
      </c>
      <c r="D2106">
        <v>79.966590881000002</v>
      </c>
      <c r="E2106">
        <v>60</v>
      </c>
      <c r="F2106">
        <v>58.331390380999999</v>
      </c>
      <c r="G2106">
        <v>1390.3284911999999</v>
      </c>
      <c r="H2106">
        <v>1374.1821289</v>
      </c>
      <c r="I2106">
        <v>1289.3261719</v>
      </c>
      <c r="J2106">
        <v>1270.5091553</v>
      </c>
      <c r="K2106">
        <v>2750</v>
      </c>
      <c r="L2106">
        <v>0</v>
      </c>
      <c r="M2106">
        <v>0</v>
      </c>
      <c r="N2106">
        <v>2750</v>
      </c>
    </row>
    <row r="2107" spans="1:14" x14ac:dyDescent="0.25">
      <c r="A2107">
        <v>1483.054208</v>
      </c>
      <c r="B2107" s="1">
        <f>DATE(2014,5,23) + TIME(1,18,3)</f>
        <v>41782.054201388892</v>
      </c>
      <c r="C2107">
        <v>80</v>
      </c>
      <c r="D2107">
        <v>79.966583252000007</v>
      </c>
      <c r="E2107">
        <v>60</v>
      </c>
      <c r="F2107">
        <v>58.294692992999998</v>
      </c>
      <c r="G2107">
        <v>1390.2731934000001</v>
      </c>
      <c r="H2107">
        <v>1374.1389160000001</v>
      </c>
      <c r="I2107">
        <v>1289.3117675999999</v>
      </c>
      <c r="J2107">
        <v>1270.4912108999999</v>
      </c>
      <c r="K2107">
        <v>2750</v>
      </c>
      <c r="L2107">
        <v>0</v>
      </c>
      <c r="M2107">
        <v>0</v>
      </c>
      <c r="N2107">
        <v>2750</v>
      </c>
    </row>
    <row r="2108" spans="1:14" x14ac:dyDescent="0.25">
      <c r="A2108">
        <v>1483.6312800000001</v>
      </c>
      <c r="B2108" s="1">
        <f>DATE(2014,5,23) + TIME(15,9,2)</f>
        <v>41782.631273148145</v>
      </c>
      <c r="C2108">
        <v>80</v>
      </c>
      <c r="D2108">
        <v>79.966567992999998</v>
      </c>
      <c r="E2108">
        <v>60</v>
      </c>
      <c r="F2108">
        <v>58.257511139000002</v>
      </c>
      <c r="G2108">
        <v>1390.2181396000001</v>
      </c>
      <c r="H2108">
        <v>1374.0959473</v>
      </c>
      <c r="I2108">
        <v>1289.2969971</v>
      </c>
      <c r="J2108">
        <v>1270.4729004000001</v>
      </c>
      <c r="K2108">
        <v>2750</v>
      </c>
      <c r="L2108">
        <v>0</v>
      </c>
      <c r="M2108">
        <v>0</v>
      </c>
      <c r="N2108">
        <v>2750</v>
      </c>
    </row>
    <row r="2109" spans="1:14" x14ac:dyDescent="0.25">
      <c r="A2109">
        <v>1484.2210130000001</v>
      </c>
      <c r="B2109" s="1">
        <f>DATE(2014,5,24) + TIME(5,18,15)</f>
        <v>41783.221006944441</v>
      </c>
      <c r="C2109">
        <v>80</v>
      </c>
      <c r="D2109">
        <v>79.966560364000003</v>
      </c>
      <c r="E2109">
        <v>60</v>
      </c>
      <c r="F2109">
        <v>58.219776154000002</v>
      </c>
      <c r="G2109">
        <v>1390.1632079999999</v>
      </c>
      <c r="H2109">
        <v>1374.0529785000001</v>
      </c>
      <c r="I2109">
        <v>1289.2819824000001</v>
      </c>
      <c r="J2109">
        <v>1270.4541016000001</v>
      </c>
      <c r="K2109">
        <v>2750</v>
      </c>
      <c r="L2109">
        <v>0</v>
      </c>
      <c r="M2109">
        <v>0</v>
      </c>
      <c r="N2109">
        <v>2750</v>
      </c>
    </row>
    <row r="2110" spans="1:14" x14ac:dyDescent="0.25">
      <c r="A2110">
        <v>1484.8207279999999</v>
      </c>
      <c r="B2110" s="1">
        <f>DATE(2014,5,24) + TIME(19,41,50)</f>
        <v>41783.820717592593</v>
      </c>
      <c r="C2110">
        <v>80</v>
      </c>
      <c r="D2110">
        <v>79.966545104999994</v>
      </c>
      <c r="E2110">
        <v>60</v>
      </c>
      <c r="F2110">
        <v>58.181556702000002</v>
      </c>
      <c r="G2110">
        <v>1390.1081543</v>
      </c>
      <c r="H2110">
        <v>1374.0098877</v>
      </c>
      <c r="I2110">
        <v>1289.2664795000001</v>
      </c>
      <c r="J2110">
        <v>1270.4348144999999</v>
      </c>
      <c r="K2110">
        <v>2750</v>
      </c>
      <c r="L2110">
        <v>0</v>
      </c>
      <c r="M2110">
        <v>0</v>
      </c>
      <c r="N2110">
        <v>2750</v>
      </c>
    </row>
    <row r="2111" spans="1:14" x14ac:dyDescent="0.25">
      <c r="A2111">
        <v>1485.4303179999999</v>
      </c>
      <c r="B2111" s="1">
        <f>DATE(2014,5,25) + TIME(10,19,39)</f>
        <v>41784.430312500001</v>
      </c>
      <c r="C2111">
        <v>80</v>
      </c>
      <c r="D2111">
        <v>79.966537475999999</v>
      </c>
      <c r="E2111">
        <v>60</v>
      </c>
      <c r="F2111">
        <v>58.142883300999998</v>
      </c>
      <c r="G2111">
        <v>1390.0532227000001</v>
      </c>
      <c r="H2111">
        <v>1373.9667969</v>
      </c>
      <c r="I2111">
        <v>1289.2507324000001</v>
      </c>
      <c r="J2111">
        <v>1270.4151611</v>
      </c>
      <c r="K2111">
        <v>2750</v>
      </c>
      <c r="L2111">
        <v>0</v>
      </c>
      <c r="M2111">
        <v>0</v>
      </c>
      <c r="N2111">
        <v>2750</v>
      </c>
    </row>
    <row r="2112" spans="1:14" x14ac:dyDescent="0.25">
      <c r="A2112">
        <v>1486.0501790000001</v>
      </c>
      <c r="B2112" s="1">
        <f>DATE(2014,5,26) + TIME(1,12,15)</f>
        <v>41785.050173611111</v>
      </c>
      <c r="C2112">
        <v>80</v>
      </c>
      <c r="D2112">
        <v>79.966529846</v>
      </c>
      <c r="E2112">
        <v>60</v>
      </c>
      <c r="F2112">
        <v>58.103755950999997</v>
      </c>
      <c r="G2112">
        <v>1389.9985352000001</v>
      </c>
      <c r="H2112">
        <v>1373.9239502</v>
      </c>
      <c r="I2112">
        <v>1289.2344971</v>
      </c>
      <c r="J2112">
        <v>1270.3948975000001</v>
      </c>
      <c r="K2112">
        <v>2750</v>
      </c>
      <c r="L2112">
        <v>0</v>
      </c>
      <c r="M2112">
        <v>0</v>
      </c>
      <c r="N2112">
        <v>2750</v>
      </c>
    </row>
    <row r="2113" spans="1:14" x14ac:dyDescent="0.25">
      <c r="A2113">
        <v>1486.6813890000001</v>
      </c>
      <c r="B2113" s="1">
        <f>DATE(2014,5,26) + TIME(16,21,11)</f>
        <v>41785.681377314817</v>
      </c>
      <c r="C2113">
        <v>80</v>
      </c>
      <c r="D2113">
        <v>79.966514587000006</v>
      </c>
      <c r="E2113">
        <v>60</v>
      </c>
      <c r="F2113">
        <v>58.064151764000002</v>
      </c>
      <c r="G2113">
        <v>1389.9438477000001</v>
      </c>
      <c r="H2113">
        <v>1373.8812256000001</v>
      </c>
      <c r="I2113">
        <v>1289.2180175999999</v>
      </c>
      <c r="J2113">
        <v>1270.3742675999999</v>
      </c>
      <c r="K2113">
        <v>2750</v>
      </c>
      <c r="L2113">
        <v>0</v>
      </c>
      <c r="M2113">
        <v>0</v>
      </c>
      <c r="N2113">
        <v>2750</v>
      </c>
    </row>
    <row r="2114" spans="1:14" x14ac:dyDescent="0.25">
      <c r="A2114">
        <v>1487.3218340000001</v>
      </c>
      <c r="B2114" s="1">
        <f>DATE(2014,5,27) + TIME(7,43,26)</f>
        <v>41786.321828703702</v>
      </c>
      <c r="C2114">
        <v>80</v>
      </c>
      <c r="D2114">
        <v>79.966506957999997</v>
      </c>
      <c r="E2114">
        <v>60</v>
      </c>
      <c r="F2114">
        <v>58.024127960000001</v>
      </c>
      <c r="G2114">
        <v>1389.8894043</v>
      </c>
      <c r="H2114">
        <v>1373.838501</v>
      </c>
      <c r="I2114">
        <v>1289.2010498</v>
      </c>
      <c r="J2114">
        <v>1270.3531493999999</v>
      </c>
      <c r="K2114">
        <v>2750</v>
      </c>
      <c r="L2114">
        <v>0</v>
      </c>
      <c r="M2114">
        <v>0</v>
      </c>
      <c r="N2114">
        <v>2750</v>
      </c>
    </row>
    <row r="2115" spans="1:14" x14ac:dyDescent="0.25">
      <c r="A2115">
        <v>1487.9735459999999</v>
      </c>
      <c r="B2115" s="1">
        <f>DATE(2014,5,27) + TIME(23,21,54)</f>
        <v>41786.973541666666</v>
      </c>
      <c r="C2115">
        <v>80</v>
      </c>
      <c r="D2115">
        <v>79.966499329000001</v>
      </c>
      <c r="E2115">
        <v>60</v>
      </c>
      <c r="F2115">
        <v>57.983650208</v>
      </c>
      <c r="G2115">
        <v>1389.8350829999999</v>
      </c>
      <c r="H2115">
        <v>1373.7958983999999</v>
      </c>
      <c r="I2115">
        <v>1289.1838379000001</v>
      </c>
      <c r="J2115">
        <v>1270.331543</v>
      </c>
      <c r="K2115">
        <v>2750</v>
      </c>
      <c r="L2115">
        <v>0</v>
      </c>
      <c r="M2115">
        <v>0</v>
      </c>
      <c r="N2115">
        <v>2750</v>
      </c>
    </row>
    <row r="2116" spans="1:14" x14ac:dyDescent="0.25">
      <c r="A2116">
        <v>1488.6386440000001</v>
      </c>
      <c r="B2116" s="1">
        <f>DATE(2014,5,28) + TIME(15,19,38)</f>
        <v>41787.63863425926</v>
      </c>
      <c r="C2116">
        <v>80</v>
      </c>
      <c r="D2116">
        <v>79.966491699000002</v>
      </c>
      <c r="E2116">
        <v>60</v>
      </c>
      <c r="F2116">
        <v>57.942638397000003</v>
      </c>
      <c r="G2116">
        <v>1389.7808838000001</v>
      </c>
      <c r="H2116">
        <v>1373.753418</v>
      </c>
      <c r="I2116">
        <v>1289.1662598</v>
      </c>
      <c r="J2116">
        <v>1270.3094481999999</v>
      </c>
      <c r="K2116">
        <v>2750</v>
      </c>
      <c r="L2116">
        <v>0</v>
      </c>
      <c r="M2116">
        <v>0</v>
      </c>
      <c r="N2116">
        <v>2750</v>
      </c>
    </row>
    <row r="2117" spans="1:14" x14ac:dyDescent="0.25">
      <c r="A2117">
        <v>1489.31942</v>
      </c>
      <c r="B2117" s="1">
        <f>DATE(2014,5,29) + TIME(7,39,57)</f>
        <v>41788.319409722222</v>
      </c>
      <c r="C2117">
        <v>80</v>
      </c>
      <c r="D2117">
        <v>79.966476439999994</v>
      </c>
      <c r="E2117">
        <v>60</v>
      </c>
      <c r="F2117">
        <v>57.900985718000001</v>
      </c>
      <c r="G2117">
        <v>1389.7265625</v>
      </c>
      <c r="H2117">
        <v>1373.7106934000001</v>
      </c>
      <c r="I2117">
        <v>1289.1480713000001</v>
      </c>
      <c r="J2117">
        <v>1270.2866211</v>
      </c>
      <c r="K2117">
        <v>2750</v>
      </c>
      <c r="L2117">
        <v>0</v>
      </c>
      <c r="M2117">
        <v>0</v>
      </c>
      <c r="N2117">
        <v>2750</v>
      </c>
    </row>
    <row r="2118" spans="1:14" x14ac:dyDescent="0.25">
      <c r="A2118">
        <v>1490.0185409999999</v>
      </c>
      <c r="B2118" s="1">
        <f>DATE(2014,5,30) + TIME(0,26,41)</f>
        <v>41789.018530092595</v>
      </c>
      <c r="C2118">
        <v>80</v>
      </c>
      <c r="D2118">
        <v>79.966468810999999</v>
      </c>
      <c r="E2118">
        <v>60</v>
      </c>
      <c r="F2118">
        <v>57.858573913999997</v>
      </c>
      <c r="G2118">
        <v>1389.6719971</v>
      </c>
      <c r="H2118">
        <v>1373.6678466999999</v>
      </c>
      <c r="I2118">
        <v>1289.1293945</v>
      </c>
      <c r="J2118">
        <v>1270.2631836</v>
      </c>
      <c r="K2118">
        <v>2750</v>
      </c>
      <c r="L2118">
        <v>0</v>
      </c>
      <c r="M2118">
        <v>0</v>
      </c>
      <c r="N2118">
        <v>2750</v>
      </c>
    </row>
    <row r="2119" spans="1:14" x14ac:dyDescent="0.25">
      <c r="A2119">
        <v>1490.7358690000001</v>
      </c>
      <c r="B2119" s="1">
        <f>DATE(2014,5,30) + TIME(17,39,39)</f>
        <v>41789.735868055555</v>
      </c>
      <c r="C2119">
        <v>80</v>
      </c>
      <c r="D2119">
        <v>79.966461182000003</v>
      </c>
      <c r="E2119">
        <v>60</v>
      </c>
      <c r="F2119">
        <v>57.815345764</v>
      </c>
      <c r="G2119">
        <v>1389.6169434000001</v>
      </c>
      <c r="H2119">
        <v>1373.6246338000001</v>
      </c>
      <c r="I2119">
        <v>1289.1101074000001</v>
      </c>
      <c r="J2119">
        <v>1270.2388916</v>
      </c>
      <c r="K2119">
        <v>2750</v>
      </c>
      <c r="L2119">
        <v>0</v>
      </c>
      <c r="M2119">
        <v>0</v>
      </c>
      <c r="N2119">
        <v>2750</v>
      </c>
    </row>
    <row r="2120" spans="1:14" x14ac:dyDescent="0.25">
      <c r="A2120">
        <v>1491.45938</v>
      </c>
      <c r="B2120" s="1">
        <f>DATE(2014,5,31) + TIME(11,1,30)</f>
        <v>41790.459374999999</v>
      </c>
      <c r="C2120">
        <v>80</v>
      </c>
      <c r="D2120">
        <v>79.966453552000004</v>
      </c>
      <c r="E2120">
        <v>60</v>
      </c>
      <c r="F2120">
        <v>57.771648407000001</v>
      </c>
      <c r="G2120">
        <v>1389.5615233999999</v>
      </c>
      <c r="H2120">
        <v>1373.5810547000001</v>
      </c>
      <c r="I2120">
        <v>1289.0900879000001</v>
      </c>
      <c r="J2120">
        <v>1270.2137451000001</v>
      </c>
      <c r="K2120">
        <v>2750</v>
      </c>
      <c r="L2120">
        <v>0</v>
      </c>
      <c r="M2120">
        <v>0</v>
      </c>
      <c r="N2120">
        <v>2750</v>
      </c>
    </row>
    <row r="2121" spans="1:14" x14ac:dyDescent="0.25">
      <c r="A2121">
        <v>1492</v>
      </c>
      <c r="B2121" s="1">
        <f>DATE(2014,6,1) + TIME(0,0,0)</f>
        <v>41791</v>
      </c>
      <c r="C2121">
        <v>80</v>
      </c>
      <c r="D2121">
        <v>79.966445922999995</v>
      </c>
      <c r="E2121">
        <v>60</v>
      </c>
      <c r="F2121">
        <v>57.734264373999999</v>
      </c>
      <c r="G2121">
        <v>1389.5067139</v>
      </c>
      <c r="H2121">
        <v>1373.5378418</v>
      </c>
      <c r="I2121">
        <v>1289.0692139</v>
      </c>
      <c r="J2121">
        <v>1270.1887207</v>
      </c>
      <c r="K2121">
        <v>2750</v>
      </c>
      <c r="L2121">
        <v>0</v>
      </c>
      <c r="M2121">
        <v>0</v>
      </c>
      <c r="N2121">
        <v>2750</v>
      </c>
    </row>
    <row r="2122" spans="1:14" x14ac:dyDescent="0.25">
      <c r="A2122">
        <v>1492.7322099999999</v>
      </c>
      <c r="B2122" s="1">
        <f>DATE(2014,6,1) + TIME(17,34,22)</f>
        <v>41791.732199074075</v>
      </c>
      <c r="C2122">
        <v>80</v>
      </c>
      <c r="D2122">
        <v>79.966438292999996</v>
      </c>
      <c r="E2122">
        <v>60</v>
      </c>
      <c r="F2122">
        <v>57.692531586000001</v>
      </c>
      <c r="G2122">
        <v>1389.4663086</v>
      </c>
      <c r="H2122">
        <v>1373.5059814000001</v>
      </c>
      <c r="I2122">
        <v>1289.0545654</v>
      </c>
      <c r="J2122">
        <v>1270.1683350000001</v>
      </c>
      <c r="K2122">
        <v>2750</v>
      </c>
      <c r="L2122">
        <v>0</v>
      </c>
      <c r="M2122">
        <v>0</v>
      </c>
      <c r="N2122">
        <v>2750</v>
      </c>
    </row>
    <row r="2123" spans="1:14" x14ac:dyDescent="0.25">
      <c r="A2123">
        <v>1493.4814280000001</v>
      </c>
      <c r="B2123" s="1">
        <f>DATE(2014,6,2) + TIME(11,33,15)</f>
        <v>41792.481423611112</v>
      </c>
      <c r="C2123">
        <v>80</v>
      </c>
      <c r="D2123">
        <v>79.966430664000001</v>
      </c>
      <c r="E2123">
        <v>60</v>
      </c>
      <c r="F2123">
        <v>57.649162292</v>
      </c>
      <c r="G2123">
        <v>1389.4125977000001</v>
      </c>
      <c r="H2123">
        <v>1373.4636230000001</v>
      </c>
      <c r="I2123">
        <v>1289.0336914</v>
      </c>
      <c r="J2123">
        <v>1270.1422118999999</v>
      </c>
      <c r="K2123">
        <v>2750</v>
      </c>
      <c r="L2123">
        <v>0</v>
      </c>
      <c r="M2123">
        <v>0</v>
      </c>
      <c r="N2123">
        <v>2750</v>
      </c>
    </row>
    <row r="2124" spans="1:14" x14ac:dyDescent="0.25">
      <c r="A2124">
        <v>1494.242904</v>
      </c>
      <c r="B2124" s="1">
        <f>DATE(2014,6,3) + TIME(5,49,46)</f>
        <v>41793.242893518516</v>
      </c>
      <c r="C2124">
        <v>80</v>
      </c>
      <c r="D2124">
        <v>79.966423035000005</v>
      </c>
      <c r="E2124">
        <v>60</v>
      </c>
      <c r="F2124">
        <v>57.604717254999997</v>
      </c>
      <c r="G2124">
        <v>1389.3585204999999</v>
      </c>
      <c r="H2124">
        <v>1373.4210204999999</v>
      </c>
      <c r="I2124">
        <v>1289.012207</v>
      </c>
      <c r="J2124">
        <v>1270.1149902</v>
      </c>
      <c r="K2124">
        <v>2750</v>
      </c>
      <c r="L2124">
        <v>0</v>
      </c>
      <c r="M2124">
        <v>0</v>
      </c>
      <c r="N2124">
        <v>2750</v>
      </c>
    </row>
    <row r="2125" spans="1:14" x14ac:dyDescent="0.25">
      <c r="A2125">
        <v>1495.0145259999999</v>
      </c>
      <c r="B2125" s="1">
        <f>DATE(2014,6,4) + TIME(0,20,55)</f>
        <v>41794.014525462961</v>
      </c>
      <c r="C2125">
        <v>80</v>
      </c>
      <c r="D2125">
        <v>79.966423035000005</v>
      </c>
      <c r="E2125">
        <v>60</v>
      </c>
      <c r="F2125">
        <v>57.559555054</v>
      </c>
      <c r="G2125">
        <v>1389.3044434000001</v>
      </c>
      <c r="H2125">
        <v>1373.3782959</v>
      </c>
      <c r="I2125">
        <v>1288.9901123</v>
      </c>
      <c r="J2125">
        <v>1270.0871582</v>
      </c>
      <c r="K2125">
        <v>2750</v>
      </c>
      <c r="L2125">
        <v>0</v>
      </c>
      <c r="M2125">
        <v>0</v>
      </c>
      <c r="N2125">
        <v>2750</v>
      </c>
    </row>
    <row r="2126" spans="1:14" x14ac:dyDescent="0.25">
      <c r="A2126">
        <v>1495.797043</v>
      </c>
      <c r="B2126" s="1">
        <f>DATE(2014,6,4) + TIME(19,7,44)</f>
        <v>41794.797037037039</v>
      </c>
      <c r="C2126">
        <v>80</v>
      </c>
      <c r="D2126">
        <v>79.966415405000006</v>
      </c>
      <c r="E2126">
        <v>60</v>
      </c>
      <c r="F2126">
        <v>57.513839722</v>
      </c>
      <c r="G2126">
        <v>1389.2506103999999</v>
      </c>
      <c r="H2126">
        <v>1373.3358154</v>
      </c>
      <c r="I2126">
        <v>1288.9675293</v>
      </c>
      <c r="J2126">
        <v>1270.0584716999999</v>
      </c>
      <c r="K2126">
        <v>2750</v>
      </c>
      <c r="L2126">
        <v>0</v>
      </c>
      <c r="M2126">
        <v>0</v>
      </c>
      <c r="N2126">
        <v>2750</v>
      </c>
    </row>
    <row r="2127" spans="1:14" x14ac:dyDescent="0.25">
      <c r="A2127">
        <v>1496.592977</v>
      </c>
      <c r="B2127" s="1">
        <f>DATE(2014,6,5) + TIME(14,13,53)</f>
        <v>41795.592974537038</v>
      </c>
      <c r="C2127">
        <v>80</v>
      </c>
      <c r="D2127">
        <v>79.966407775999997</v>
      </c>
      <c r="E2127">
        <v>60</v>
      </c>
      <c r="F2127">
        <v>57.467582702999998</v>
      </c>
      <c r="G2127">
        <v>1389.1970214999999</v>
      </c>
      <c r="H2127">
        <v>1373.2933350000001</v>
      </c>
      <c r="I2127">
        <v>1288.9444579999999</v>
      </c>
      <c r="J2127">
        <v>1270.0290527</v>
      </c>
      <c r="K2127">
        <v>2750</v>
      </c>
      <c r="L2127">
        <v>0</v>
      </c>
      <c r="M2127">
        <v>0</v>
      </c>
      <c r="N2127">
        <v>2750</v>
      </c>
    </row>
    <row r="2128" spans="1:14" x14ac:dyDescent="0.25">
      <c r="A2128">
        <v>1497.405006</v>
      </c>
      <c r="B2128" s="1">
        <f>DATE(2014,6,6) + TIME(9,43,12)</f>
        <v>41796.404999999999</v>
      </c>
      <c r="C2128">
        <v>80</v>
      </c>
      <c r="D2128">
        <v>79.966400145999998</v>
      </c>
      <c r="E2128">
        <v>60</v>
      </c>
      <c r="F2128">
        <v>57.420715332</v>
      </c>
      <c r="G2128">
        <v>1389.1433105000001</v>
      </c>
      <c r="H2128">
        <v>1373.2509766000001</v>
      </c>
      <c r="I2128">
        <v>1288.9207764</v>
      </c>
      <c r="J2128">
        <v>1269.9987793</v>
      </c>
      <c r="K2128">
        <v>2750</v>
      </c>
      <c r="L2128">
        <v>0</v>
      </c>
      <c r="M2128">
        <v>0</v>
      </c>
      <c r="N2128">
        <v>2750</v>
      </c>
    </row>
    <row r="2129" spans="1:14" x14ac:dyDescent="0.25">
      <c r="A2129">
        <v>1498.23605</v>
      </c>
      <c r="B2129" s="1">
        <f>DATE(2014,6,7) + TIME(5,39,54)</f>
        <v>41797.236041666663</v>
      </c>
      <c r="C2129">
        <v>80</v>
      </c>
      <c r="D2129">
        <v>79.966400145999998</v>
      </c>
      <c r="E2129">
        <v>60</v>
      </c>
      <c r="F2129">
        <v>57.373126984000002</v>
      </c>
      <c r="G2129">
        <v>1389.0894774999999</v>
      </c>
      <c r="H2129">
        <v>1373.2082519999999</v>
      </c>
      <c r="I2129">
        <v>1288.8963623</v>
      </c>
      <c r="J2129">
        <v>1269.9675293</v>
      </c>
      <c r="K2129">
        <v>2750</v>
      </c>
      <c r="L2129">
        <v>0</v>
      </c>
      <c r="M2129">
        <v>0</v>
      </c>
      <c r="N2129">
        <v>2750</v>
      </c>
    </row>
    <row r="2130" spans="1:14" x14ac:dyDescent="0.25">
      <c r="A2130">
        <v>1499.089806</v>
      </c>
      <c r="B2130" s="1">
        <f>DATE(2014,6,8) + TIME(2,9,19)</f>
        <v>41798.089803240742</v>
      </c>
      <c r="C2130">
        <v>80</v>
      </c>
      <c r="D2130">
        <v>79.966392517000003</v>
      </c>
      <c r="E2130">
        <v>60</v>
      </c>
      <c r="F2130">
        <v>57.324661255000002</v>
      </c>
      <c r="G2130">
        <v>1389.0354004000001</v>
      </c>
      <c r="H2130">
        <v>1373.1654053</v>
      </c>
      <c r="I2130">
        <v>1288.8712158000001</v>
      </c>
      <c r="J2130">
        <v>1269.9351807</v>
      </c>
      <c r="K2130">
        <v>2750</v>
      </c>
      <c r="L2130">
        <v>0</v>
      </c>
      <c r="M2130">
        <v>0</v>
      </c>
      <c r="N2130">
        <v>2750</v>
      </c>
    </row>
    <row r="2131" spans="1:14" x14ac:dyDescent="0.25">
      <c r="A2131">
        <v>1499.954909</v>
      </c>
      <c r="B2131" s="1">
        <f>DATE(2014,6,8) + TIME(22,55,4)</f>
        <v>41798.954907407409</v>
      </c>
      <c r="C2131">
        <v>80</v>
      </c>
      <c r="D2131">
        <v>79.966392517000003</v>
      </c>
      <c r="E2131">
        <v>60</v>
      </c>
      <c r="F2131">
        <v>57.275535583</v>
      </c>
      <c r="G2131">
        <v>1388.9807129000001</v>
      </c>
      <c r="H2131">
        <v>1373.1219481999999</v>
      </c>
      <c r="I2131">
        <v>1288.8449707</v>
      </c>
      <c r="J2131">
        <v>1269.9014893000001</v>
      </c>
      <c r="K2131">
        <v>2750</v>
      </c>
      <c r="L2131">
        <v>0</v>
      </c>
      <c r="M2131">
        <v>0</v>
      </c>
      <c r="N2131">
        <v>2750</v>
      </c>
    </row>
    <row r="2132" spans="1:14" x14ac:dyDescent="0.25">
      <c r="A2132">
        <v>1500.8301429999999</v>
      </c>
      <c r="B2132" s="1">
        <f>DATE(2014,6,9) + TIME(19,55,24)</f>
        <v>41799.830138888887</v>
      </c>
      <c r="C2132">
        <v>80</v>
      </c>
      <c r="D2132">
        <v>79.966384887999993</v>
      </c>
      <c r="E2132">
        <v>60</v>
      </c>
      <c r="F2132">
        <v>57.225925445999998</v>
      </c>
      <c r="G2132">
        <v>1388.9261475000001</v>
      </c>
      <c r="H2132">
        <v>1373.0786132999999</v>
      </c>
      <c r="I2132">
        <v>1288.8181152</v>
      </c>
      <c r="J2132">
        <v>1269.8669434000001</v>
      </c>
      <c r="K2132">
        <v>2750</v>
      </c>
      <c r="L2132">
        <v>0</v>
      </c>
      <c r="M2132">
        <v>0</v>
      </c>
      <c r="N2132">
        <v>2750</v>
      </c>
    </row>
    <row r="2133" spans="1:14" x14ac:dyDescent="0.25">
      <c r="A2133">
        <v>1501.7186139999999</v>
      </c>
      <c r="B2133" s="1">
        <f>DATE(2014,6,10) + TIME(17,14,48)</f>
        <v>41800.718611111108</v>
      </c>
      <c r="C2133">
        <v>80</v>
      </c>
      <c r="D2133">
        <v>79.966384887999993</v>
      </c>
      <c r="E2133">
        <v>60</v>
      </c>
      <c r="F2133">
        <v>57.175849915000001</v>
      </c>
      <c r="G2133">
        <v>1388.8719481999999</v>
      </c>
      <c r="H2133">
        <v>1373.0354004000001</v>
      </c>
      <c r="I2133">
        <v>1288.7906493999999</v>
      </c>
      <c r="J2133">
        <v>1269.8314209</v>
      </c>
      <c r="K2133">
        <v>2750</v>
      </c>
      <c r="L2133">
        <v>0</v>
      </c>
      <c r="M2133">
        <v>0</v>
      </c>
      <c r="N2133">
        <v>2750</v>
      </c>
    </row>
    <row r="2134" spans="1:14" x14ac:dyDescent="0.25">
      <c r="A2134">
        <v>1502.6220189999999</v>
      </c>
      <c r="B2134" s="1">
        <f>DATE(2014,6,11) + TIME(14,55,42)</f>
        <v>41801.622013888889</v>
      </c>
      <c r="C2134">
        <v>80</v>
      </c>
      <c r="D2134">
        <v>79.966377257999994</v>
      </c>
      <c r="E2134">
        <v>60</v>
      </c>
      <c r="F2134">
        <v>57.125251769999998</v>
      </c>
      <c r="G2134">
        <v>1388.817749</v>
      </c>
      <c r="H2134">
        <v>1372.9923096</v>
      </c>
      <c r="I2134">
        <v>1288.7623291</v>
      </c>
      <c r="J2134">
        <v>1269.7949219</v>
      </c>
      <c r="K2134">
        <v>2750</v>
      </c>
      <c r="L2134">
        <v>0</v>
      </c>
      <c r="M2134">
        <v>0</v>
      </c>
      <c r="N2134">
        <v>2750</v>
      </c>
    </row>
    <row r="2135" spans="1:14" x14ac:dyDescent="0.25">
      <c r="A2135">
        <v>1503.5368639999999</v>
      </c>
      <c r="B2135" s="1">
        <f>DATE(2014,6,12) + TIME(12,53,5)</f>
        <v>41802.536863425928</v>
      </c>
      <c r="C2135">
        <v>80</v>
      </c>
      <c r="D2135">
        <v>79.966377257999994</v>
      </c>
      <c r="E2135">
        <v>60</v>
      </c>
      <c r="F2135">
        <v>57.074192046999997</v>
      </c>
      <c r="G2135">
        <v>1388.7635498</v>
      </c>
      <c r="H2135">
        <v>1372.9490966999999</v>
      </c>
      <c r="I2135">
        <v>1288.7332764</v>
      </c>
      <c r="J2135">
        <v>1269.7572021000001</v>
      </c>
      <c r="K2135">
        <v>2750</v>
      </c>
      <c r="L2135">
        <v>0</v>
      </c>
      <c r="M2135">
        <v>0</v>
      </c>
      <c r="N2135">
        <v>2750</v>
      </c>
    </row>
    <row r="2136" spans="1:14" x14ac:dyDescent="0.25">
      <c r="A2136">
        <v>1504.466148</v>
      </c>
      <c r="B2136" s="1">
        <f>DATE(2014,6,13) + TIME(11,11,15)</f>
        <v>41803.466145833336</v>
      </c>
      <c r="C2136">
        <v>80</v>
      </c>
      <c r="D2136">
        <v>79.966377257999994</v>
      </c>
      <c r="E2136">
        <v>60</v>
      </c>
      <c r="F2136">
        <v>57.022640228</v>
      </c>
      <c r="G2136">
        <v>1388.7095947</v>
      </c>
      <c r="H2136">
        <v>1372.9060059000001</v>
      </c>
      <c r="I2136">
        <v>1288.7034911999999</v>
      </c>
      <c r="J2136">
        <v>1269.7183838000001</v>
      </c>
      <c r="K2136">
        <v>2750</v>
      </c>
      <c r="L2136">
        <v>0</v>
      </c>
      <c r="M2136">
        <v>0</v>
      </c>
      <c r="N2136">
        <v>2750</v>
      </c>
    </row>
    <row r="2137" spans="1:14" x14ac:dyDescent="0.25">
      <c r="A2137">
        <v>1505.411781</v>
      </c>
      <c r="B2137" s="1">
        <f>DATE(2014,6,14) + TIME(9,52,57)</f>
        <v>41804.411770833336</v>
      </c>
      <c r="C2137">
        <v>80</v>
      </c>
      <c r="D2137">
        <v>79.966369628999999</v>
      </c>
      <c r="E2137">
        <v>60</v>
      </c>
      <c r="F2137">
        <v>56.970523833999998</v>
      </c>
      <c r="G2137">
        <v>1388.6556396000001</v>
      </c>
      <c r="H2137">
        <v>1372.8629149999999</v>
      </c>
      <c r="I2137">
        <v>1288.6728516000001</v>
      </c>
      <c r="J2137">
        <v>1269.6784668</v>
      </c>
      <c r="K2137">
        <v>2750</v>
      </c>
      <c r="L2137">
        <v>0</v>
      </c>
      <c r="M2137">
        <v>0</v>
      </c>
      <c r="N2137">
        <v>2750</v>
      </c>
    </row>
    <row r="2138" spans="1:14" x14ac:dyDescent="0.25">
      <c r="A2138">
        <v>1506.3706649999999</v>
      </c>
      <c r="B2138" s="1">
        <f>DATE(2014,6,15) + TIME(8,53,45)</f>
        <v>41805.370659722219</v>
      </c>
      <c r="C2138">
        <v>80</v>
      </c>
      <c r="D2138">
        <v>79.966369628999999</v>
      </c>
      <c r="E2138">
        <v>60</v>
      </c>
      <c r="F2138">
        <v>56.917873383</v>
      </c>
      <c r="G2138">
        <v>1388.6015625</v>
      </c>
      <c r="H2138">
        <v>1372.8195800999999</v>
      </c>
      <c r="I2138">
        <v>1288.6412353999999</v>
      </c>
      <c r="J2138">
        <v>1269.6370850000001</v>
      </c>
      <c r="K2138">
        <v>2750</v>
      </c>
      <c r="L2138">
        <v>0</v>
      </c>
      <c r="M2138">
        <v>0</v>
      </c>
      <c r="N2138">
        <v>2750</v>
      </c>
    </row>
    <row r="2139" spans="1:14" x14ac:dyDescent="0.25">
      <c r="A2139">
        <v>1507.3455289999999</v>
      </c>
      <c r="B2139" s="1">
        <f>DATE(2014,6,16) + TIME(8,17,33)</f>
        <v>41806.345520833333</v>
      </c>
      <c r="C2139">
        <v>80</v>
      </c>
      <c r="D2139">
        <v>79.966369628999999</v>
      </c>
      <c r="E2139">
        <v>60</v>
      </c>
      <c r="F2139">
        <v>56.864654541</v>
      </c>
      <c r="G2139">
        <v>1388.5476074000001</v>
      </c>
      <c r="H2139">
        <v>1372.7763672000001</v>
      </c>
      <c r="I2139">
        <v>1288.6087646000001</v>
      </c>
      <c r="J2139">
        <v>1269.5944824000001</v>
      </c>
      <c r="K2139">
        <v>2750</v>
      </c>
      <c r="L2139">
        <v>0</v>
      </c>
      <c r="M2139">
        <v>0</v>
      </c>
      <c r="N2139">
        <v>2750</v>
      </c>
    </row>
    <row r="2140" spans="1:14" x14ac:dyDescent="0.25">
      <c r="A2140">
        <v>1508.339201</v>
      </c>
      <c r="B2140" s="1">
        <f>DATE(2014,6,17) + TIME(8,8,26)</f>
        <v>41807.339189814818</v>
      </c>
      <c r="C2140">
        <v>80</v>
      </c>
      <c r="D2140">
        <v>79.966369628999999</v>
      </c>
      <c r="E2140">
        <v>60</v>
      </c>
      <c r="F2140">
        <v>56.810771942000002</v>
      </c>
      <c r="G2140">
        <v>1388.4935303</v>
      </c>
      <c r="H2140">
        <v>1372.7330322</v>
      </c>
      <c r="I2140">
        <v>1288.5753173999999</v>
      </c>
      <c r="J2140">
        <v>1269.5504149999999</v>
      </c>
      <c r="K2140">
        <v>2750</v>
      </c>
      <c r="L2140">
        <v>0</v>
      </c>
      <c r="M2140">
        <v>0</v>
      </c>
      <c r="N2140">
        <v>2750</v>
      </c>
    </row>
    <row r="2141" spans="1:14" x14ac:dyDescent="0.25">
      <c r="A2141">
        <v>1509.354689</v>
      </c>
      <c r="B2141" s="1">
        <f>DATE(2014,6,18) + TIME(8,30,45)</f>
        <v>41808.354687500003</v>
      </c>
      <c r="C2141">
        <v>80</v>
      </c>
      <c r="D2141">
        <v>79.966369628999999</v>
      </c>
      <c r="E2141">
        <v>60</v>
      </c>
      <c r="F2141">
        <v>56.756095885999997</v>
      </c>
      <c r="G2141">
        <v>1388.4393310999999</v>
      </c>
      <c r="H2141">
        <v>1372.6895752</v>
      </c>
      <c r="I2141">
        <v>1288.5407714999999</v>
      </c>
      <c r="J2141">
        <v>1269.5047606999999</v>
      </c>
      <c r="K2141">
        <v>2750</v>
      </c>
      <c r="L2141">
        <v>0</v>
      </c>
      <c r="M2141">
        <v>0</v>
      </c>
      <c r="N2141">
        <v>2750</v>
      </c>
    </row>
    <row r="2142" spans="1:14" x14ac:dyDescent="0.25">
      <c r="A2142">
        <v>1510.3746060000001</v>
      </c>
      <c r="B2142" s="1">
        <f>DATE(2014,6,19) + TIME(8,59,25)</f>
        <v>41809.374594907407</v>
      </c>
      <c r="C2142">
        <v>80</v>
      </c>
      <c r="D2142">
        <v>79.966369628999999</v>
      </c>
      <c r="E2142">
        <v>60</v>
      </c>
      <c r="F2142">
        <v>56.700942992999998</v>
      </c>
      <c r="G2142">
        <v>1388.3847656</v>
      </c>
      <c r="H2142">
        <v>1372.6456298999999</v>
      </c>
      <c r="I2142">
        <v>1288.5048827999999</v>
      </c>
      <c r="J2142">
        <v>1269.4573975000001</v>
      </c>
      <c r="K2142">
        <v>2750</v>
      </c>
      <c r="L2142">
        <v>0</v>
      </c>
      <c r="M2142">
        <v>0</v>
      </c>
      <c r="N2142">
        <v>2750</v>
      </c>
    </row>
    <row r="2143" spans="1:14" x14ac:dyDescent="0.25">
      <c r="A2143">
        <v>1511.4018490000001</v>
      </c>
      <c r="B2143" s="1">
        <f>DATE(2014,6,20) + TIME(9,38,39)</f>
        <v>41810.40184027778</v>
      </c>
      <c r="C2143">
        <v>80</v>
      </c>
      <c r="D2143">
        <v>79.966369628999999</v>
      </c>
      <c r="E2143">
        <v>60</v>
      </c>
      <c r="F2143">
        <v>56.645519256999997</v>
      </c>
      <c r="G2143">
        <v>1388.3308105000001</v>
      </c>
      <c r="H2143">
        <v>1372.6021728999999</v>
      </c>
      <c r="I2143">
        <v>1288.4683838000001</v>
      </c>
      <c r="J2143">
        <v>1269.4088135</v>
      </c>
      <c r="K2143">
        <v>2750</v>
      </c>
      <c r="L2143">
        <v>0</v>
      </c>
      <c r="M2143">
        <v>0</v>
      </c>
      <c r="N2143">
        <v>2750</v>
      </c>
    </row>
    <row r="2144" spans="1:14" x14ac:dyDescent="0.25">
      <c r="A2144">
        <v>1512.4396670000001</v>
      </c>
      <c r="B2144" s="1">
        <f>DATE(2014,6,21) + TIME(10,33,7)</f>
        <v>41811.439664351848</v>
      </c>
      <c r="C2144">
        <v>80</v>
      </c>
      <c r="D2144">
        <v>79.966369628999999</v>
      </c>
      <c r="E2144">
        <v>60</v>
      </c>
      <c r="F2144">
        <v>56.589817046999997</v>
      </c>
      <c r="G2144">
        <v>1388.2773437999999</v>
      </c>
      <c r="H2144">
        <v>1372.559082</v>
      </c>
      <c r="I2144">
        <v>1288.4310303</v>
      </c>
      <c r="J2144">
        <v>1269.3591309000001</v>
      </c>
      <c r="K2144">
        <v>2750</v>
      </c>
      <c r="L2144">
        <v>0</v>
      </c>
      <c r="M2144">
        <v>0</v>
      </c>
      <c r="N2144">
        <v>2750</v>
      </c>
    </row>
    <row r="2145" spans="1:14" x14ac:dyDescent="0.25">
      <c r="A2145">
        <v>1513.4913899999999</v>
      </c>
      <c r="B2145" s="1">
        <f>DATE(2014,6,22) + TIME(11,47,36)</f>
        <v>41812.491388888891</v>
      </c>
      <c r="C2145">
        <v>80</v>
      </c>
      <c r="D2145">
        <v>79.966369628999999</v>
      </c>
      <c r="E2145">
        <v>60</v>
      </c>
      <c r="F2145">
        <v>56.533721923999998</v>
      </c>
      <c r="G2145">
        <v>1388.223999</v>
      </c>
      <c r="H2145">
        <v>1372.5161132999999</v>
      </c>
      <c r="I2145">
        <v>1288.3927002</v>
      </c>
      <c r="J2145">
        <v>1269.3078613</v>
      </c>
      <c r="K2145">
        <v>2750</v>
      </c>
      <c r="L2145">
        <v>0</v>
      </c>
      <c r="M2145">
        <v>0</v>
      </c>
      <c r="N2145">
        <v>2750</v>
      </c>
    </row>
    <row r="2146" spans="1:14" x14ac:dyDescent="0.25">
      <c r="A2146">
        <v>1514.560473</v>
      </c>
      <c r="B2146" s="1">
        <f>DATE(2014,6,23) + TIME(13,27,4)</f>
        <v>41813.56046296296</v>
      </c>
      <c r="C2146">
        <v>80</v>
      </c>
      <c r="D2146">
        <v>79.966369628999999</v>
      </c>
      <c r="E2146">
        <v>60</v>
      </c>
      <c r="F2146">
        <v>56.477085113999998</v>
      </c>
      <c r="G2146">
        <v>1388.1707764</v>
      </c>
      <c r="H2146">
        <v>1372.4730225000001</v>
      </c>
      <c r="I2146">
        <v>1288.3532714999999</v>
      </c>
      <c r="J2146">
        <v>1269.2550048999999</v>
      </c>
      <c r="K2146">
        <v>2750</v>
      </c>
      <c r="L2146">
        <v>0</v>
      </c>
      <c r="M2146">
        <v>0</v>
      </c>
      <c r="N2146">
        <v>2750</v>
      </c>
    </row>
    <row r="2147" spans="1:14" x14ac:dyDescent="0.25">
      <c r="A2147">
        <v>1515.650568</v>
      </c>
      <c r="B2147" s="1">
        <f>DATE(2014,6,24) + TIME(15,36,49)</f>
        <v>41814.650567129633</v>
      </c>
      <c r="C2147">
        <v>80</v>
      </c>
      <c r="D2147">
        <v>79.966377257999994</v>
      </c>
      <c r="E2147">
        <v>60</v>
      </c>
      <c r="F2147">
        <v>56.419727324999997</v>
      </c>
      <c r="G2147">
        <v>1388.1175536999999</v>
      </c>
      <c r="H2147">
        <v>1372.4299315999999</v>
      </c>
      <c r="I2147">
        <v>1288.3126221</v>
      </c>
      <c r="J2147">
        <v>1269.2003173999999</v>
      </c>
      <c r="K2147">
        <v>2750</v>
      </c>
      <c r="L2147">
        <v>0</v>
      </c>
      <c r="M2147">
        <v>0</v>
      </c>
      <c r="N2147">
        <v>2750</v>
      </c>
    </row>
    <row r="2148" spans="1:14" x14ac:dyDescent="0.25">
      <c r="A2148">
        <v>1516.7662419999999</v>
      </c>
      <c r="B2148" s="1">
        <f>DATE(2014,6,25) + TIME(18,23,23)</f>
        <v>41815.766238425924</v>
      </c>
      <c r="C2148">
        <v>80</v>
      </c>
      <c r="D2148">
        <v>79.966377257999994</v>
      </c>
      <c r="E2148">
        <v>60</v>
      </c>
      <c r="F2148">
        <v>56.361442566000001</v>
      </c>
      <c r="G2148">
        <v>1388.0639647999999</v>
      </c>
      <c r="H2148">
        <v>1372.3865966999999</v>
      </c>
      <c r="I2148">
        <v>1288.2705077999999</v>
      </c>
      <c r="J2148">
        <v>1269.1435547000001</v>
      </c>
      <c r="K2148">
        <v>2750</v>
      </c>
      <c r="L2148">
        <v>0</v>
      </c>
      <c r="M2148">
        <v>0</v>
      </c>
      <c r="N2148">
        <v>2750</v>
      </c>
    </row>
    <row r="2149" spans="1:14" x14ac:dyDescent="0.25">
      <c r="A2149">
        <v>1517.9115420000001</v>
      </c>
      <c r="B2149" s="1">
        <f>DATE(2014,6,26) + TIME(21,52,37)</f>
        <v>41816.911539351851</v>
      </c>
      <c r="C2149">
        <v>80</v>
      </c>
      <c r="D2149">
        <v>79.966384887999993</v>
      </c>
      <c r="E2149">
        <v>60</v>
      </c>
      <c r="F2149">
        <v>56.302017212000003</v>
      </c>
      <c r="G2149">
        <v>1388.0100098</v>
      </c>
      <c r="H2149">
        <v>1372.3426514</v>
      </c>
      <c r="I2149">
        <v>1288.2268065999999</v>
      </c>
      <c r="J2149">
        <v>1269.0843506000001</v>
      </c>
      <c r="K2149">
        <v>2750</v>
      </c>
      <c r="L2149">
        <v>0</v>
      </c>
      <c r="M2149">
        <v>0</v>
      </c>
      <c r="N2149">
        <v>2750</v>
      </c>
    </row>
    <row r="2150" spans="1:14" x14ac:dyDescent="0.25">
      <c r="A2150">
        <v>1519.074388</v>
      </c>
      <c r="B2150" s="1">
        <f>DATE(2014,6,28) + TIME(1,47,7)</f>
        <v>41818.074386574073</v>
      </c>
      <c r="C2150">
        <v>80</v>
      </c>
      <c r="D2150">
        <v>79.966384887999993</v>
      </c>
      <c r="E2150">
        <v>60</v>
      </c>
      <c r="F2150">
        <v>56.241565704000003</v>
      </c>
      <c r="G2150">
        <v>1387.9553223</v>
      </c>
      <c r="H2150">
        <v>1372.2983397999999</v>
      </c>
      <c r="I2150">
        <v>1288.1811522999999</v>
      </c>
      <c r="J2150">
        <v>1269.0224608999999</v>
      </c>
      <c r="K2150">
        <v>2750</v>
      </c>
      <c r="L2150">
        <v>0</v>
      </c>
      <c r="M2150">
        <v>0</v>
      </c>
      <c r="N2150">
        <v>2750</v>
      </c>
    </row>
    <row r="2151" spans="1:14" x14ac:dyDescent="0.25">
      <c r="A2151">
        <v>1520.2396209999999</v>
      </c>
      <c r="B2151" s="1">
        <f>DATE(2014,6,29) + TIME(5,45,3)</f>
        <v>41819.239618055559</v>
      </c>
      <c r="C2151">
        <v>80</v>
      </c>
      <c r="D2151">
        <v>79.966384887999993</v>
      </c>
      <c r="E2151">
        <v>60</v>
      </c>
      <c r="F2151">
        <v>56.180572509999998</v>
      </c>
      <c r="G2151">
        <v>1387.9006348</v>
      </c>
      <c r="H2151">
        <v>1372.2537841999999</v>
      </c>
      <c r="I2151">
        <v>1288.1341553</v>
      </c>
      <c r="J2151">
        <v>1268.958374</v>
      </c>
      <c r="K2151">
        <v>2750</v>
      </c>
      <c r="L2151">
        <v>0</v>
      </c>
      <c r="M2151">
        <v>0</v>
      </c>
      <c r="N2151">
        <v>2750</v>
      </c>
    </row>
    <row r="2152" spans="1:14" x14ac:dyDescent="0.25">
      <c r="A2152">
        <v>1521.410993</v>
      </c>
      <c r="B2152" s="1">
        <f>DATE(2014,6,30) + TIME(9,51,49)</f>
        <v>41820.410983796297</v>
      </c>
      <c r="C2152">
        <v>80</v>
      </c>
      <c r="D2152">
        <v>79.966392517000003</v>
      </c>
      <c r="E2152">
        <v>60</v>
      </c>
      <c r="F2152">
        <v>56.119319916000002</v>
      </c>
      <c r="G2152">
        <v>1387.8465576000001</v>
      </c>
      <c r="H2152">
        <v>1372.2097168</v>
      </c>
      <c r="I2152">
        <v>1288.0861815999999</v>
      </c>
      <c r="J2152">
        <v>1268.8928223</v>
      </c>
      <c r="K2152">
        <v>2750</v>
      </c>
      <c r="L2152">
        <v>0</v>
      </c>
      <c r="M2152">
        <v>0</v>
      </c>
      <c r="N2152">
        <v>2750</v>
      </c>
    </row>
    <row r="2153" spans="1:14" x14ac:dyDescent="0.25">
      <c r="A2153">
        <v>1522</v>
      </c>
      <c r="B2153" s="1">
        <f>DATE(2014,7,1) + TIME(0,0,0)</f>
        <v>41821</v>
      </c>
      <c r="C2153">
        <v>80</v>
      </c>
      <c r="D2153">
        <v>79.966384887999993</v>
      </c>
      <c r="E2153">
        <v>60</v>
      </c>
      <c r="F2153">
        <v>56.075115203999999</v>
      </c>
      <c r="G2153">
        <v>1387.7930908000001</v>
      </c>
      <c r="H2153">
        <v>1372.1661377</v>
      </c>
      <c r="I2153">
        <v>1288.0371094</v>
      </c>
      <c r="J2153">
        <v>1268.8299560999999</v>
      </c>
      <c r="K2153">
        <v>2750</v>
      </c>
      <c r="L2153">
        <v>0</v>
      </c>
      <c r="M2153">
        <v>0</v>
      </c>
      <c r="N2153">
        <v>2750</v>
      </c>
    </row>
    <row r="2154" spans="1:14" x14ac:dyDescent="0.25">
      <c r="A2154">
        <v>1523.1812560000001</v>
      </c>
      <c r="B2154" s="1">
        <f>DATE(2014,7,2) + TIME(4,21,0)</f>
        <v>41822.181250000001</v>
      </c>
      <c r="C2154">
        <v>80</v>
      </c>
      <c r="D2154">
        <v>79.966400145999998</v>
      </c>
      <c r="E2154">
        <v>60</v>
      </c>
      <c r="F2154">
        <v>56.021747589</v>
      </c>
      <c r="G2154">
        <v>1387.7662353999999</v>
      </c>
      <c r="H2154">
        <v>1372.144043</v>
      </c>
      <c r="I2154">
        <v>1288.0114745999999</v>
      </c>
      <c r="J2154">
        <v>1268.7886963000001</v>
      </c>
      <c r="K2154">
        <v>2750</v>
      </c>
      <c r="L2154">
        <v>0</v>
      </c>
      <c r="M2154">
        <v>0</v>
      </c>
      <c r="N2154">
        <v>2750</v>
      </c>
    </row>
    <row r="2155" spans="1:14" x14ac:dyDescent="0.25">
      <c r="A2155">
        <v>1524.3849150000001</v>
      </c>
      <c r="B2155" s="1">
        <f>DATE(2014,7,3) + TIME(9,14,16)</f>
        <v>41823.38490740741</v>
      </c>
      <c r="C2155">
        <v>80</v>
      </c>
      <c r="D2155">
        <v>79.966407775999997</v>
      </c>
      <c r="E2155">
        <v>60</v>
      </c>
      <c r="F2155">
        <v>55.962867737000003</v>
      </c>
      <c r="G2155">
        <v>1387.7136230000001</v>
      </c>
      <c r="H2155">
        <v>1372.1009521000001</v>
      </c>
      <c r="I2155">
        <v>1287.9611815999999</v>
      </c>
      <c r="J2155">
        <v>1268.7203368999999</v>
      </c>
      <c r="K2155">
        <v>2750</v>
      </c>
      <c r="L2155">
        <v>0</v>
      </c>
      <c r="M2155">
        <v>0</v>
      </c>
      <c r="N2155">
        <v>2750</v>
      </c>
    </row>
    <row r="2156" spans="1:14" x14ac:dyDescent="0.25">
      <c r="A2156">
        <v>1525.608125</v>
      </c>
      <c r="B2156" s="1">
        <f>DATE(2014,7,4) + TIME(14,35,42)</f>
        <v>41824.608124999999</v>
      </c>
      <c r="C2156">
        <v>80</v>
      </c>
      <c r="D2156">
        <v>79.966407775999997</v>
      </c>
      <c r="E2156">
        <v>60</v>
      </c>
      <c r="F2156">
        <v>55.901248932000001</v>
      </c>
      <c r="G2156">
        <v>1387.6604004000001</v>
      </c>
      <c r="H2156">
        <v>1372.0574951000001</v>
      </c>
      <c r="I2156">
        <v>1287.9089355000001</v>
      </c>
      <c r="J2156">
        <v>1268.6483154</v>
      </c>
      <c r="K2156">
        <v>2750</v>
      </c>
      <c r="L2156">
        <v>0</v>
      </c>
      <c r="M2156">
        <v>0</v>
      </c>
      <c r="N2156">
        <v>2750</v>
      </c>
    </row>
    <row r="2157" spans="1:14" x14ac:dyDescent="0.25">
      <c r="A2157">
        <v>1526.8552500000001</v>
      </c>
      <c r="B2157" s="1">
        <f>DATE(2014,7,5) + TIME(20,31,33)</f>
        <v>41825.855243055557</v>
      </c>
      <c r="C2157">
        <v>80</v>
      </c>
      <c r="D2157">
        <v>79.966415405000006</v>
      </c>
      <c r="E2157">
        <v>60</v>
      </c>
      <c r="F2157">
        <v>55.837932586999997</v>
      </c>
      <c r="G2157">
        <v>1387.6071777</v>
      </c>
      <c r="H2157">
        <v>1372.0137939000001</v>
      </c>
      <c r="I2157">
        <v>1287.8548584</v>
      </c>
      <c r="J2157">
        <v>1268.5733643000001</v>
      </c>
      <c r="K2157">
        <v>2750</v>
      </c>
      <c r="L2157">
        <v>0</v>
      </c>
      <c r="M2157">
        <v>0</v>
      </c>
      <c r="N2157">
        <v>2750</v>
      </c>
    </row>
    <row r="2158" spans="1:14" x14ac:dyDescent="0.25">
      <c r="A2158">
        <v>1528.127465</v>
      </c>
      <c r="B2158" s="1">
        <f>DATE(2014,7,7) + TIME(3,3,32)</f>
        <v>41827.127453703702</v>
      </c>
      <c r="C2158">
        <v>80</v>
      </c>
      <c r="D2158">
        <v>79.966423035000005</v>
      </c>
      <c r="E2158">
        <v>60</v>
      </c>
      <c r="F2158">
        <v>55.773242949999997</v>
      </c>
      <c r="G2158">
        <v>1387.5535889</v>
      </c>
      <c r="H2158">
        <v>1371.9697266000001</v>
      </c>
      <c r="I2158">
        <v>1287.7988281</v>
      </c>
      <c r="J2158">
        <v>1268.4953613</v>
      </c>
      <c r="K2158">
        <v>2750</v>
      </c>
      <c r="L2158">
        <v>0</v>
      </c>
      <c r="M2158">
        <v>0</v>
      </c>
      <c r="N2158">
        <v>2750</v>
      </c>
    </row>
    <row r="2159" spans="1:14" x14ac:dyDescent="0.25">
      <c r="A2159">
        <v>1529.4186110000001</v>
      </c>
      <c r="B2159" s="1">
        <f>DATE(2014,7,8) + TIME(10,2,48)</f>
        <v>41828.418611111112</v>
      </c>
      <c r="C2159">
        <v>80</v>
      </c>
      <c r="D2159">
        <v>79.966430664000001</v>
      </c>
      <c r="E2159">
        <v>60</v>
      </c>
      <c r="F2159">
        <v>55.707405090000002</v>
      </c>
      <c r="G2159">
        <v>1387.4996338000001</v>
      </c>
      <c r="H2159">
        <v>1371.925293</v>
      </c>
      <c r="I2159">
        <v>1287.7407227000001</v>
      </c>
      <c r="J2159">
        <v>1268.4141846</v>
      </c>
      <c r="K2159">
        <v>2750</v>
      </c>
      <c r="L2159">
        <v>0</v>
      </c>
      <c r="M2159">
        <v>0</v>
      </c>
      <c r="N2159">
        <v>2750</v>
      </c>
    </row>
    <row r="2160" spans="1:14" x14ac:dyDescent="0.25">
      <c r="A2160">
        <v>1530.732939</v>
      </c>
      <c r="B2160" s="1">
        <f>DATE(2014,7,9) + TIME(17,35,25)</f>
        <v>41829.732928240737</v>
      </c>
      <c r="C2160">
        <v>80</v>
      </c>
      <c r="D2160">
        <v>79.966438292999996</v>
      </c>
      <c r="E2160">
        <v>60</v>
      </c>
      <c r="F2160">
        <v>55.640495299999998</v>
      </c>
      <c r="G2160">
        <v>1387.4455565999999</v>
      </c>
      <c r="H2160">
        <v>1371.8807373</v>
      </c>
      <c r="I2160">
        <v>1287.6807861</v>
      </c>
      <c r="J2160">
        <v>1268.3302002</v>
      </c>
      <c r="K2160">
        <v>2750</v>
      </c>
      <c r="L2160">
        <v>0</v>
      </c>
      <c r="M2160">
        <v>0</v>
      </c>
      <c r="N2160">
        <v>2750</v>
      </c>
    </row>
    <row r="2161" spans="1:14" x14ac:dyDescent="0.25">
      <c r="A2161">
        <v>1532.064887</v>
      </c>
      <c r="B2161" s="1">
        <f>DATE(2014,7,11) + TIME(1,33,26)</f>
        <v>41831.064884259256</v>
      </c>
      <c r="C2161">
        <v>80</v>
      </c>
      <c r="D2161">
        <v>79.966445922999995</v>
      </c>
      <c r="E2161">
        <v>60</v>
      </c>
      <c r="F2161">
        <v>55.57257843</v>
      </c>
      <c r="G2161">
        <v>1387.3913574000001</v>
      </c>
      <c r="H2161">
        <v>1371.8360596</v>
      </c>
      <c r="I2161">
        <v>1287.6187743999999</v>
      </c>
      <c r="J2161">
        <v>1268.2429199000001</v>
      </c>
      <c r="K2161">
        <v>2750</v>
      </c>
      <c r="L2161">
        <v>0</v>
      </c>
      <c r="M2161">
        <v>0</v>
      </c>
      <c r="N2161">
        <v>2750</v>
      </c>
    </row>
    <row r="2162" spans="1:14" x14ac:dyDescent="0.25">
      <c r="A2162">
        <v>1533.4043240000001</v>
      </c>
      <c r="B2162" s="1">
        <f>DATE(2014,7,12) + TIME(9,42,13)</f>
        <v>41832.404317129629</v>
      </c>
      <c r="C2162">
        <v>80</v>
      </c>
      <c r="D2162">
        <v>79.966453552000004</v>
      </c>
      <c r="E2162">
        <v>60</v>
      </c>
      <c r="F2162">
        <v>55.503940581999998</v>
      </c>
      <c r="G2162">
        <v>1387.3370361</v>
      </c>
      <c r="H2162">
        <v>1371.7911377</v>
      </c>
      <c r="I2162">
        <v>1287.5548096</v>
      </c>
      <c r="J2162">
        <v>1268.152832</v>
      </c>
      <c r="K2162">
        <v>2750</v>
      </c>
      <c r="L2162">
        <v>0</v>
      </c>
      <c r="M2162">
        <v>0</v>
      </c>
      <c r="N2162">
        <v>2750</v>
      </c>
    </row>
    <row r="2163" spans="1:14" x14ac:dyDescent="0.25">
      <c r="A2163">
        <v>1534.7556520000001</v>
      </c>
      <c r="B2163" s="1">
        <f>DATE(2014,7,13) + TIME(18,8,8)</f>
        <v>41833.755648148152</v>
      </c>
      <c r="C2163">
        <v>80</v>
      </c>
      <c r="D2163">
        <v>79.966461182000003</v>
      </c>
      <c r="E2163">
        <v>60</v>
      </c>
      <c r="F2163">
        <v>55.434741973999998</v>
      </c>
      <c r="G2163">
        <v>1387.2832031</v>
      </c>
      <c r="H2163">
        <v>1371.746582</v>
      </c>
      <c r="I2163">
        <v>1287.4895019999999</v>
      </c>
      <c r="J2163">
        <v>1268.0603027</v>
      </c>
      <c r="K2163">
        <v>2750</v>
      </c>
      <c r="L2163">
        <v>0</v>
      </c>
      <c r="M2163">
        <v>0</v>
      </c>
      <c r="N2163">
        <v>2750</v>
      </c>
    </row>
    <row r="2164" spans="1:14" x14ac:dyDescent="0.25">
      <c r="A2164">
        <v>1536.1233219999999</v>
      </c>
      <c r="B2164" s="1">
        <f>DATE(2014,7,15) + TIME(2,57,35)</f>
        <v>41835.12332175926</v>
      </c>
      <c r="C2164">
        <v>80</v>
      </c>
      <c r="D2164">
        <v>79.966468810999999</v>
      </c>
      <c r="E2164">
        <v>60</v>
      </c>
      <c r="F2164">
        <v>55.364879608000003</v>
      </c>
      <c r="G2164">
        <v>1387.2294922000001</v>
      </c>
      <c r="H2164">
        <v>1371.7020264</v>
      </c>
      <c r="I2164">
        <v>1287.4226074000001</v>
      </c>
      <c r="J2164">
        <v>1267.9650879000001</v>
      </c>
      <c r="K2164">
        <v>2750</v>
      </c>
      <c r="L2164">
        <v>0</v>
      </c>
      <c r="M2164">
        <v>0</v>
      </c>
      <c r="N2164">
        <v>2750</v>
      </c>
    </row>
    <row r="2165" spans="1:14" x14ac:dyDescent="0.25">
      <c r="A2165">
        <v>1537.5119529999999</v>
      </c>
      <c r="B2165" s="1">
        <f>DATE(2014,7,16) + TIME(12,17,12)</f>
        <v>41836.511944444443</v>
      </c>
      <c r="C2165">
        <v>80</v>
      </c>
      <c r="D2165">
        <v>79.966484070000007</v>
      </c>
      <c r="E2165">
        <v>60</v>
      </c>
      <c r="F2165">
        <v>55.294162749999998</v>
      </c>
      <c r="G2165">
        <v>1387.1759033000001</v>
      </c>
      <c r="H2165">
        <v>1371.6575928</v>
      </c>
      <c r="I2165">
        <v>1287.3538818</v>
      </c>
      <c r="J2165">
        <v>1267.8670654</v>
      </c>
      <c r="K2165">
        <v>2750</v>
      </c>
      <c r="L2165">
        <v>0</v>
      </c>
      <c r="M2165">
        <v>0</v>
      </c>
      <c r="N2165">
        <v>2750</v>
      </c>
    </row>
    <row r="2166" spans="1:14" x14ac:dyDescent="0.25">
      <c r="A2166">
        <v>1538.913757</v>
      </c>
      <c r="B2166" s="1">
        <f>DATE(2014,7,17) + TIME(21,55,48)</f>
        <v>41837.91375</v>
      </c>
      <c r="C2166">
        <v>80</v>
      </c>
      <c r="D2166">
        <v>79.966491699000002</v>
      </c>
      <c r="E2166">
        <v>60</v>
      </c>
      <c r="F2166">
        <v>55.222587584999999</v>
      </c>
      <c r="G2166">
        <v>1387.1221923999999</v>
      </c>
      <c r="H2166">
        <v>1371.6129149999999</v>
      </c>
      <c r="I2166">
        <v>1287.2829589999999</v>
      </c>
      <c r="J2166">
        <v>1267.765625</v>
      </c>
      <c r="K2166">
        <v>2750</v>
      </c>
      <c r="L2166">
        <v>0</v>
      </c>
      <c r="M2166">
        <v>0</v>
      </c>
      <c r="N2166">
        <v>2750</v>
      </c>
    </row>
    <row r="2167" spans="1:14" x14ac:dyDescent="0.25">
      <c r="A2167">
        <v>1540.3326300000001</v>
      </c>
      <c r="B2167" s="1">
        <f>DATE(2014,7,19) + TIME(7,58,59)</f>
        <v>41839.332627314812</v>
      </c>
      <c r="C2167">
        <v>80</v>
      </c>
      <c r="D2167">
        <v>79.966499329000001</v>
      </c>
      <c r="E2167">
        <v>60</v>
      </c>
      <c r="F2167">
        <v>55.150184631000002</v>
      </c>
      <c r="G2167">
        <v>1387.0686035000001</v>
      </c>
      <c r="H2167">
        <v>1371.5682373</v>
      </c>
      <c r="I2167">
        <v>1287.2103271000001</v>
      </c>
      <c r="J2167">
        <v>1267.6612548999999</v>
      </c>
      <c r="K2167">
        <v>2750</v>
      </c>
      <c r="L2167">
        <v>0</v>
      </c>
      <c r="M2167">
        <v>0</v>
      </c>
      <c r="N2167">
        <v>2750</v>
      </c>
    </row>
    <row r="2168" spans="1:14" x14ac:dyDescent="0.25">
      <c r="A2168">
        <v>1541.7730019999999</v>
      </c>
      <c r="B2168" s="1">
        <f>DATE(2014,7,20) + TIME(18,33,7)</f>
        <v>41840.772997685184</v>
      </c>
      <c r="C2168">
        <v>80</v>
      </c>
      <c r="D2168">
        <v>79.966514587000006</v>
      </c>
      <c r="E2168">
        <v>60</v>
      </c>
      <c r="F2168">
        <v>55.076831818000002</v>
      </c>
      <c r="G2168">
        <v>1387.0151367000001</v>
      </c>
      <c r="H2168">
        <v>1371.5235596</v>
      </c>
      <c r="I2168">
        <v>1287.1356201000001</v>
      </c>
      <c r="J2168">
        <v>1267.5538329999999</v>
      </c>
      <c r="K2168">
        <v>2750</v>
      </c>
      <c r="L2168">
        <v>0</v>
      </c>
      <c r="M2168">
        <v>0</v>
      </c>
      <c r="N2168">
        <v>2750</v>
      </c>
    </row>
    <row r="2169" spans="1:14" x14ac:dyDescent="0.25">
      <c r="A2169">
        <v>1543.239568</v>
      </c>
      <c r="B2169" s="1">
        <f>DATE(2014,7,22) + TIME(5,44,58)</f>
        <v>41842.239560185182</v>
      </c>
      <c r="C2169">
        <v>80</v>
      </c>
      <c r="D2169">
        <v>79.966522217000005</v>
      </c>
      <c r="E2169">
        <v>60</v>
      </c>
      <c r="F2169">
        <v>55.002311706999997</v>
      </c>
      <c r="G2169">
        <v>1386.9614257999999</v>
      </c>
      <c r="H2169">
        <v>1371.4786377</v>
      </c>
      <c r="I2169">
        <v>1287.0587158000001</v>
      </c>
      <c r="J2169">
        <v>1267.4426269999999</v>
      </c>
      <c r="K2169">
        <v>2750</v>
      </c>
      <c r="L2169">
        <v>0</v>
      </c>
      <c r="M2169">
        <v>0</v>
      </c>
      <c r="N2169">
        <v>2750</v>
      </c>
    </row>
    <row r="2170" spans="1:14" x14ac:dyDescent="0.25">
      <c r="A2170">
        <v>1544.737384</v>
      </c>
      <c r="B2170" s="1">
        <f>DATE(2014,7,23) + TIME(17,41,49)</f>
        <v>41843.737372685187</v>
      </c>
      <c r="C2170">
        <v>80</v>
      </c>
      <c r="D2170">
        <v>79.966537475999999</v>
      </c>
      <c r="E2170">
        <v>60</v>
      </c>
      <c r="F2170">
        <v>54.926387787000003</v>
      </c>
      <c r="G2170">
        <v>1386.9074707</v>
      </c>
      <c r="H2170">
        <v>1371.4334716999999</v>
      </c>
      <c r="I2170">
        <v>1286.9793701000001</v>
      </c>
      <c r="J2170">
        <v>1267.3275146000001</v>
      </c>
      <c r="K2170">
        <v>2750</v>
      </c>
      <c r="L2170">
        <v>0</v>
      </c>
      <c r="M2170">
        <v>0</v>
      </c>
      <c r="N2170">
        <v>2750</v>
      </c>
    </row>
    <row r="2171" spans="1:14" x14ac:dyDescent="0.25">
      <c r="A2171">
        <v>1546.25982</v>
      </c>
      <c r="B2171" s="1">
        <f>DATE(2014,7,25) + TIME(6,14,8)</f>
        <v>41845.259814814817</v>
      </c>
      <c r="C2171">
        <v>80</v>
      </c>
      <c r="D2171">
        <v>79.966552734000004</v>
      </c>
      <c r="E2171">
        <v>60</v>
      </c>
      <c r="F2171">
        <v>54.848995209000002</v>
      </c>
      <c r="G2171">
        <v>1386.8530272999999</v>
      </c>
      <c r="H2171">
        <v>1371.3878173999999</v>
      </c>
      <c r="I2171">
        <v>1286.8972168</v>
      </c>
      <c r="J2171">
        <v>1267.2081298999999</v>
      </c>
      <c r="K2171">
        <v>2750</v>
      </c>
      <c r="L2171">
        <v>0</v>
      </c>
      <c r="M2171">
        <v>0</v>
      </c>
      <c r="N2171">
        <v>2750</v>
      </c>
    </row>
    <row r="2172" spans="1:14" x14ac:dyDescent="0.25">
      <c r="A2172">
        <v>1547.7952319999999</v>
      </c>
      <c r="B2172" s="1">
        <f>DATE(2014,7,26) + TIME(19,5,8)</f>
        <v>41846.795231481483</v>
      </c>
      <c r="C2172">
        <v>80</v>
      </c>
      <c r="D2172">
        <v>79.966560364000003</v>
      </c>
      <c r="E2172">
        <v>60</v>
      </c>
      <c r="F2172">
        <v>54.770404816000003</v>
      </c>
      <c r="G2172">
        <v>1386.7982178</v>
      </c>
      <c r="H2172">
        <v>1371.3419189000001</v>
      </c>
      <c r="I2172">
        <v>1286.8125</v>
      </c>
      <c r="J2172">
        <v>1267.0845947</v>
      </c>
      <c r="K2172">
        <v>2750</v>
      </c>
      <c r="L2172">
        <v>0</v>
      </c>
      <c r="M2172">
        <v>0</v>
      </c>
      <c r="N2172">
        <v>2750</v>
      </c>
    </row>
    <row r="2173" spans="1:14" x14ac:dyDescent="0.25">
      <c r="A2173">
        <v>1549.3392719999999</v>
      </c>
      <c r="B2173" s="1">
        <f>DATE(2014,7,28) + TIME(8,8,33)</f>
        <v>41848.339270833334</v>
      </c>
      <c r="C2173">
        <v>80</v>
      </c>
      <c r="D2173">
        <v>79.966575622999997</v>
      </c>
      <c r="E2173">
        <v>60</v>
      </c>
      <c r="F2173">
        <v>54.690994263</v>
      </c>
      <c r="G2173">
        <v>1386.7437743999999</v>
      </c>
      <c r="H2173">
        <v>1371.2960204999999</v>
      </c>
      <c r="I2173">
        <v>1286.7259521000001</v>
      </c>
      <c r="J2173">
        <v>1266.9577637</v>
      </c>
      <c r="K2173">
        <v>2750</v>
      </c>
      <c r="L2173">
        <v>0</v>
      </c>
      <c r="M2173">
        <v>0</v>
      </c>
      <c r="N2173">
        <v>2750</v>
      </c>
    </row>
    <row r="2174" spans="1:14" x14ac:dyDescent="0.25">
      <c r="A2174">
        <v>1550.893505</v>
      </c>
      <c r="B2174" s="1">
        <f>DATE(2014,7,29) + TIME(21,26,38)</f>
        <v>41849.893495370372</v>
      </c>
      <c r="C2174">
        <v>80</v>
      </c>
      <c r="D2174">
        <v>79.966590881000002</v>
      </c>
      <c r="E2174">
        <v>60</v>
      </c>
      <c r="F2174">
        <v>54.610923767000003</v>
      </c>
      <c r="G2174">
        <v>1386.6895752</v>
      </c>
      <c r="H2174">
        <v>1371.2503661999999</v>
      </c>
      <c r="I2174">
        <v>1286.6375731999999</v>
      </c>
      <c r="J2174">
        <v>1266.8282471</v>
      </c>
      <c r="K2174">
        <v>2750</v>
      </c>
      <c r="L2174">
        <v>0</v>
      </c>
      <c r="M2174">
        <v>0</v>
      </c>
      <c r="N2174">
        <v>2750</v>
      </c>
    </row>
    <row r="2175" spans="1:14" x14ac:dyDescent="0.25">
      <c r="A2175">
        <v>1552.4626459999999</v>
      </c>
      <c r="B2175" s="1">
        <f>DATE(2014,7,31) + TIME(11,6,12)</f>
        <v>41851.462638888886</v>
      </c>
      <c r="C2175">
        <v>80</v>
      </c>
      <c r="D2175">
        <v>79.966598511000001</v>
      </c>
      <c r="E2175">
        <v>60</v>
      </c>
      <c r="F2175">
        <v>54.530151367000002</v>
      </c>
      <c r="G2175">
        <v>1386.6357422000001</v>
      </c>
      <c r="H2175">
        <v>1371.2049560999999</v>
      </c>
      <c r="I2175">
        <v>1286.5476074000001</v>
      </c>
      <c r="J2175">
        <v>1266.6955565999999</v>
      </c>
      <c r="K2175">
        <v>2750</v>
      </c>
      <c r="L2175">
        <v>0</v>
      </c>
      <c r="M2175">
        <v>0</v>
      </c>
      <c r="N2175">
        <v>2750</v>
      </c>
    </row>
    <row r="2176" spans="1:14" x14ac:dyDescent="0.25">
      <c r="A2176">
        <v>1553</v>
      </c>
      <c r="B2176" s="1">
        <f>DATE(2014,8,1) + TIME(0,0,0)</f>
        <v>41852</v>
      </c>
      <c r="C2176">
        <v>80</v>
      </c>
      <c r="D2176">
        <v>79.966598511000001</v>
      </c>
      <c r="E2176">
        <v>60</v>
      </c>
      <c r="F2176">
        <v>54.479938507</v>
      </c>
      <c r="G2176">
        <v>1386.5821533000001</v>
      </c>
      <c r="H2176">
        <v>1371.1597899999999</v>
      </c>
      <c r="I2176">
        <v>1286.4595947</v>
      </c>
      <c r="J2176">
        <v>1266.5751952999999</v>
      </c>
      <c r="K2176">
        <v>2750</v>
      </c>
      <c r="L2176">
        <v>0</v>
      </c>
      <c r="M2176">
        <v>0</v>
      </c>
      <c r="N2176">
        <v>2750</v>
      </c>
    </row>
    <row r="2177" spans="1:14" x14ac:dyDescent="0.25">
      <c r="A2177">
        <v>1554.58888</v>
      </c>
      <c r="B2177" s="1">
        <f>DATE(2014,8,2) + TIME(14,7,59)</f>
        <v>41853.588877314818</v>
      </c>
      <c r="C2177">
        <v>80</v>
      </c>
      <c r="D2177">
        <v>79.966621399000005</v>
      </c>
      <c r="E2177">
        <v>60</v>
      </c>
      <c r="F2177">
        <v>54.413360595999997</v>
      </c>
      <c r="G2177">
        <v>1386.5634766000001</v>
      </c>
      <c r="H2177">
        <v>1371.1437988</v>
      </c>
      <c r="I2177">
        <v>1286.4211425999999</v>
      </c>
      <c r="J2177">
        <v>1266.5058594</v>
      </c>
      <c r="K2177">
        <v>2750</v>
      </c>
      <c r="L2177">
        <v>0</v>
      </c>
      <c r="M2177">
        <v>0</v>
      </c>
      <c r="N2177">
        <v>2750</v>
      </c>
    </row>
    <row r="2178" spans="1:14" x14ac:dyDescent="0.25">
      <c r="A2178">
        <v>1556.2125940000001</v>
      </c>
      <c r="B2178" s="1">
        <f>DATE(2014,8,4) + TIME(5,6,8)</f>
        <v>41855.212592592594</v>
      </c>
      <c r="C2178">
        <v>80</v>
      </c>
      <c r="D2178">
        <v>79.966636657999999</v>
      </c>
      <c r="E2178">
        <v>60</v>
      </c>
      <c r="F2178">
        <v>54.335243224999999</v>
      </c>
      <c r="G2178">
        <v>1386.5101318</v>
      </c>
      <c r="H2178">
        <v>1371.0986327999999</v>
      </c>
      <c r="I2178">
        <v>1286.3286132999999</v>
      </c>
      <c r="J2178">
        <v>1266.3701172000001</v>
      </c>
      <c r="K2178">
        <v>2750</v>
      </c>
      <c r="L2178">
        <v>0</v>
      </c>
      <c r="M2178">
        <v>0</v>
      </c>
      <c r="N2178">
        <v>2750</v>
      </c>
    </row>
    <row r="2179" spans="1:14" x14ac:dyDescent="0.25">
      <c r="A2179">
        <v>1557.868248</v>
      </c>
      <c r="B2179" s="1">
        <f>DATE(2014,8,5) + TIME(20,50,16)</f>
        <v>41856.86824074074</v>
      </c>
      <c r="C2179">
        <v>80</v>
      </c>
      <c r="D2179">
        <v>79.966651916999993</v>
      </c>
      <c r="E2179">
        <v>60</v>
      </c>
      <c r="F2179">
        <v>54.252170563</v>
      </c>
      <c r="G2179">
        <v>1386.4559326000001</v>
      </c>
      <c r="H2179">
        <v>1371.0526123</v>
      </c>
      <c r="I2179">
        <v>1286.2315673999999</v>
      </c>
      <c r="J2179">
        <v>1266.2263184000001</v>
      </c>
      <c r="K2179">
        <v>2750</v>
      </c>
      <c r="L2179">
        <v>0</v>
      </c>
      <c r="M2179">
        <v>0</v>
      </c>
      <c r="N2179">
        <v>2750</v>
      </c>
    </row>
    <row r="2180" spans="1:14" x14ac:dyDescent="0.25">
      <c r="A2180">
        <v>1559.5619799999999</v>
      </c>
      <c r="B2180" s="1">
        <f>DATE(2014,8,7) + TIME(13,29,15)</f>
        <v>41858.561979166669</v>
      </c>
      <c r="C2180">
        <v>80</v>
      </c>
      <c r="D2180">
        <v>79.966667174999998</v>
      </c>
      <c r="E2180">
        <v>60</v>
      </c>
      <c r="F2180">
        <v>54.166248322000001</v>
      </c>
      <c r="G2180">
        <v>1386.4012451000001</v>
      </c>
      <c r="H2180">
        <v>1371.0062256000001</v>
      </c>
      <c r="I2180">
        <v>1286.1313477000001</v>
      </c>
      <c r="J2180">
        <v>1266.0766602000001</v>
      </c>
      <c r="K2180">
        <v>2750</v>
      </c>
      <c r="L2180">
        <v>0</v>
      </c>
      <c r="M2180">
        <v>0</v>
      </c>
      <c r="N2180">
        <v>2750</v>
      </c>
    </row>
    <row r="2181" spans="1:14" x14ac:dyDescent="0.25">
      <c r="A2181">
        <v>1561.283506</v>
      </c>
      <c r="B2181" s="1">
        <f>DATE(2014,8,9) + TIME(6,48,14)</f>
        <v>41860.283495370371</v>
      </c>
      <c r="C2181">
        <v>80</v>
      </c>
      <c r="D2181">
        <v>79.966682434000006</v>
      </c>
      <c r="E2181">
        <v>60</v>
      </c>
      <c r="F2181">
        <v>54.078197479000004</v>
      </c>
      <c r="G2181">
        <v>1386.3460693</v>
      </c>
      <c r="H2181">
        <v>1370.9592285000001</v>
      </c>
      <c r="I2181">
        <v>1286.0275879000001</v>
      </c>
      <c r="J2181">
        <v>1265.9213867000001</v>
      </c>
      <c r="K2181">
        <v>2750</v>
      </c>
      <c r="L2181">
        <v>0</v>
      </c>
      <c r="M2181">
        <v>0</v>
      </c>
      <c r="N2181">
        <v>2750</v>
      </c>
    </row>
    <row r="2182" spans="1:14" x14ac:dyDescent="0.25">
      <c r="A2182">
        <v>1563.0090049999999</v>
      </c>
      <c r="B2182" s="1">
        <f>DATE(2014,8,11) + TIME(0,12,58)</f>
        <v>41862.009004629632</v>
      </c>
      <c r="C2182">
        <v>80</v>
      </c>
      <c r="D2182">
        <v>79.966697693</v>
      </c>
      <c r="E2182">
        <v>60</v>
      </c>
      <c r="F2182">
        <v>53.988849639999998</v>
      </c>
      <c r="G2182">
        <v>1386.2905272999999</v>
      </c>
      <c r="H2182">
        <v>1370.9118652</v>
      </c>
      <c r="I2182">
        <v>1285.9211425999999</v>
      </c>
      <c r="J2182">
        <v>1265.7615966999999</v>
      </c>
      <c r="K2182">
        <v>2750</v>
      </c>
      <c r="L2182">
        <v>0</v>
      </c>
      <c r="M2182">
        <v>0</v>
      </c>
      <c r="N2182">
        <v>2750</v>
      </c>
    </row>
    <row r="2183" spans="1:14" x14ac:dyDescent="0.25">
      <c r="A2183">
        <v>1564.7436210000001</v>
      </c>
      <c r="B2183" s="1">
        <f>DATE(2014,8,12) + TIME(17,50,48)</f>
        <v>41863.743611111109</v>
      </c>
      <c r="C2183">
        <v>80</v>
      </c>
      <c r="D2183">
        <v>79.966720581000004</v>
      </c>
      <c r="E2183">
        <v>60</v>
      </c>
      <c r="F2183">
        <v>53.898883820000002</v>
      </c>
      <c r="G2183">
        <v>1386.2354736</v>
      </c>
      <c r="H2183">
        <v>1370.8647461</v>
      </c>
      <c r="I2183">
        <v>1285.8134766000001</v>
      </c>
      <c r="J2183">
        <v>1265.5991211</v>
      </c>
      <c r="K2183">
        <v>2750</v>
      </c>
      <c r="L2183">
        <v>0</v>
      </c>
      <c r="M2183">
        <v>0</v>
      </c>
      <c r="N2183">
        <v>2750</v>
      </c>
    </row>
    <row r="2184" spans="1:14" x14ac:dyDescent="0.25">
      <c r="A2184">
        <v>1566.492661</v>
      </c>
      <c r="B2184" s="1">
        <f>DATE(2014,8,14) + TIME(11,49,25)</f>
        <v>41865.492650462962</v>
      </c>
      <c r="C2184">
        <v>80</v>
      </c>
      <c r="D2184">
        <v>79.966735839999998</v>
      </c>
      <c r="E2184">
        <v>60</v>
      </c>
      <c r="F2184">
        <v>53.808357239000003</v>
      </c>
      <c r="G2184">
        <v>1386.1806641000001</v>
      </c>
      <c r="H2184">
        <v>1370.8179932</v>
      </c>
      <c r="I2184">
        <v>1285.7042236</v>
      </c>
      <c r="J2184">
        <v>1265.4338379000001</v>
      </c>
      <c r="K2184">
        <v>2750</v>
      </c>
      <c r="L2184">
        <v>0</v>
      </c>
      <c r="M2184">
        <v>0</v>
      </c>
      <c r="N2184">
        <v>2750</v>
      </c>
    </row>
    <row r="2185" spans="1:14" x14ac:dyDescent="0.25">
      <c r="A2185">
        <v>1568.2615740000001</v>
      </c>
      <c r="B2185" s="1">
        <f>DATE(2014,8,16) + TIME(6,16,39)</f>
        <v>41867.261562500003</v>
      </c>
      <c r="C2185">
        <v>80</v>
      </c>
      <c r="D2185">
        <v>79.966751099000007</v>
      </c>
      <c r="E2185">
        <v>60</v>
      </c>
      <c r="F2185">
        <v>53.717113495</v>
      </c>
      <c r="G2185">
        <v>1386.1260986</v>
      </c>
      <c r="H2185">
        <v>1370.7711182</v>
      </c>
      <c r="I2185">
        <v>1285.5933838000001</v>
      </c>
      <c r="J2185">
        <v>1265.265625</v>
      </c>
      <c r="K2185">
        <v>2750</v>
      </c>
      <c r="L2185">
        <v>0</v>
      </c>
      <c r="M2185">
        <v>0</v>
      </c>
      <c r="N2185">
        <v>2750</v>
      </c>
    </row>
    <row r="2186" spans="1:14" x14ac:dyDescent="0.25">
      <c r="A2186">
        <v>1570.0560270000001</v>
      </c>
      <c r="B2186" s="1">
        <f>DATE(2014,8,18) + TIME(1,20,40)</f>
        <v>41869.056018518517</v>
      </c>
      <c r="C2186">
        <v>80</v>
      </c>
      <c r="D2186">
        <v>79.966773986999996</v>
      </c>
      <c r="E2186">
        <v>60</v>
      </c>
      <c r="F2186">
        <v>53.624950409</v>
      </c>
      <c r="G2186">
        <v>1386.0714111</v>
      </c>
      <c r="H2186">
        <v>1370.7241211</v>
      </c>
      <c r="I2186">
        <v>1285.4805908000001</v>
      </c>
      <c r="J2186">
        <v>1265.0938721</v>
      </c>
      <c r="K2186">
        <v>2750</v>
      </c>
      <c r="L2186">
        <v>0</v>
      </c>
      <c r="M2186">
        <v>0</v>
      </c>
      <c r="N2186">
        <v>2750</v>
      </c>
    </row>
    <row r="2187" spans="1:14" x14ac:dyDescent="0.25">
      <c r="A2187">
        <v>1571.8820009999999</v>
      </c>
      <c r="B2187" s="1">
        <f>DATE(2014,8,19) + TIME(21,10,4)</f>
        <v>41870.881990740738</v>
      </c>
      <c r="C2187">
        <v>80</v>
      </c>
      <c r="D2187">
        <v>79.966789246000005</v>
      </c>
      <c r="E2187">
        <v>60</v>
      </c>
      <c r="F2187">
        <v>53.531642914000003</v>
      </c>
      <c r="G2187">
        <v>1386.0164795000001</v>
      </c>
      <c r="H2187">
        <v>1370.6770019999999</v>
      </c>
      <c r="I2187">
        <v>1285.3654785000001</v>
      </c>
      <c r="J2187">
        <v>1264.9180908000001</v>
      </c>
      <c r="K2187">
        <v>2750</v>
      </c>
      <c r="L2187">
        <v>0</v>
      </c>
      <c r="M2187">
        <v>0</v>
      </c>
      <c r="N2187">
        <v>2750</v>
      </c>
    </row>
    <row r="2188" spans="1:14" x14ac:dyDescent="0.25">
      <c r="A2188">
        <v>1573.745236</v>
      </c>
      <c r="B2188" s="1">
        <f>DATE(2014,8,21) + TIME(17,53,8)</f>
        <v>41872.74523148148</v>
      </c>
      <c r="C2188">
        <v>80</v>
      </c>
      <c r="D2188">
        <v>79.966812133999994</v>
      </c>
      <c r="E2188">
        <v>60</v>
      </c>
      <c r="F2188">
        <v>53.436973571999999</v>
      </c>
      <c r="G2188">
        <v>1385.9611815999999</v>
      </c>
      <c r="H2188">
        <v>1370.6293945</v>
      </c>
      <c r="I2188">
        <v>1285.2478027</v>
      </c>
      <c r="J2188">
        <v>1264.737793</v>
      </c>
      <c r="K2188">
        <v>2750</v>
      </c>
      <c r="L2188">
        <v>0</v>
      </c>
      <c r="M2188">
        <v>0</v>
      </c>
      <c r="N2188">
        <v>2750</v>
      </c>
    </row>
    <row r="2189" spans="1:14" x14ac:dyDescent="0.25">
      <c r="A2189">
        <v>1575.6312969999999</v>
      </c>
      <c r="B2189" s="1">
        <f>DATE(2014,8,23) + TIME(15,9,4)</f>
        <v>41874.631296296298</v>
      </c>
      <c r="C2189">
        <v>80</v>
      </c>
      <c r="D2189">
        <v>79.966827393000003</v>
      </c>
      <c r="E2189">
        <v>60</v>
      </c>
      <c r="F2189">
        <v>53.341030121000003</v>
      </c>
      <c r="G2189">
        <v>1385.9053954999999</v>
      </c>
      <c r="H2189">
        <v>1370.5811768000001</v>
      </c>
      <c r="I2189">
        <v>1285.1273193</v>
      </c>
      <c r="J2189">
        <v>1264.5528564000001</v>
      </c>
      <c r="K2189">
        <v>2750</v>
      </c>
      <c r="L2189">
        <v>0</v>
      </c>
      <c r="M2189">
        <v>0</v>
      </c>
      <c r="N2189">
        <v>2750</v>
      </c>
    </row>
    <row r="2190" spans="1:14" x14ac:dyDescent="0.25">
      <c r="A2190">
        <v>1577.5461299999999</v>
      </c>
      <c r="B2190" s="1">
        <f>DATE(2014,8,25) + TIME(13,6,25)</f>
        <v>41876.546122685184</v>
      </c>
      <c r="C2190">
        <v>80</v>
      </c>
      <c r="D2190">
        <v>79.966850281000006</v>
      </c>
      <c r="E2190">
        <v>60</v>
      </c>
      <c r="F2190">
        <v>53.244152069000002</v>
      </c>
      <c r="G2190">
        <v>1385.8493652</v>
      </c>
      <c r="H2190">
        <v>1370.5328368999999</v>
      </c>
      <c r="I2190">
        <v>1285.0050048999999</v>
      </c>
      <c r="J2190">
        <v>1264.3642577999999</v>
      </c>
      <c r="K2190">
        <v>2750</v>
      </c>
      <c r="L2190">
        <v>0</v>
      </c>
      <c r="M2190">
        <v>0</v>
      </c>
      <c r="N2190">
        <v>2750</v>
      </c>
    </row>
    <row r="2191" spans="1:14" x14ac:dyDescent="0.25">
      <c r="A2191">
        <v>1579.4821930000001</v>
      </c>
      <c r="B2191" s="1">
        <f>DATE(2014,8,27) + TIME(11,34,21)</f>
        <v>41878.482187499998</v>
      </c>
      <c r="C2191">
        <v>80</v>
      </c>
      <c r="D2191">
        <v>79.966873168999996</v>
      </c>
      <c r="E2191">
        <v>60</v>
      </c>
      <c r="F2191">
        <v>53.146511078000003</v>
      </c>
      <c r="G2191">
        <v>1385.7930908000001</v>
      </c>
      <c r="H2191">
        <v>1370.4841309000001</v>
      </c>
      <c r="I2191">
        <v>1284.8804932</v>
      </c>
      <c r="J2191">
        <v>1264.171875</v>
      </c>
      <c r="K2191">
        <v>2750</v>
      </c>
      <c r="L2191">
        <v>0</v>
      </c>
      <c r="M2191">
        <v>0</v>
      </c>
      <c r="N2191">
        <v>2750</v>
      </c>
    </row>
    <row r="2192" spans="1:14" x14ac:dyDescent="0.25">
      <c r="A2192">
        <v>1581.4308530000001</v>
      </c>
      <c r="B2192" s="1">
        <f>DATE(2014,8,29) + TIME(10,20,25)</f>
        <v>41880.430844907409</v>
      </c>
      <c r="C2192">
        <v>80</v>
      </c>
      <c r="D2192">
        <v>79.966896057</v>
      </c>
      <c r="E2192">
        <v>60</v>
      </c>
      <c r="F2192">
        <v>53.048580170000001</v>
      </c>
      <c r="G2192">
        <v>1385.7368164</v>
      </c>
      <c r="H2192">
        <v>1370.4353027</v>
      </c>
      <c r="I2192">
        <v>1284.7545166</v>
      </c>
      <c r="J2192">
        <v>1263.9765625</v>
      </c>
      <c r="K2192">
        <v>2750</v>
      </c>
      <c r="L2192">
        <v>0</v>
      </c>
      <c r="M2192">
        <v>0</v>
      </c>
      <c r="N2192">
        <v>2750</v>
      </c>
    </row>
    <row r="2193" spans="1:14" x14ac:dyDescent="0.25">
      <c r="A2193">
        <v>1583.398189</v>
      </c>
      <c r="B2193" s="1">
        <f>DATE(2014,8,31) + TIME(9,33,23)</f>
        <v>41882.398182870369</v>
      </c>
      <c r="C2193">
        <v>80</v>
      </c>
      <c r="D2193">
        <v>79.966911315999994</v>
      </c>
      <c r="E2193">
        <v>60</v>
      </c>
      <c r="F2193">
        <v>52.950706482000001</v>
      </c>
      <c r="G2193">
        <v>1385.6806641000001</v>
      </c>
      <c r="H2193">
        <v>1370.3864745999999</v>
      </c>
      <c r="I2193">
        <v>1284.6275635</v>
      </c>
      <c r="J2193">
        <v>1263.7790527</v>
      </c>
      <c r="K2193">
        <v>2750</v>
      </c>
      <c r="L2193">
        <v>0</v>
      </c>
      <c r="M2193">
        <v>0</v>
      </c>
      <c r="N2193">
        <v>2750</v>
      </c>
    </row>
    <row r="2194" spans="1:14" x14ac:dyDescent="0.25">
      <c r="A2194">
        <v>1584</v>
      </c>
      <c r="B2194" s="1">
        <f>DATE(2014,9,1) + TIME(0,0,0)</f>
        <v>41883</v>
      </c>
      <c r="C2194">
        <v>80</v>
      </c>
      <c r="D2194">
        <v>79.966911315999994</v>
      </c>
      <c r="E2194">
        <v>60</v>
      </c>
      <c r="F2194">
        <v>52.890335082999997</v>
      </c>
      <c r="G2194">
        <v>1385.6247559000001</v>
      </c>
      <c r="H2194">
        <v>1370.3378906</v>
      </c>
      <c r="I2194">
        <v>1284.5079346</v>
      </c>
      <c r="J2194">
        <v>1263.6053466999999</v>
      </c>
      <c r="K2194">
        <v>2750</v>
      </c>
      <c r="L2194">
        <v>0</v>
      </c>
      <c r="M2194">
        <v>0</v>
      </c>
      <c r="N2194">
        <v>2750</v>
      </c>
    </row>
    <row r="2195" spans="1:14" x14ac:dyDescent="0.25">
      <c r="A2195">
        <v>1585.99236</v>
      </c>
      <c r="B2195" s="1">
        <f>DATE(2014,9,2) + TIME(23,48,59)</f>
        <v>41884.992349537039</v>
      </c>
      <c r="C2195">
        <v>80</v>
      </c>
      <c r="D2195">
        <v>79.966941833000007</v>
      </c>
      <c r="E2195">
        <v>60</v>
      </c>
      <c r="F2195">
        <v>52.815158844000003</v>
      </c>
      <c r="G2195">
        <v>1385.6071777</v>
      </c>
      <c r="H2195">
        <v>1370.3225098</v>
      </c>
      <c r="I2195">
        <v>1284.4555664</v>
      </c>
      <c r="J2195">
        <v>1263.5073242000001</v>
      </c>
      <c r="K2195">
        <v>2750</v>
      </c>
      <c r="L2195">
        <v>0</v>
      </c>
      <c r="M2195">
        <v>0</v>
      </c>
      <c r="N2195">
        <v>2750</v>
      </c>
    </row>
    <row r="2196" spans="1:14" x14ac:dyDescent="0.25">
      <c r="A2196">
        <v>1588.0278499999999</v>
      </c>
      <c r="B2196" s="1">
        <f>DATE(2014,9,5) + TIME(0,40,6)</f>
        <v>41887.02784722222</v>
      </c>
      <c r="C2196">
        <v>80</v>
      </c>
      <c r="D2196">
        <v>79.966964722</v>
      </c>
      <c r="E2196">
        <v>60</v>
      </c>
      <c r="F2196">
        <v>52.723628998000002</v>
      </c>
      <c r="G2196">
        <v>1385.5512695</v>
      </c>
      <c r="H2196">
        <v>1370.2736815999999</v>
      </c>
      <c r="I2196">
        <v>1284.3300781</v>
      </c>
      <c r="J2196">
        <v>1263.3131103999999</v>
      </c>
      <c r="K2196">
        <v>2750</v>
      </c>
      <c r="L2196">
        <v>0</v>
      </c>
      <c r="M2196">
        <v>0</v>
      </c>
      <c r="N2196">
        <v>2750</v>
      </c>
    </row>
    <row r="2197" spans="1:14" x14ac:dyDescent="0.25">
      <c r="A2197">
        <v>1590.0842479999999</v>
      </c>
      <c r="B2197" s="1">
        <f>DATE(2014,9,7) + TIME(2,1,19)</f>
        <v>41889.084247685183</v>
      </c>
      <c r="C2197">
        <v>80</v>
      </c>
      <c r="D2197">
        <v>79.966987610000004</v>
      </c>
      <c r="E2197">
        <v>60</v>
      </c>
      <c r="F2197">
        <v>52.627655029000003</v>
      </c>
      <c r="G2197">
        <v>1385.4943848</v>
      </c>
      <c r="H2197">
        <v>1370.223999</v>
      </c>
      <c r="I2197">
        <v>1284.1998291</v>
      </c>
      <c r="J2197">
        <v>1263.1091309000001</v>
      </c>
      <c r="K2197">
        <v>2750</v>
      </c>
      <c r="L2197">
        <v>0</v>
      </c>
      <c r="M2197">
        <v>0</v>
      </c>
      <c r="N2197">
        <v>2750</v>
      </c>
    </row>
    <row r="2198" spans="1:14" x14ac:dyDescent="0.25">
      <c r="A2198">
        <v>1592.1651770000001</v>
      </c>
      <c r="B2198" s="1">
        <f>DATE(2014,9,9) + TIME(3,57,51)</f>
        <v>41891.165173611109</v>
      </c>
      <c r="C2198">
        <v>80</v>
      </c>
      <c r="D2198">
        <v>79.967010497999993</v>
      </c>
      <c r="E2198">
        <v>60</v>
      </c>
      <c r="F2198">
        <v>52.531158447000003</v>
      </c>
      <c r="G2198">
        <v>1385.4373779</v>
      </c>
      <c r="H2198">
        <v>1370.1741943</v>
      </c>
      <c r="I2198">
        <v>1284.0681152</v>
      </c>
      <c r="J2198">
        <v>1262.9018555</v>
      </c>
      <c r="K2198">
        <v>2750</v>
      </c>
      <c r="L2198">
        <v>0</v>
      </c>
      <c r="M2198">
        <v>0</v>
      </c>
      <c r="N2198">
        <v>2750</v>
      </c>
    </row>
    <row r="2199" spans="1:14" x14ac:dyDescent="0.25">
      <c r="A2199">
        <v>1594.2771150000001</v>
      </c>
      <c r="B2199" s="1">
        <f>DATE(2014,9,11) + TIME(6,39,2)</f>
        <v>41893.277106481481</v>
      </c>
      <c r="C2199">
        <v>80</v>
      </c>
      <c r="D2199">
        <v>79.967033385999997</v>
      </c>
      <c r="E2199">
        <v>60</v>
      </c>
      <c r="F2199">
        <v>52.435264586999999</v>
      </c>
      <c r="G2199">
        <v>1385.380249</v>
      </c>
      <c r="H2199">
        <v>1370.1240233999999</v>
      </c>
      <c r="I2199">
        <v>1283.9355469</v>
      </c>
      <c r="J2199">
        <v>1262.6925048999999</v>
      </c>
      <c r="K2199">
        <v>2750</v>
      </c>
      <c r="L2199">
        <v>0</v>
      </c>
      <c r="M2199">
        <v>0</v>
      </c>
      <c r="N2199">
        <v>2750</v>
      </c>
    </row>
    <row r="2200" spans="1:14" x14ac:dyDescent="0.25">
      <c r="A2200">
        <v>1596.4138029999999</v>
      </c>
      <c r="B2200" s="1">
        <f>DATE(2014,9,13) + TIME(9,55,52)</f>
        <v>41895.4137962963</v>
      </c>
      <c r="C2200">
        <v>80</v>
      </c>
      <c r="D2200">
        <v>79.967063904</v>
      </c>
      <c r="E2200">
        <v>60</v>
      </c>
      <c r="F2200">
        <v>52.340492249</v>
      </c>
      <c r="G2200">
        <v>1385.3227539</v>
      </c>
      <c r="H2200">
        <v>1370.0736084</v>
      </c>
      <c r="I2200">
        <v>1283.802124</v>
      </c>
      <c r="J2200">
        <v>1262.4813231999999</v>
      </c>
      <c r="K2200">
        <v>2750</v>
      </c>
      <c r="L2200">
        <v>0</v>
      </c>
      <c r="M2200">
        <v>0</v>
      </c>
      <c r="N2200">
        <v>2750</v>
      </c>
    </row>
    <row r="2201" spans="1:14" x14ac:dyDescent="0.25">
      <c r="A2201">
        <v>1598.556047</v>
      </c>
      <c r="B2201" s="1">
        <f>DATE(2014,9,15) + TIME(13,20,42)</f>
        <v>41897.556041666663</v>
      </c>
      <c r="C2201">
        <v>80</v>
      </c>
      <c r="D2201">
        <v>79.967086792000003</v>
      </c>
      <c r="E2201">
        <v>60</v>
      </c>
      <c r="F2201">
        <v>52.247638702000003</v>
      </c>
      <c r="G2201">
        <v>1385.2651367000001</v>
      </c>
      <c r="H2201">
        <v>1370.0228271000001</v>
      </c>
      <c r="I2201">
        <v>1283.6685791</v>
      </c>
      <c r="J2201">
        <v>1262.2692870999999</v>
      </c>
      <c r="K2201">
        <v>2750</v>
      </c>
      <c r="L2201">
        <v>0</v>
      </c>
      <c r="M2201">
        <v>0</v>
      </c>
      <c r="N2201">
        <v>2750</v>
      </c>
    </row>
    <row r="2202" spans="1:14" x14ac:dyDescent="0.25">
      <c r="A2202">
        <v>1600.7120669999999</v>
      </c>
      <c r="B2202" s="1">
        <f>DATE(2014,9,17) + TIME(17,5,22)</f>
        <v>41899.712060185186</v>
      </c>
      <c r="C2202">
        <v>80</v>
      </c>
      <c r="D2202">
        <v>79.967109679999993</v>
      </c>
      <c r="E2202">
        <v>60</v>
      </c>
      <c r="F2202">
        <v>52.157543181999998</v>
      </c>
      <c r="G2202">
        <v>1385.2077637</v>
      </c>
      <c r="H2202">
        <v>1369.9722899999999</v>
      </c>
      <c r="I2202">
        <v>1283.5360106999999</v>
      </c>
      <c r="J2202">
        <v>1262.0584716999999</v>
      </c>
      <c r="K2202">
        <v>2750</v>
      </c>
      <c r="L2202">
        <v>0</v>
      </c>
      <c r="M2202">
        <v>0</v>
      </c>
      <c r="N2202">
        <v>2750</v>
      </c>
    </row>
    <row r="2203" spans="1:14" x14ac:dyDescent="0.25">
      <c r="A2203">
        <v>1602.8901129999999</v>
      </c>
      <c r="B2203" s="1">
        <f>DATE(2014,9,19) + TIME(21,21,45)</f>
        <v>41901.890104166669</v>
      </c>
      <c r="C2203">
        <v>80</v>
      </c>
      <c r="D2203">
        <v>79.967132567999997</v>
      </c>
      <c r="E2203">
        <v>60</v>
      </c>
      <c r="F2203">
        <v>52.070472717000001</v>
      </c>
      <c r="G2203">
        <v>1385.1505127</v>
      </c>
      <c r="H2203">
        <v>1369.921875</v>
      </c>
      <c r="I2203">
        <v>1283.4045410000001</v>
      </c>
      <c r="J2203">
        <v>1261.8486327999999</v>
      </c>
      <c r="K2203">
        <v>2750</v>
      </c>
      <c r="L2203">
        <v>0</v>
      </c>
      <c r="M2203">
        <v>0</v>
      </c>
      <c r="N2203">
        <v>2750</v>
      </c>
    </row>
    <row r="2204" spans="1:14" x14ac:dyDescent="0.25">
      <c r="A2204">
        <v>1605.0985920000001</v>
      </c>
      <c r="B2204" s="1">
        <f>DATE(2014,9,22) + TIME(2,21,58)</f>
        <v>41904.098587962966</v>
      </c>
      <c r="C2204">
        <v>80</v>
      </c>
      <c r="D2204">
        <v>79.967163085999999</v>
      </c>
      <c r="E2204">
        <v>60</v>
      </c>
      <c r="F2204">
        <v>51.986602783000002</v>
      </c>
      <c r="G2204">
        <v>1385.0932617000001</v>
      </c>
      <c r="H2204">
        <v>1369.8710937999999</v>
      </c>
      <c r="I2204">
        <v>1283.2736815999999</v>
      </c>
      <c r="J2204">
        <v>1261.6396483999999</v>
      </c>
      <c r="K2204">
        <v>2750</v>
      </c>
      <c r="L2204">
        <v>0</v>
      </c>
      <c r="M2204">
        <v>0</v>
      </c>
      <c r="N2204">
        <v>2750</v>
      </c>
    </row>
    <row r="2205" spans="1:14" x14ac:dyDescent="0.25">
      <c r="A2205">
        <v>1607.346309</v>
      </c>
      <c r="B2205" s="1">
        <f>DATE(2014,9,24) + TIME(8,18,41)</f>
        <v>41906.346307870372</v>
      </c>
      <c r="C2205">
        <v>80</v>
      </c>
      <c r="D2205">
        <v>79.967185974000003</v>
      </c>
      <c r="E2205">
        <v>60</v>
      </c>
      <c r="F2205">
        <v>51.906147003000001</v>
      </c>
      <c r="G2205">
        <v>1385.0355225000001</v>
      </c>
      <c r="H2205">
        <v>1369.8200684000001</v>
      </c>
      <c r="I2205">
        <v>1283.1434326000001</v>
      </c>
      <c r="J2205">
        <v>1261.4311522999999</v>
      </c>
      <c r="K2205">
        <v>2750</v>
      </c>
      <c r="L2205">
        <v>0</v>
      </c>
      <c r="M2205">
        <v>0</v>
      </c>
      <c r="N2205">
        <v>2750</v>
      </c>
    </row>
    <row r="2206" spans="1:14" x14ac:dyDescent="0.25">
      <c r="A2206">
        <v>1609.6436639999999</v>
      </c>
      <c r="B2206" s="1">
        <f>DATE(2014,9,26) + TIME(15,26,52)</f>
        <v>41908.643657407411</v>
      </c>
      <c r="C2206">
        <v>80</v>
      </c>
      <c r="D2206">
        <v>79.967216492000006</v>
      </c>
      <c r="E2206">
        <v>60</v>
      </c>
      <c r="F2206">
        <v>51.829395294000001</v>
      </c>
      <c r="G2206">
        <v>1384.9772949000001</v>
      </c>
      <c r="H2206">
        <v>1369.7684326000001</v>
      </c>
      <c r="I2206">
        <v>1283.0134277</v>
      </c>
      <c r="J2206">
        <v>1261.2229004000001</v>
      </c>
      <c r="K2206">
        <v>2750</v>
      </c>
      <c r="L2206">
        <v>0</v>
      </c>
      <c r="M2206">
        <v>0</v>
      </c>
      <c r="N2206">
        <v>2750</v>
      </c>
    </row>
    <row r="2207" spans="1:14" x14ac:dyDescent="0.25">
      <c r="A2207">
        <v>1611.9720990000001</v>
      </c>
      <c r="B2207" s="1">
        <f>DATE(2014,9,28) + TIME(23,19,49)</f>
        <v>41910.972094907411</v>
      </c>
      <c r="C2207">
        <v>80</v>
      </c>
      <c r="D2207">
        <v>79.967239379999995</v>
      </c>
      <c r="E2207">
        <v>60</v>
      </c>
      <c r="F2207">
        <v>51.756942748999997</v>
      </c>
      <c r="G2207">
        <v>1384.9183350000001</v>
      </c>
      <c r="H2207">
        <v>1369.7159423999999</v>
      </c>
      <c r="I2207">
        <v>1282.8835449000001</v>
      </c>
      <c r="J2207">
        <v>1261.0147704999999</v>
      </c>
      <c r="K2207">
        <v>2750</v>
      </c>
      <c r="L2207">
        <v>0</v>
      </c>
      <c r="M2207">
        <v>0</v>
      </c>
      <c r="N2207">
        <v>2750</v>
      </c>
    </row>
    <row r="2208" spans="1:14" x14ac:dyDescent="0.25">
      <c r="A2208">
        <v>1614</v>
      </c>
      <c r="B2208" s="1">
        <f>DATE(2014,10,1) + TIME(0,0,0)</f>
        <v>41913</v>
      </c>
      <c r="C2208">
        <v>80</v>
      </c>
      <c r="D2208">
        <v>79.967262267999999</v>
      </c>
      <c r="E2208">
        <v>60</v>
      </c>
      <c r="F2208">
        <v>51.692264557000001</v>
      </c>
      <c r="G2208">
        <v>1384.8590088000001</v>
      </c>
      <c r="H2208">
        <v>1369.6632079999999</v>
      </c>
      <c r="I2208">
        <v>1282.7562256000001</v>
      </c>
      <c r="J2208">
        <v>1260.8116454999999</v>
      </c>
      <c r="K2208">
        <v>2750</v>
      </c>
      <c r="L2208">
        <v>0</v>
      </c>
      <c r="M2208">
        <v>0</v>
      </c>
      <c r="N2208">
        <v>2750</v>
      </c>
    </row>
    <row r="2209" spans="1:14" x14ac:dyDescent="0.25">
      <c r="A2209">
        <v>1616.3455369999999</v>
      </c>
      <c r="B2209" s="1">
        <f>DATE(2014,10,3) + TIME(8,17,34)</f>
        <v>41915.345532407409</v>
      </c>
      <c r="C2209">
        <v>80</v>
      </c>
      <c r="D2209">
        <v>79.967292786000002</v>
      </c>
      <c r="E2209">
        <v>60</v>
      </c>
      <c r="F2209">
        <v>51.635910033999998</v>
      </c>
      <c r="G2209">
        <v>1384.8076172000001</v>
      </c>
      <c r="H2209">
        <v>1369.6174315999999</v>
      </c>
      <c r="I2209">
        <v>1282.6445312000001</v>
      </c>
      <c r="J2209">
        <v>1260.6309814000001</v>
      </c>
      <c r="K2209">
        <v>2750</v>
      </c>
      <c r="L2209">
        <v>0</v>
      </c>
      <c r="M2209">
        <v>0</v>
      </c>
      <c r="N2209">
        <v>2750</v>
      </c>
    </row>
    <row r="2210" spans="1:14" x14ac:dyDescent="0.25">
      <c r="A2210">
        <v>1618.74937</v>
      </c>
      <c r="B2210" s="1">
        <f>DATE(2014,10,5) + TIME(17,59,5)</f>
        <v>41917.749363425923</v>
      </c>
      <c r="C2210">
        <v>80</v>
      </c>
      <c r="D2210">
        <v>79.967323303000001</v>
      </c>
      <c r="E2210">
        <v>60</v>
      </c>
      <c r="F2210">
        <v>51.582496642999999</v>
      </c>
      <c r="G2210">
        <v>1384.7487793</v>
      </c>
      <c r="H2210">
        <v>1369.5649414</v>
      </c>
      <c r="I2210">
        <v>1282.5227050999999</v>
      </c>
      <c r="J2210">
        <v>1260.4362793</v>
      </c>
      <c r="K2210">
        <v>2750</v>
      </c>
      <c r="L2210">
        <v>0</v>
      </c>
      <c r="M2210">
        <v>0</v>
      </c>
      <c r="N2210">
        <v>2750</v>
      </c>
    </row>
    <row r="2211" spans="1:14" x14ac:dyDescent="0.25">
      <c r="A2211">
        <v>1619.9727829999999</v>
      </c>
      <c r="B2211" s="1">
        <f>DATE(2014,10,6) + TIME(23,20,48)</f>
        <v>41918.972777777781</v>
      </c>
      <c r="C2211">
        <v>80</v>
      </c>
      <c r="D2211">
        <v>79.967330933</v>
      </c>
      <c r="E2211">
        <v>60</v>
      </c>
      <c r="F2211">
        <v>51.543830872000001</v>
      </c>
      <c r="G2211">
        <v>1384.6889647999999</v>
      </c>
      <c r="H2211">
        <v>1369.5114745999999</v>
      </c>
      <c r="I2211">
        <v>1282.4073486</v>
      </c>
      <c r="J2211">
        <v>1260.2554932</v>
      </c>
      <c r="K2211">
        <v>2750</v>
      </c>
      <c r="L2211">
        <v>0</v>
      </c>
      <c r="M2211">
        <v>0</v>
      </c>
      <c r="N2211">
        <v>2750</v>
      </c>
    </row>
    <row r="2212" spans="1:14" x14ac:dyDescent="0.25">
      <c r="A2212">
        <v>1621.196195</v>
      </c>
      <c r="B2212" s="1">
        <f>DATE(2014,10,8) + TIME(4,42,31)</f>
        <v>41920.196192129632</v>
      </c>
      <c r="C2212">
        <v>80</v>
      </c>
      <c r="D2212">
        <v>79.967346191000004</v>
      </c>
      <c r="E2212">
        <v>60</v>
      </c>
      <c r="F2212">
        <v>51.517753601000003</v>
      </c>
      <c r="G2212">
        <v>1384.6584473</v>
      </c>
      <c r="H2212">
        <v>1369.4840088000001</v>
      </c>
      <c r="I2212">
        <v>1282.3410644999999</v>
      </c>
      <c r="J2212">
        <v>1260.1470947</v>
      </c>
      <c r="K2212">
        <v>2750</v>
      </c>
      <c r="L2212">
        <v>0</v>
      </c>
      <c r="M2212">
        <v>0</v>
      </c>
      <c r="N2212">
        <v>2750</v>
      </c>
    </row>
    <row r="2213" spans="1:14" x14ac:dyDescent="0.25">
      <c r="A2213">
        <v>1622.4196079999999</v>
      </c>
      <c r="B2213" s="1">
        <f>DATE(2014,10,9) + TIME(10,4,14)</f>
        <v>41921.419606481482</v>
      </c>
      <c r="C2213">
        <v>80</v>
      </c>
      <c r="D2213">
        <v>79.967361449999999</v>
      </c>
      <c r="E2213">
        <v>60</v>
      </c>
      <c r="F2213">
        <v>51.497718810999999</v>
      </c>
      <c r="G2213">
        <v>1384.6282959</v>
      </c>
      <c r="H2213">
        <v>1369.4570312000001</v>
      </c>
      <c r="I2213">
        <v>1282.2799072</v>
      </c>
      <c r="J2213">
        <v>1260.0487060999999</v>
      </c>
      <c r="K2213">
        <v>2750</v>
      </c>
      <c r="L2213">
        <v>0</v>
      </c>
      <c r="M2213">
        <v>0</v>
      </c>
      <c r="N2213">
        <v>2750</v>
      </c>
    </row>
    <row r="2214" spans="1:14" x14ac:dyDescent="0.25">
      <c r="A2214">
        <v>1623.6430210000001</v>
      </c>
      <c r="B2214" s="1">
        <f>DATE(2014,10,10) + TIME(15,25,56)</f>
        <v>41922.643009259256</v>
      </c>
      <c r="C2214">
        <v>80</v>
      </c>
      <c r="D2214">
        <v>79.967369079999997</v>
      </c>
      <c r="E2214">
        <v>60</v>
      </c>
      <c r="F2214">
        <v>51.481372833000002</v>
      </c>
      <c r="G2214">
        <v>1384.5983887</v>
      </c>
      <c r="H2214">
        <v>1369.4301757999999</v>
      </c>
      <c r="I2214">
        <v>1282.2213135</v>
      </c>
      <c r="J2214">
        <v>1259.9552002</v>
      </c>
      <c r="K2214">
        <v>2750</v>
      </c>
      <c r="L2214">
        <v>0</v>
      </c>
      <c r="M2214">
        <v>0</v>
      </c>
      <c r="N2214">
        <v>2750</v>
      </c>
    </row>
    <row r="2215" spans="1:14" x14ac:dyDescent="0.25">
      <c r="A2215">
        <v>1624.8664329999999</v>
      </c>
      <c r="B2215" s="1">
        <f>DATE(2014,10,11) + TIME(20,47,39)</f>
        <v>41923.866423611114</v>
      </c>
      <c r="C2215">
        <v>80</v>
      </c>
      <c r="D2215">
        <v>79.967384338000002</v>
      </c>
      <c r="E2215">
        <v>60</v>
      </c>
      <c r="F2215">
        <v>51.467861176</v>
      </c>
      <c r="G2215">
        <v>1384.5684814000001</v>
      </c>
      <c r="H2215">
        <v>1369.4033202999999</v>
      </c>
      <c r="I2215">
        <v>1282.1644286999999</v>
      </c>
      <c r="J2215">
        <v>1259.8647461</v>
      </c>
      <c r="K2215">
        <v>2750</v>
      </c>
      <c r="L2215">
        <v>0</v>
      </c>
      <c r="M2215">
        <v>0</v>
      </c>
      <c r="N2215">
        <v>2750</v>
      </c>
    </row>
    <row r="2216" spans="1:14" x14ac:dyDescent="0.25">
      <c r="A2216">
        <v>1626.0898460000001</v>
      </c>
      <c r="B2216" s="1">
        <f>DATE(2014,10,13) + TIME(2,9,22)</f>
        <v>41925.089837962965</v>
      </c>
      <c r="C2216">
        <v>80</v>
      </c>
      <c r="D2216">
        <v>79.967399596999996</v>
      </c>
      <c r="E2216">
        <v>60</v>
      </c>
      <c r="F2216">
        <v>51.456893921000002</v>
      </c>
      <c r="G2216">
        <v>1384.5388184000001</v>
      </c>
      <c r="H2216">
        <v>1369.3765868999999</v>
      </c>
      <c r="I2216">
        <v>1282.1088867000001</v>
      </c>
      <c r="J2216">
        <v>1259.7767334</v>
      </c>
      <c r="K2216">
        <v>2750</v>
      </c>
      <c r="L2216">
        <v>0</v>
      </c>
      <c r="M2216">
        <v>0</v>
      </c>
      <c r="N2216">
        <v>2750</v>
      </c>
    </row>
    <row r="2217" spans="1:14" x14ac:dyDescent="0.25">
      <c r="A2217">
        <v>1628.5366710000001</v>
      </c>
      <c r="B2217" s="1">
        <f>DATE(2014,10,15) + TIME(12,52,48)</f>
        <v>41927.536666666667</v>
      </c>
      <c r="C2217">
        <v>80</v>
      </c>
      <c r="D2217">
        <v>79.967437743999994</v>
      </c>
      <c r="E2217">
        <v>60</v>
      </c>
      <c r="F2217">
        <v>51.446430206000002</v>
      </c>
      <c r="G2217">
        <v>1384.5092772999999</v>
      </c>
      <c r="H2217">
        <v>1369.3500977000001</v>
      </c>
      <c r="I2217">
        <v>1282.0505370999999</v>
      </c>
      <c r="J2217">
        <v>1259.6835937999999</v>
      </c>
      <c r="K2217">
        <v>2750</v>
      </c>
      <c r="L2217">
        <v>0</v>
      </c>
      <c r="M2217">
        <v>0</v>
      </c>
      <c r="N2217">
        <v>2750</v>
      </c>
    </row>
    <row r="2218" spans="1:14" x14ac:dyDescent="0.25">
      <c r="A2218">
        <v>1630.9936009999999</v>
      </c>
      <c r="B2218" s="1">
        <f>DATE(2014,10,17) + TIME(23,50,47)</f>
        <v>41929.99359953704</v>
      </c>
      <c r="C2218">
        <v>80</v>
      </c>
      <c r="D2218">
        <v>79.967468261999997</v>
      </c>
      <c r="E2218">
        <v>60</v>
      </c>
      <c r="F2218">
        <v>51.436931610000002</v>
      </c>
      <c r="G2218">
        <v>1384.4506836</v>
      </c>
      <c r="H2218">
        <v>1369.2973632999999</v>
      </c>
      <c r="I2218">
        <v>1281.9500731999999</v>
      </c>
      <c r="J2218">
        <v>1259.5267334</v>
      </c>
      <c r="K2218">
        <v>2750</v>
      </c>
      <c r="L2218">
        <v>0</v>
      </c>
      <c r="M2218">
        <v>0</v>
      </c>
      <c r="N2218">
        <v>2750</v>
      </c>
    </row>
    <row r="2219" spans="1:14" x14ac:dyDescent="0.25">
      <c r="A2219">
        <v>1633.5080359999999</v>
      </c>
      <c r="B2219" s="1">
        <f>DATE(2014,10,20) + TIME(12,11,34)</f>
        <v>41932.508032407408</v>
      </c>
      <c r="C2219">
        <v>80</v>
      </c>
      <c r="D2219">
        <v>79.967498778999996</v>
      </c>
      <c r="E2219">
        <v>60</v>
      </c>
      <c r="F2219">
        <v>51.435207366999997</v>
      </c>
      <c r="G2219">
        <v>1384.3920897999999</v>
      </c>
      <c r="H2219">
        <v>1369.2446289</v>
      </c>
      <c r="I2219">
        <v>1281.8491211</v>
      </c>
      <c r="J2219">
        <v>1259.3691406</v>
      </c>
      <c r="K2219">
        <v>2750</v>
      </c>
      <c r="L2219">
        <v>0</v>
      </c>
      <c r="M2219">
        <v>0</v>
      </c>
      <c r="N2219">
        <v>2750</v>
      </c>
    </row>
    <row r="2220" spans="1:14" x14ac:dyDescent="0.25">
      <c r="A2220">
        <v>1636.087794</v>
      </c>
      <c r="B2220" s="1">
        <f>DATE(2014,10,23) + TIME(2,6,25)</f>
        <v>41935.087789351855</v>
      </c>
      <c r="C2220">
        <v>80</v>
      </c>
      <c r="D2220">
        <v>79.967529296999999</v>
      </c>
      <c r="E2220">
        <v>60</v>
      </c>
      <c r="F2220">
        <v>51.442951202000003</v>
      </c>
      <c r="G2220">
        <v>1384.3327637</v>
      </c>
      <c r="H2220">
        <v>1369.1911620999999</v>
      </c>
      <c r="I2220">
        <v>1281.7496338000001</v>
      </c>
      <c r="J2220">
        <v>1259.2149658000001</v>
      </c>
      <c r="K2220">
        <v>2750</v>
      </c>
      <c r="L2220">
        <v>0</v>
      </c>
      <c r="M2220">
        <v>0</v>
      </c>
      <c r="N2220">
        <v>2750</v>
      </c>
    </row>
    <row r="2221" spans="1:14" x14ac:dyDescent="0.25">
      <c r="A2221">
        <v>1638.742336</v>
      </c>
      <c r="B2221" s="1">
        <f>DATE(2014,10,25) + TIME(17,48,57)</f>
        <v>41937.742326388892</v>
      </c>
      <c r="C2221">
        <v>80</v>
      </c>
      <c r="D2221">
        <v>79.967559813999998</v>
      </c>
      <c r="E2221">
        <v>60</v>
      </c>
      <c r="F2221">
        <v>51.461032867</v>
      </c>
      <c r="G2221">
        <v>1384.2724608999999</v>
      </c>
      <c r="H2221">
        <v>1369.1367187999999</v>
      </c>
      <c r="I2221">
        <v>1281.6522216999999</v>
      </c>
      <c r="J2221">
        <v>1259.0655518000001</v>
      </c>
      <c r="K2221">
        <v>2750</v>
      </c>
      <c r="L2221">
        <v>0</v>
      </c>
      <c r="M2221">
        <v>0</v>
      </c>
      <c r="N2221">
        <v>2750</v>
      </c>
    </row>
    <row r="2222" spans="1:14" x14ac:dyDescent="0.25">
      <c r="A2222">
        <v>1641.4717820000001</v>
      </c>
      <c r="B2222" s="1">
        <f>DATE(2014,10,28) + TIME(11,19,21)</f>
        <v>41940.471770833334</v>
      </c>
      <c r="C2222">
        <v>80</v>
      </c>
      <c r="D2222">
        <v>79.967590332</v>
      </c>
      <c r="E2222">
        <v>60</v>
      </c>
      <c r="F2222">
        <v>51.490123748999999</v>
      </c>
      <c r="G2222">
        <v>1384.2110596</v>
      </c>
      <c r="H2222">
        <v>1369.0812988</v>
      </c>
      <c r="I2222">
        <v>1281.557251</v>
      </c>
      <c r="J2222">
        <v>1258.9213867000001</v>
      </c>
      <c r="K2222">
        <v>2750</v>
      </c>
      <c r="L2222">
        <v>0</v>
      </c>
      <c r="M2222">
        <v>0</v>
      </c>
      <c r="N2222">
        <v>2750</v>
      </c>
    </row>
    <row r="2223" spans="1:14" x14ac:dyDescent="0.25">
      <c r="A2223">
        <v>1644.228558</v>
      </c>
      <c r="B2223" s="1">
        <f>DATE(2014,10,31) + TIME(5,29,7)</f>
        <v>41943.22855324074</v>
      </c>
      <c r="C2223">
        <v>80</v>
      </c>
      <c r="D2223">
        <v>79.967628478999998</v>
      </c>
      <c r="E2223">
        <v>60</v>
      </c>
      <c r="F2223">
        <v>51.530441283999998</v>
      </c>
      <c r="G2223">
        <v>1384.1485596</v>
      </c>
      <c r="H2223">
        <v>1369.0247803</v>
      </c>
      <c r="I2223">
        <v>1281.4649658000001</v>
      </c>
      <c r="J2223">
        <v>1258.7833252</v>
      </c>
      <c r="K2223">
        <v>2750</v>
      </c>
      <c r="L2223">
        <v>0</v>
      </c>
      <c r="M2223">
        <v>0</v>
      </c>
      <c r="N2223">
        <v>2750</v>
      </c>
    </row>
    <row r="2224" spans="1:14" x14ac:dyDescent="0.25">
      <c r="A2224">
        <v>1645</v>
      </c>
      <c r="B2224" s="1">
        <f>DATE(2014,11,1) + TIME(0,0,0)</f>
        <v>41944</v>
      </c>
      <c r="C2224">
        <v>80</v>
      </c>
      <c r="D2224">
        <v>79.967628478999998</v>
      </c>
      <c r="E2224">
        <v>60</v>
      </c>
      <c r="F2224">
        <v>51.564228057999998</v>
      </c>
      <c r="G2224">
        <v>1384.0867920000001</v>
      </c>
      <c r="H2224">
        <v>1368.9688721</v>
      </c>
      <c r="I2224">
        <v>1281.390625</v>
      </c>
      <c r="J2224">
        <v>1258.6702881000001</v>
      </c>
      <c r="K2224">
        <v>2750</v>
      </c>
      <c r="L2224">
        <v>0</v>
      </c>
      <c r="M2224">
        <v>0</v>
      </c>
      <c r="N2224">
        <v>2750</v>
      </c>
    </row>
    <row r="2225" spans="1:14" x14ac:dyDescent="0.25">
      <c r="A2225">
        <v>1645.0000010000001</v>
      </c>
      <c r="B2225" s="1">
        <f>DATE(2014,11,1) + TIME(0,0,0)</f>
        <v>41944</v>
      </c>
      <c r="C2225">
        <v>80</v>
      </c>
      <c r="D2225">
        <v>79.967483521000005</v>
      </c>
      <c r="E2225">
        <v>60</v>
      </c>
      <c r="F2225">
        <v>51.564376830999997</v>
      </c>
      <c r="G2225">
        <v>1367.9698486</v>
      </c>
      <c r="H2225">
        <v>1354.0830077999999</v>
      </c>
      <c r="I2225">
        <v>1305.1323242000001</v>
      </c>
      <c r="J2225">
        <v>1282.4544678</v>
      </c>
      <c r="K2225">
        <v>0</v>
      </c>
      <c r="L2225">
        <v>2750</v>
      </c>
      <c r="M2225">
        <v>2750</v>
      </c>
      <c r="N2225">
        <v>0</v>
      </c>
    </row>
    <row r="2226" spans="1:14" x14ac:dyDescent="0.25">
      <c r="A2226">
        <v>1645.000004</v>
      </c>
      <c r="B2226" s="1">
        <f>DATE(2014,11,1) + TIME(0,0,0)</f>
        <v>41944</v>
      </c>
      <c r="C2226">
        <v>80</v>
      </c>
      <c r="D2226">
        <v>79.967124939000001</v>
      </c>
      <c r="E2226">
        <v>60</v>
      </c>
      <c r="F2226">
        <v>51.564769745</v>
      </c>
      <c r="G2226">
        <v>1365.4459228999999</v>
      </c>
      <c r="H2226">
        <v>1351.5585937999999</v>
      </c>
      <c r="I2226">
        <v>1307.8457031</v>
      </c>
      <c r="J2226">
        <v>1285.2806396000001</v>
      </c>
      <c r="K2226">
        <v>0</v>
      </c>
      <c r="L2226">
        <v>2750</v>
      </c>
      <c r="M2226">
        <v>2750</v>
      </c>
      <c r="N2226">
        <v>0</v>
      </c>
    </row>
    <row r="2227" spans="1:14" x14ac:dyDescent="0.25">
      <c r="A2227">
        <v>1645.0000130000001</v>
      </c>
      <c r="B2227" s="1">
        <f>DATE(2014,11,1) + TIME(0,0,1)</f>
        <v>41944.000011574077</v>
      </c>
      <c r="C2227">
        <v>80</v>
      </c>
      <c r="D2227">
        <v>79.966400145999998</v>
      </c>
      <c r="E2227">
        <v>60</v>
      </c>
      <c r="F2227">
        <v>51.565681458</v>
      </c>
      <c r="G2227">
        <v>1360.3511963000001</v>
      </c>
      <c r="H2227">
        <v>1346.463501</v>
      </c>
      <c r="I2227">
        <v>1313.9675293</v>
      </c>
      <c r="J2227">
        <v>1291.5744629000001</v>
      </c>
      <c r="K2227">
        <v>0</v>
      </c>
      <c r="L2227">
        <v>2750</v>
      </c>
      <c r="M2227">
        <v>2750</v>
      </c>
      <c r="N2227">
        <v>0</v>
      </c>
    </row>
    <row r="2228" spans="1:14" x14ac:dyDescent="0.25">
      <c r="A2228">
        <v>1645.0000399999999</v>
      </c>
      <c r="B2228" s="1">
        <f>DATE(2014,11,1) + TIME(0,0,3)</f>
        <v>41944.000034722223</v>
      </c>
      <c r="C2228">
        <v>80</v>
      </c>
      <c r="D2228">
        <v>79.965339661000002</v>
      </c>
      <c r="E2228">
        <v>60</v>
      </c>
      <c r="F2228">
        <v>51.567325592000003</v>
      </c>
      <c r="G2228">
        <v>1352.9093018000001</v>
      </c>
      <c r="H2228">
        <v>1339.0233154</v>
      </c>
      <c r="I2228">
        <v>1324.2698975000001</v>
      </c>
      <c r="J2228">
        <v>1301.9749756000001</v>
      </c>
      <c r="K2228">
        <v>0</v>
      </c>
      <c r="L2228">
        <v>2750</v>
      </c>
      <c r="M2228">
        <v>2750</v>
      </c>
      <c r="N2228">
        <v>0</v>
      </c>
    </row>
    <row r="2229" spans="1:14" x14ac:dyDescent="0.25">
      <c r="A2229">
        <v>1645.000121</v>
      </c>
      <c r="B2229" s="1">
        <f>DATE(2014,11,1) + TIME(0,0,10)</f>
        <v>41944.000115740739</v>
      </c>
      <c r="C2229">
        <v>80</v>
      </c>
      <c r="D2229">
        <v>79.964157103999995</v>
      </c>
      <c r="E2229">
        <v>60</v>
      </c>
      <c r="F2229">
        <v>51.569911957000002</v>
      </c>
      <c r="G2229">
        <v>1344.6292725000001</v>
      </c>
      <c r="H2229">
        <v>1330.7476807</v>
      </c>
      <c r="I2229">
        <v>1336.9771728999999</v>
      </c>
      <c r="J2229">
        <v>1314.6585693</v>
      </c>
      <c r="K2229">
        <v>0</v>
      </c>
      <c r="L2229">
        <v>2750</v>
      </c>
      <c r="M2229">
        <v>2750</v>
      </c>
      <c r="N2229">
        <v>0</v>
      </c>
    </row>
    <row r="2230" spans="1:14" x14ac:dyDescent="0.25">
      <c r="A2230">
        <v>1645.000364</v>
      </c>
      <c r="B2230" s="1">
        <f>DATE(2014,11,1) + TIME(0,0,31)</f>
        <v>41944.000358796293</v>
      </c>
      <c r="C2230">
        <v>80</v>
      </c>
      <c r="D2230">
        <v>79.962928771999998</v>
      </c>
      <c r="E2230">
        <v>60</v>
      </c>
      <c r="F2230">
        <v>51.574520110999998</v>
      </c>
      <c r="G2230">
        <v>1336.3099365</v>
      </c>
      <c r="H2230">
        <v>1322.4339600000001</v>
      </c>
      <c r="I2230">
        <v>1350.2181396000001</v>
      </c>
      <c r="J2230">
        <v>1327.8511963000001</v>
      </c>
      <c r="K2230">
        <v>0</v>
      </c>
      <c r="L2230">
        <v>2750</v>
      </c>
      <c r="M2230">
        <v>2750</v>
      </c>
      <c r="N2230">
        <v>0</v>
      </c>
    </row>
    <row r="2231" spans="1:14" x14ac:dyDescent="0.25">
      <c r="A2231">
        <v>1645.0010930000001</v>
      </c>
      <c r="B2231" s="1">
        <f>DATE(2014,11,1) + TIME(0,1,34)</f>
        <v>41944.001087962963</v>
      </c>
      <c r="C2231">
        <v>80</v>
      </c>
      <c r="D2231">
        <v>79.961624146000005</v>
      </c>
      <c r="E2231">
        <v>60</v>
      </c>
      <c r="F2231">
        <v>51.585041046000001</v>
      </c>
      <c r="G2231">
        <v>1327.9655762</v>
      </c>
      <c r="H2231">
        <v>1314.0729980000001</v>
      </c>
      <c r="I2231">
        <v>1363.6805420000001</v>
      </c>
      <c r="J2231">
        <v>1341.2419434000001</v>
      </c>
      <c r="K2231">
        <v>0</v>
      </c>
      <c r="L2231">
        <v>2750</v>
      </c>
      <c r="M2231">
        <v>2750</v>
      </c>
      <c r="N2231">
        <v>0</v>
      </c>
    </row>
    <row r="2232" spans="1:14" x14ac:dyDescent="0.25">
      <c r="A2232">
        <v>1645.0032799999999</v>
      </c>
      <c r="B2232" s="1">
        <f>DATE(2014,11,1) + TIME(0,4,43)</f>
        <v>41944.003275462965</v>
      </c>
      <c r="C2232">
        <v>80</v>
      </c>
      <c r="D2232">
        <v>79.960029602000006</v>
      </c>
      <c r="E2232">
        <v>60</v>
      </c>
      <c r="F2232">
        <v>51.613311768000003</v>
      </c>
      <c r="G2232">
        <v>1319.4011230000001</v>
      </c>
      <c r="H2232">
        <v>1305.4024658000001</v>
      </c>
      <c r="I2232">
        <v>1377.4287108999999</v>
      </c>
      <c r="J2232">
        <v>1354.8516846</v>
      </c>
      <c r="K2232">
        <v>0</v>
      </c>
      <c r="L2232">
        <v>2750</v>
      </c>
      <c r="M2232">
        <v>2750</v>
      </c>
      <c r="N2232">
        <v>0</v>
      </c>
    </row>
    <row r="2233" spans="1:14" x14ac:dyDescent="0.25">
      <c r="A2233">
        <v>1645.0098410000001</v>
      </c>
      <c r="B2233" s="1">
        <f>DATE(2014,11,1) + TIME(0,14,10)</f>
        <v>41944.009837962964</v>
      </c>
      <c r="C2233">
        <v>80</v>
      </c>
      <c r="D2233">
        <v>79.957672118999994</v>
      </c>
      <c r="E2233">
        <v>60</v>
      </c>
      <c r="F2233">
        <v>51.694492339999996</v>
      </c>
      <c r="G2233">
        <v>1310.8608397999999</v>
      </c>
      <c r="H2233">
        <v>1296.7080077999999</v>
      </c>
      <c r="I2233">
        <v>1390.4128418</v>
      </c>
      <c r="J2233">
        <v>1367.6660156</v>
      </c>
      <c r="K2233">
        <v>0</v>
      </c>
      <c r="L2233">
        <v>2750</v>
      </c>
      <c r="M2233">
        <v>2750</v>
      </c>
      <c r="N2233">
        <v>0</v>
      </c>
    </row>
    <row r="2234" spans="1:14" x14ac:dyDescent="0.25">
      <c r="A2234">
        <v>1645.029524</v>
      </c>
      <c r="B2234" s="1">
        <f>DATE(2014,11,1) + TIME(0,42,30)</f>
        <v>41944.029513888891</v>
      </c>
      <c r="C2234">
        <v>80</v>
      </c>
      <c r="D2234">
        <v>79.953315735000004</v>
      </c>
      <c r="E2234">
        <v>60</v>
      </c>
      <c r="F2234">
        <v>51.929103851000001</v>
      </c>
      <c r="G2234">
        <v>1303.8941649999999</v>
      </c>
      <c r="H2234">
        <v>1289.6542969</v>
      </c>
      <c r="I2234">
        <v>1399.7886963000001</v>
      </c>
      <c r="J2234">
        <v>1376.9788818</v>
      </c>
      <c r="K2234">
        <v>0</v>
      </c>
      <c r="L2234">
        <v>2750</v>
      </c>
      <c r="M2234">
        <v>2750</v>
      </c>
      <c r="N2234">
        <v>0</v>
      </c>
    </row>
    <row r="2235" spans="1:14" x14ac:dyDescent="0.25">
      <c r="A2235">
        <v>1645.0687210000001</v>
      </c>
      <c r="B2235" s="1">
        <f>DATE(2014,11,1) + TIME(1,38,57)</f>
        <v>41944.068715277775</v>
      </c>
      <c r="C2235">
        <v>80</v>
      </c>
      <c r="D2235">
        <v>79.946342467999997</v>
      </c>
      <c r="E2235">
        <v>60</v>
      </c>
      <c r="F2235">
        <v>52.370002747000001</v>
      </c>
      <c r="G2235">
        <v>1300.6475829999999</v>
      </c>
      <c r="H2235">
        <v>1286.3830565999999</v>
      </c>
      <c r="I2235">
        <v>1403.1964111</v>
      </c>
      <c r="J2235">
        <v>1380.4942627</v>
      </c>
      <c r="K2235">
        <v>0</v>
      </c>
      <c r="L2235">
        <v>2750</v>
      </c>
      <c r="M2235">
        <v>2750</v>
      </c>
      <c r="N2235">
        <v>0</v>
      </c>
    </row>
    <row r="2236" spans="1:14" x14ac:dyDescent="0.25">
      <c r="A2236">
        <v>1645.109567</v>
      </c>
      <c r="B2236" s="1">
        <f>DATE(2014,11,1) + TIME(2,37,46)</f>
        <v>41944.109560185185</v>
      </c>
      <c r="C2236">
        <v>80</v>
      </c>
      <c r="D2236">
        <v>79.939521790000001</v>
      </c>
      <c r="E2236">
        <v>60</v>
      </c>
      <c r="F2236">
        <v>52.803352355999998</v>
      </c>
      <c r="G2236">
        <v>1299.7164307</v>
      </c>
      <c r="H2236">
        <v>1285.4464111</v>
      </c>
      <c r="I2236">
        <v>1403.7183838000001</v>
      </c>
      <c r="J2236">
        <v>1381.1556396000001</v>
      </c>
      <c r="K2236">
        <v>0</v>
      </c>
      <c r="L2236">
        <v>2750</v>
      </c>
      <c r="M2236">
        <v>2750</v>
      </c>
      <c r="N2236">
        <v>0</v>
      </c>
    </row>
    <row r="2237" spans="1:14" x14ac:dyDescent="0.25">
      <c r="A2237">
        <v>1645.1520190000001</v>
      </c>
      <c r="B2237" s="1">
        <f>DATE(2014,11,1) + TIME(3,38,54)</f>
        <v>41944.152013888888</v>
      </c>
      <c r="C2237">
        <v>80</v>
      </c>
      <c r="D2237">
        <v>79.932632446</v>
      </c>
      <c r="E2237">
        <v>60</v>
      </c>
      <c r="F2237">
        <v>53.227268219000003</v>
      </c>
      <c r="G2237">
        <v>1299.4223632999999</v>
      </c>
      <c r="H2237">
        <v>1285.1505127</v>
      </c>
      <c r="I2237">
        <v>1403.6029053</v>
      </c>
      <c r="J2237">
        <v>1381.1844481999999</v>
      </c>
      <c r="K2237">
        <v>0</v>
      </c>
      <c r="L2237">
        <v>2750</v>
      </c>
      <c r="M2237">
        <v>2750</v>
      </c>
      <c r="N2237">
        <v>0</v>
      </c>
    </row>
    <row r="2238" spans="1:14" x14ac:dyDescent="0.25">
      <c r="A2238">
        <v>1645.1961839999999</v>
      </c>
      <c r="B2238" s="1">
        <f>DATE(2014,11,1) + TIME(4,42,30)</f>
        <v>41944.196180555555</v>
      </c>
      <c r="C2238">
        <v>80</v>
      </c>
      <c r="D2238">
        <v>79.925621032999999</v>
      </c>
      <c r="E2238">
        <v>60</v>
      </c>
      <c r="F2238">
        <v>53.641368866000001</v>
      </c>
      <c r="G2238">
        <v>1299.3208007999999</v>
      </c>
      <c r="H2238">
        <v>1285.0482178</v>
      </c>
      <c r="I2238">
        <v>1403.3613281</v>
      </c>
      <c r="J2238">
        <v>1381.0844727000001</v>
      </c>
      <c r="K2238">
        <v>0</v>
      </c>
      <c r="L2238">
        <v>2750</v>
      </c>
      <c r="M2238">
        <v>2750</v>
      </c>
      <c r="N2238">
        <v>0</v>
      </c>
    </row>
    <row r="2239" spans="1:14" x14ac:dyDescent="0.25">
      <c r="A2239">
        <v>1645.2422180000001</v>
      </c>
      <c r="B2239" s="1">
        <f>DATE(2014,11,1) + TIME(5,48,47)</f>
        <v>41944.242210648146</v>
      </c>
      <c r="C2239">
        <v>80</v>
      </c>
      <c r="D2239">
        <v>79.918434142999999</v>
      </c>
      <c r="E2239">
        <v>60</v>
      </c>
      <c r="F2239">
        <v>54.045589446999998</v>
      </c>
      <c r="G2239">
        <v>1299.2823486</v>
      </c>
      <c r="H2239">
        <v>1285.0092772999999</v>
      </c>
      <c r="I2239">
        <v>1403.1070557</v>
      </c>
      <c r="J2239">
        <v>1380.9676514</v>
      </c>
      <c r="K2239">
        <v>0</v>
      </c>
      <c r="L2239">
        <v>2750</v>
      </c>
      <c r="M2239">
        <v>2750</v>
      </c>
      <c r="N2239">
        <v>0</v>
      </c>
    </row>
    <row r="2240" spans="1:14" x14ac:dyDescent="0.25">
      <c r="A2240">
        <v>1645.2902979999999</v>
      </c>
      <c r="B2240" s="1">
        <f>DATE(2014,11,1) + TIME(6,58,1)</f>
        <v>41944.290289351855</v>
      </c>
      <c r="C2240">
        <v>80</v>
      </c>
      <c r="D2240">
        <v>79.911071777000004</v>
      </c>
      <c r="E2240">
        <v>60</v>
      </c>
      <c r="F2240">
        <v>54.439826965000002</v>
      </c>
      <c r="G2240">
        <v>1299.2663574000001</v>
      </c>
      <c r="H2240">
        <v>1284.9927978999999</v>
      </c>
      <c r="I2240">
        <v>1402.8613281</v>
      </c>
      <c r="J2240">
        <v>1380.8547363</v>
      </c>
      <c r="K2240">
        <v>0</v>
      </c>
      <c r="L2240">
        <v>2750</v>
      </c>
      <c r="M2240">
        <v>2750</v>
      </c>
      <c r="N2240">
        <v>0</v>
      </c>
    </row>
    <row r="2241" spans="1:14" x14ac:dyDescent="0.25">
      <c r="A2241">
        <v>1645.340653</v>
      </c>
      <c r="B2241" s="1">
        <f>DATE(2014,11,1) + TIME(8,10,32)</f>
        <v>41944.340648148151</v>
      </c>
      <c r="C2241">
        <v>80</v>
      </c>
      <c r="D2241">
        <v>79.903488159000005</v>
      </c>
      <c r="E2241">
        <v>60</v>
      </c>
      <c r="F2241">
        <v>54.824157714999998</v>
      </c>
      <c r="G2241">
        <v>1299.2587891000001</v>
      </c>
      <c r="H2241">
        <v>1284.9848632999999</v>
      </c>
      <c r="I2241">
        <v>1402.6253661999999</v>
      </c>
      <c r="J2241">
        <v>1380.7471923999999</v>
      </c>
      <c r="K2241">
        <v>0</v>
      </c>
      <c r="L2241">
        <v>2750</v>
      </c>
      <c r="M2241">
        <v>2750</v>
      </c>
      <c r="N2241">
        <v>0</v>
      </c>
    </row>
    <row r="2242" spans="1:14" x14ac:dyDescent="0.25">
      <c r="A2242">
        <v>1645.3935349999999</v>
      </c>
      <c r="B2242" s="1">
        <f>DATE(2014,11,1) + TIME(9,26,41)</f>
        <v>41944.393530092595</v>
      </c>
      <c r="C2242">
        <v>80</v>
      </c>
      <c r="D2242">
        <v>79.895660399999997</v>
      </c>
      <c r="E2242">
        <v>60</v>
      </c>
      <c r="F2242">
        <v>55.198543549</v>
      </c>
      <c r="G2242">
        <v>1299.2545166</v>
      </c>
      <c r="H2242">
        <v>1284.9802245999999</v>
      </c>
      <c r="I2242">
        <v>1402.3977050999999</v>
      </c>
      <c r="J2242">
        <v>1380.6436768000001</v>
      </c>
      <c r="K2242">
        <v>0</v>
      </c>
      <c r="L2242">
        <v>2750</v>
      </c>
      <c r="M2242">
        <v>2750</v>
      </c>
      <c r="N2242">
        <v>0</v>
      </c>
    </row>
    <row r="2243" spans="1:14" x14ac:dyDescent="0.25">
      <c r="A2243">
        <v>1645.449241</v>
      </c>
      <c r="B2243" s="1">
        <f>DATE(2014,11,1) + TIME(10,46,54)</f>
        <v>41944.449236111112</v>
      </c>
      <c r="C2243">
        <v>80</v>
      </c>
      <c r="D2243">
        <v>79.887565613000007</v>
      </c>
      <c r="E2243">
        <v>60</v>
      </c>
      <c r="F2243">
        <v>55.562908172999997</v>
      </c>
      <c r="G2243">
        <v>1299.2514647999999</v>
      </c>
      <c r="H2243">
        <v>1284.9768065999999</v>
      </c>
      <c r="I2243">
        <v>1402.1770019999999</v>
      </c>
      <c r="J2243">
        <v>1380.5427245999999</v>
      </c>
      <c r="K2243">
        <v>0</v>
      </c>
      <c r="L2243">
        <v>2750</v>
      </c>
      <c r="M2243">
        <v>2750</v>
      </c>
      <c r="N2243">
        <v>0</v>
      </c>
    </row>
    <row r="2244" spans="1:14" x14ac:dyDescent="0.25">
      <c r="A2244">
        <v>1645.50812</v>
      </c>
      <c r="B2244" s="1">
        <f>DATE(2014,11,1) + TIME(12,11,41)</f>
        <v>41944.508113425924</v>
      </c>
      <c r="C2244">
        <v>80</v>
      </c>
      <c r="D2244">
        <v>79.879158020000006</v>
      </c>
      <c r="E2244">
        <v>60</v>
      </c>
      <c r="F2244">
        <v>55.917163848999998</v>
      </c>
      <c r="G2244">
        <v>1299.2489014</v>
      </c>
      <c r="H2244">
        <v>1284.9738769999999</v>
      </c>
      <c r="I2244">
        <v>1401.9624022999999</v>
      </c>
      <c r="J2244">
        <v>1380.4438477000001</v>
      </c>
      <c r="K2244">
        <v>0</v>
      </c>
      <c r="L2244">
        <v>2750</v>
      </c>
      <c r="M2244">
        <v>2750</v>
      </c>
      <c r="N2244">
        <v>0</v>
      </c>
    </row>
    <row r="2245" spans="1:14" x14ac:dyDescent="0.25">
      <c r="A2245">
        <v>1645.5705869999999</v>
      </c>
      <c r="B2245" s="1">
        <f>DATE(2014,11,1) + TIME(13,41,38)</f>
        <v>41944.5705787037</v>
      </c>
      <c r="C2245">
        <v>80</v>
      </c>
      <c r="D2245">
        <v>79.870399474999999</v>
      </c>
      <c r="E2245">
        <v>60</v>
      </c>
      <c r="F2245">
        <v>56.261177062999998</v>
      </c>
      <c r="G2245">
        <v>1299.2464600000001</v>
      </c>
      <c r="H2245">
        <v>1284.9709473</v>
      </c>
      <c r="I2245">
        <v>1401.7531738</v>
      </c>
      <c r="J2245">
        <v>1380.3464355000001</v>
      </c>
      <c r="K2245">
        <v>0</v>
      </c>
      <c r="L2245">
        <v>2750</v>
      </c>
      <c r="M2245">
        <v>2750</v>
      </c>
      <c r="N2245">
        <v>0</v>
      </c>
    </row>
    <row r="2246" spans="1:14" x14ac:dyDescent="0.25">
      <c r="A2246">
        <v>1645.6371389999999</v>
      </c>
      <c r="B2246" s="1">
        <f>DATE(2014,11,1) + TIME(15,17,28)</f>
        <v>41944.637129629627</v>
      </c>
      <c r="C2246">
        <v>80</v>
      </c>
      <c r="D2246">
        <v>79.861251831000004</v>
      </c>
      <c r="E2246">
        <v>60</v>
      </c>
      <c r="F2246">
        <v>56.594772339000002</v>
      </c>
      <c r="G2246">
        <v>1299.2440185999999</v>
      </c>
      <c r="H2246">
        <v>1284.9680175999999</v>
      </c>
      <c r="I2246">
        <v>1401.5489502</v>
      </c>
      <c r="J2246">
        <v>1380.2501221</v>
      </c>
      <c r="K2246">
        <v>0</v>
      </c>
      <c r="L2246">
        <v>2750</v>
      </c>
      <c r="M2246">
        <v>2750</v>
      </c>
      <c r="N2246">
        <v>0</v>
      </c>
    </row>
    <row r="2247" spans="1:14" x14ac:dyDescent="0.25">
      <c r="A2247">
        <v>1645.7083809999999</v>
      </c>
      <c r="B2247" s="1">
        <f>DATE(2014,11,1) + TIME(17,0,4)</f>
        <v>41944.708379629628</v>
      </c>
      <c r="C2247">
        <v>80</v>
      </c>
      <c r="D2247">
        <v>79.851638793999996</v>
      </c>
      <c r="E2247">
        <v>60</v>
      </c>
      <c r="F2247">
        <v>56.917739867999998</v>
      </c>
      <c r="G2247">
        <v>1299.2413329999999</v>
      </c>
      <c r="H2247">
        <v>1284.9648437999999</v>
      </c>
      <c r="I2247">
        <v>1401.3493652</v>
      </c>
      <c r="J2247">
        <v>1380.1547852000001</v>
      </c>
      <c r="K2247">
        <v>0</v>
      </c>
      <c r="L2247">
        <v>2750</v>
      </c>
      <c r="M2247">
        <v>2750</v>
      </c>
      <c r="N2247">
        <v>0</v>
      </c>
    </row>
    <row r="2248" spans="1:14" x14ac:dyDescent="0.25">
      <c r="A2248">
        <v>1645.7850539999999</v>
      </c>
      <c r="B2248" s="1">
        <f>DATE(2014,11,1) + TIME(18,50,28)</f>
        <v>41944.785046296296</v>
      </c>
      <c r="C2248">
        <v>80</v>
      </c>
      <c r="D2248">
        <v>79.841491699000002</v>
      </c>
      <c r="E2248">
        <v>60</v>
      </c>
      <c r="F2248">
        <v>57.229816436999997</v>
      </c>
      <c r="G2248">
        <v>1299.2385254000001</v>
      </c>
      <c r="H2248">
        <v>1284.9615478999999</v>
      </c>
      <c r="I2248">
        <v>1401.1542969</v>
      </c>
      <c r="J2248">
        <v>1380.0599365</v>
      </c>
      <c r="K2248">
        <v>0</v>
      </c>
      <c r="L2248">
        <v>2750</v>
      </c>
      <c r="M2248">
        <v>2750</v>
      </c>
      <c r="N2248">
        <v>0</v>
      </c>
    </row>
    <row r="2249" spans="1:14" x14ac:dyDescent="0.25">
      <c r="A2249">
        <v>1645.8680870000001</v>
      </c>
      <c r="B2249" s="1">
        <f>DATE(2014,11,1) + TIME(20,50,2)</f>
        <v>41944.868078703701</v>
      </c>
      <c r="C2249">
        <v>80</v>
      </c>
      <c r="D2249">
        <v>79.830726623999993</v>
      </c>
      <c r="E2249">
        <v>60</v>
      </c>
      <c r="F2249">
        <v>57.530666351000001</v>
      </c>
      <c r="G2249">
        <v>1299.2353516000001</v>
      </c>
      <c r="H2249">
        <v>1284.9578856999999</v>
      </c>
      <c r="I2249">
        <v>1400.9631348</v>
      </c>
      <c r="J2249">
        <v>1379.9655762</v>
      </c>
      <c r="K2249">
        <v>0</v>
      </c>
      <c r="L2249">
        <v>2750</v>
      </c>
      <c r="M2249">
        <v>2750</v>
      </c>
      <c r="N2249">
        <v>0</v>
      </c>
    </row>
    <row r="2250" spans="1:14" x14ac:dyDescent="0.25">
      <c r="A2250">
        <v>1645.9586750000001</v>
      </c>
      <c r="B2250" s="1">
        <f>DATE(2014,11,1) + TIME(23,0,29)</f>
        <v>41944.958668981482</v>
      </c>
      <c r="C2250">
        <v>80</v>
      </c>
      <c r="D2250">
        <v>79.819229125999996</v>
      </c>
      <c r="E2250">
        <v>60</v>
      </c>
      <c r="F2250">
        <v>57.819942474000001</v>
      </c>
      <c r="G2250">
        <v>1299.2320557</v>
      </c>
      <c r="H2250">
        <v>1284.9539795000001</v>
      </c>
      <c r="I2250">
        <v>1400.7757568</v>
      </c>
      <c r="J2250">
        <v>1379.8713379000001</v>
      </c>
      <c r="K2250">
        <v>0</v>
      </c>
      <c r="L2250">
        <v>2750</v>
      </c>
      <c r="M2250">
        <v>2750</v>
      </c>
      <c r="N2250">
        <v>0</v>
      </c>
    </row>
    <row r="2251" spans="1:14" x14ac:dyDescent="0.25">
      <c r="A2251">
        <v>1646.0583509999999</v>
      </c>
      <c r="B2251" s="1">
        <f>DATE(2014,11,2) + TIME(1,24,1)</f>
        <v>41945.058344907404</v>
      </c>
      <c r="C2251">
        <v>80</v>
      </c>
      <c r="D2251">
        <v>79.806854247999993</v>
      </c>
      <c r="E2251">
        <v>60</v>
      </c>
      <c r="F2251">
        <v>58.097160338999998</v>
      </c>
      <c r="G2251">
        <v>1299.2283935999999</v>
      </c>
      <c r="H2251">
        <v>1284.949707</v>
      </c>
      <c r="I2251">
        <v>1400.5916748</v>
      </c>
      <c r="J2251">
        <v>1379.7767334</v>
      </c>
      <c r="K2251">
        <v>0</v>
      </c>
      <c r="L2251">
        <v>2750</v>
      </c>
      <c r="M2251">
        <v>2750</v>
      </c>
      <c r="N2251">
        <v>0</v>
      </c>
    </row>
    <row r="2252" spans="1:14" x14ac:dyDescent="0.25">
      <c r="A2252">
        <v>1646.1691060000001</v>
      </c>
      <c r="B2252" s="1">
        <f>DATE(2014,11,2) + TIME(4,3,30)</f>
        <v>41945.16909722222</v>
      </c>
      <c r="C2252">
        <v>80</v>
      </c>
      <c r="D2252">
        <v>79.793418884000005</v>
      </c>
      <c r="E2252">
        <v>60</v>
      </c>
      <c r="F2252">
        <v>58.361629485999998</v>
      </c>
      <c r="G2252">
        <v>1299.2244873</v>
      </c>
      <c r="H2252">
        <v>1284.9450684000001</v>
      </c>
      <c r="I2252">
        <v>1400.4105225000001</v>
      </c>
      <c r="J2252">
        <v>1379.6815185999999</v>
      </c>
      <c r="K2252">
        <v>0</v>
      </c>
      <c r="L2252">
        <v>2750</v>
      </c>
      <c r="M2252">
        <v>2750</v>
      </c>
      <c r="N2252">
        <v>0</v>
      </c>
    </row>
    <row r="2253" spans="1:14" x14ac:dyDescent="0.25">
      <c r="A2253">
        <v>1646.2936709999999</v>
      </c>
      <c r="B2253" s="1">
        <f>DATE(2014,11,2) + TIME(7,2,53)</f>
        <v>41945.293668981481</v>
      </c>
      <c r="C2253">
        <v>80</v>
      </c>
      <c r="D2253">
        <v>79.778686523000005</v>
      </c>
      <c r="E2253">
        <v>60</v>
      </c>
      <c r="F2253">
        <v>58.61258316</v>
      </c>
      <c r="G2253">
        <v>1299.2200928</v>
      </c>
      <c r="H2253">
        <v>1284.9399414</v>
      </c>
      <c r="I2253">
        <v>1400.2319336</v>
      </c>
      <c r="J2253">
        <v>1379.5852050999999</v>
      </c>
      <c r="K2253">
        <v>0</v>
      </c>
      <c r="L2253">
        <v>2750</v>
      </c>
      <c r="M2253">
        <v>2750</v>
      </c>
      <c r="N2253">
        <v>0</v>
      </c>
    </row>
    <row r="2254" spans="1:14" x14ac:dyDescent="0.25">
      <c r="A2254">
        <v>1646.4358649999999</v>
      </c>
      <c r="B2254" s="1">
        <f>DATE(2014,11,2) + TIME(10,27,38)</f>
        <v>41945.435856481483</v>
      </c>
      <c r="C2254">
        <v>80</v>
      </c>
      <c r="D2254">
        <v>79.762313843000001</v>
      </c>
      <c r="E2254">
        <v>60</v>
      </c>
      <c r="F2254">
        <v>58.849048615000001</v>
      </c>
      <c r="G2254">
        <v>1299.2150879000001</v>
      </c>
      <c r="H2254">
        <v>1284.9342041</v>
      </c>
      <c r="I2254">
        <v>1400.0552978999999</v>
      </c>
      <c r="J2254">
        <v>1379.4871826000001</v>
      </c>
      <c r="K2254">
        <v>0</v>
      </c>
      <c r="L2254">
        <v>2750</v>
      </c>
      <c r="M2254">
        <v>2750</v>
      </c>
      <c r="N2254">
        <v>0</v>
      </c>
    </row>
    <row r="2255" spans="1:14" x14ac:dyDescent="0.25">
      <c r="A2255">
        <v>1646.590921</v>
      </c>
      <c r="B2255" s="1">
        <f>DATE(2014,11,2) + TIME(14,10,55)</f>
        <v>41945.590914351851</v>
      </c>
      <c r="C2255">
        <v>80</v>
      </c>
      <c r="D2255">
        <v>79.744796753000003</v>
      </c>
      <c r="E2255">
        <v>60</v>
      </c>
      <c r="F2255">
        <v>59.058601379000002</v>
      </c>
      <c r="G2255">
        <v>1299.2094727000001</v>
      </c>
      <c r="H2255">
        <v>1284.9276123</v>
      </c>
      <c r="I2255">
        <v>1399.8879394999999</v>
      </c>
      <c r="J2255">
        <v>1379.3905029</v>
      </c>
      <c r="K2255">
        <v>0</v>
      </c>
      <c r="L2255">
        <v>2750</v>
      </c>
      <c r="M2255">
        <v>2750</v>
      </c>
      <c r="N2255">
        <v>0</v>
      </c>
    </row>
    <row r="2256" spans="1:14" x14ac:dyDescent="0.25">
      <c r="A2256">
        <v>1646.7464440000001</v>
      </c>
      <c r="B2256" s="1">
        <f>DATE(2014,11,2) + TIME(17,54,52)</f>
        <v>41945.746435185189</v>
      </c>
      <c r="C2256">
        <v>80</v>
      </c>
      <c r="D2256">
        <v>79.727272033999995</v>
      </c>
      <c r="E2256">
        <v>60</v>
      </c>
      <c r="F2256">
        <v>59.229335785000004</v>
      </c>
      <c r="G2256">
        <v>1299.2032471</v>
      </c>
      <c r="H2256">
        <v>1284.9206543</v>
      </c>
      <c r="I2256">
        <v>1399.7390137</v>
      </c>
      <c r="J2256">
        <v>1379.3004149999999</v>
      </c>
      <c r="K2256">
        <v>0</v>
      </c>
      <c r="L2256">
        <v>2750</v>
      </c>
      <c r="M2256">
        <v>2750</v>
      </c>
      <c r="N2256">
        <v>0</v>
      </c>
    </row>
    <row r="2257" spans="1:14" x14ac:dyDescent="0.25">
      <c r="A2257">
        <v>1646.904642</v>
      </c>
      <c r="B2257" s="1">
        <f>DATE(2014,11,2) + TIME(21,42,41)</f>
        <v>41945.904641203706</v>
      </c>
      <c r="C2257">
        <v>80</v>
      </c>
      <c r="D2257">
        <v>79.709541321000003</v>
      </c>
      <c r="E2257">
        <v>60</v>
      </c>
      <c r="F2257">
        <v>59.369968413999999</v>
      </c>
      <c r="G2257">
        <v>1299.1970214999999</v>
      </c>
      <c r="H2257">
        <v>1284.9135742000001</v>
      </c>
      <c r="I2257">
        <v>1399.6060791</v>
      </c>
      <c r="J2257">
        <v>1379.2175293</v>
      </c>
      <c r="K2257">
        <v>0</v>
      </c>
      <c r="L2257">
        <v>2750</v>
      </c>
      <c r="M2257">
        <v>2750</v>
      </c>
      <c r="N2257">
        <v>0</v>
      </c>
    </row>
    <row r="2258" spans="1:14" x14ac:dyDescent="0.25">
      <c r="A2258">
        <v>1647.0666269999999</v>
      </c>
      <c r="B2258" s="1">
        <f>DATE(2014,11,3) + TIME(1,35,56)</f>
        <v>41946.066620370373</v>
      </c>
      <c r="C2258">
        <v>80</v>
      </c>
      <c r="D2258">
        <v>79.691520690999994</v>
      </c>
      <c r="E2258">
        <v>60</v>
      </c>
      <c r="F2258">
        <v>59.486068725999999</v>
      </c>
      <c r="G2258">
        <v>1299.1906738</v>
      </c>
      <c r="H2258">
        <v>1284.9064940999999</v>
      </c>
      <c r="I2258">
        <v>1399.4858397999999</v>
      </c>
      <c r="J2258">
        <v>1379.1402588000001</v>
      </c>
      <c r="K2258">
        <v>0</v>
      </c>
      <c r="L2258">
        <v>2750</v>
      </c>
      <c r="M2258">
        <v>2750</v>
      </c>
      <c r="N2258">
        <v>0</v>
      </c>
    </row>
    <row r="2259" spans="1:14" x14ac:dyDescent="0.25">
      <c r="A2259">
        <v>1647.2335760000001</v>
      </c>
      <c r="B2259" s="1">
        <f>DATE(2014,11,3) + TIME(5,36,20)</f>
        <v>41946.233564814815</v>
      </c>
      <c r="C2259">
        <v>80</v>
      </c>
      <c r="D2259">
        <v>79.673095703000001</v>
      </c>
      <c r="E2259">
        <v>60</v>
      </c>
      <c r="F2259">
        <v>59.581993103000002</v>
      </c>
      <c r="G2259">
        <v>1299.1843262</v>
      </c>
      <c r="H2259">
        <v>1284.8991699000001</v>
      </c>
      <c r="I2259">
        <v>1399.3760986</v>
      </c>
      <c r="J2259">
        <v>1379.0676269999999</v>
      </c>
      <c r="K2259">
        <v>0</v>
      </c>
      <c r="L2259">
        <v>2750</v>
      </c>
      <c r="M2259">
        <v>2750</v>
      </c>
      <c r="N2259">
        <v>0</v>
      </c>
    </row>
    <row r="2260" spans="1:14" x14ac:dyDescent="0.25">
      <c r="A2260">
        <v>1647.4067210000001</v>
      </c>
      <c r="B2260" s="1">
        <f>DATE(2014,11,3) + TIME(9,45,40)</f>
        <v>41946.406712962962</v>
      </c>
      <c r="C2260">
        <v>80</v>
      </c>
      <c r="D2260">
        <v>79.654159546000002</v>
      </c>
      <c r="E2260">
        <v>60</v>
      </c>
      <c r="F2260">
        <v>59.661178589000002</v>
      </c>
      <c r="G2260">
        <v>1299.1777344</v>
      </c>
      <c r="H2260">
        <v>1284.8916016000001</v>
      </c>
      <c r="I2260">
        <v>1399.2749022999999</v>
      </c>
      <c r="J2260">
        <v>1378.9987793</v>
      </c>
      <c r="K2260">
        <v>0</v>
      </c>
      <c r="L2260">
        <v>2750</v>
      </c>
      <c r="M2260">
        <v>2750</v>
      </c>
      <c r="N2260">
        <v>0</v>
      </c>
    </row>
    <row r="2261" spans="1:14" x14ac:dyDescent="0.25">
      <c r="A2261">
        <v>1647.5874060000001</v>
      </c>
      <c r="B2261" s="1">
        <f>DATE(2014,11,3) + TIME(14,5,51)</f>
        <v>41946.587395833332</v>
      </c>
      <c r="C2261">
        <v>80</v>
      </c>
      <c r="D2261">
        <v>79.634597778</v>
      </c>
      <c r="E2261">
        <v>60</v>
      </c>
      <c r="F2261">
        <v>59.726398467999999</v>
      </c>
      <c r="G2261">
        <v>1299.1708983999999</v>
      </c>
      <c r="H2261">
        <v>1284.8839111</v>
      </c>
      <c r="I2261">
        <v>1399.1806641000001</v>
      </c>
      <c r="J2261">
        <v>1378.9328613</v>
      </c>
      <c r="K2261">
        <v>0</v>
      </c>
      <c r="L2261">
        <v>2750</v>
      </c>
      <c r="M2261">
        <v>2750</v>
      </c>
      <c r="N2261">
        <v>0</v>
      </c>
    </row>
    <row r="2262" spans="1:14" x14ac:dyDescent="0.25">
      <c r="A2262">
        <v>1647.777147</v>
      </c>
      <c r="B2262" s="1">
        <f>DATE(2014,11,3) + TIME(18,39,5)</f>
        <v>41946.777141203704</v>
      </c>
      <c r="C2262">
        <v>80</v>
      </c>
      <c r="D2262">
        <v>79.614280700999998</v>
      </c>
      <c r="E2262">
        <v>60</v>
      </c>
      <c r="F2262">
        <v>59.779911040999998</v>
      </c>
      <c r="G2262">
        <v>1299.1638184000001</v>
      </c>
      <c r="H2262">
        <v>1284.8758545000001</v>
      </c>
      <c r="I2262">
        <v>1399.0921631000001</v>
      </c>
      <c r="J2262">
        <v>1378.8693848</v>
      </c>
      <c r="K2262">
        <v>0</v>
      </c>
      <c r="L2262">
        <v>2750</v>
      </c>
      <c r="M2262">
        <v>2750</v>
      </c>
      <c r="N2262">
        <v>0</v>
      </c>
    </row>
    <row r="2263" spans="1:14" x14ac:dyDescent="0.25">
      <c r="A2263">
        <v>1647.977709</v>
      </c>
      <c r="B2263" s="1">
        <f>DATE(2014,11,3) + TIME(23,27,54)</f>
        <v>41946.977708333332</v>
      </c>
      <c r="C2263">
        <v>80</v>
      </c>
      <c r="D2263">
        <v>79.593055724999999</v>
      </c>
      <c r="E2263">
        <v>60</v>
      </c>
      <c r="F2263">
        <v>59.823585510000001</v>
      </c>
      <c r="G2263">
        <v>1299.1564940999999</v>
      </c>
      <c r="H2263">
        <v>1284.8673096</v>
      </c>
      <c r="I2263">
        <v>1399.0081786999999</v>
      </c>
      <c r="J2263">
        <v>1378.8076172000001</v>
      </c>
      <c r="K2263">
        <v>0</v>
      </c>
      <c r="L2263">
        <v>2750</v>
      </c>
      <c r="M2263">
        <v>2750</v>
      </c>
      <c r="N2263">
        <v>0</v>
      </c>
    </row>
    <row r="2264" spans="1:14" x14ac:dyDescent="0.25">
      <c r="A2264">
        <v>1648.1904320000001</v>
      </c>
      <c r="B2264" s="1">
        <f>DATE(2014,11,4) + TIME(4,34,13)</f>
        <v>41947.190428240741</v>
      </c>
      <c r="C2264">
        <v>80</v>
      </c>
      <c r="D2264">
        <v>79.570800781000003</v>
      </c>
      <c r="E2264">
        <v>60</v>
      </c>
      <c r="F2264">
        <v>59.858882903999998</v>
      </c>
      <c r="G2264">
        <v>1299.1486815999999</v>
      </c>
      <c r="H2264">
        <v>1284.8583983999999</v>
      </c>
      <c r="I2264">
        <v>1398.9277344</v>
      </c>
      <c r="J2264">
        <v>1378.7471923999999</v>
      </c>
      <c r="K2264">
        <v>0</v>
      </c>
      <c r="L2264">
        <v>2750</v>
      </c>
      <c r="M2264">
        <v>2750</v>
      </c>
      <c r="N2264">
        <v>0</v>
      </c>
    </row>
    <row r="2265" spans="1:14" x14ac:dyDescent="0.25">
      <c r="A2265">
        <v>1648.414542</v>
      </c>
      <c r="B2265" s="1">
        <f>DATE(2014,11,4) + TIME(9,56,56)</f>
        <v>41947.414537037039</v>
      </c>
      <c r="C2265">
        <v>80</v>
      </c>
      <c r="D2265">
        <v>79.547576903999996</v>
      </c>
      <c r="E2265">
        <v>60</v>
      </c>
      <c r="F2265">
        <v>59.886890411000003</v>
      </c>
      <c r="G2265">
        <v>1299.1403809000001</v>
      </c>
      <c r="H2265">
        <v>1284.848999</v>
      </c>
      <c r="I2265">
        <v>1398.8503418</v>
      </c>
      <c r="J2265">
        <v>1378.6877440999999</v>
      </c>
      <c r="K2265">
        <v>0</v>
      </c>
      <c r="L2265">
        <v>2750</v>
      </c>
      <c r="M2265">
        <v>2750</v>
      </c>
      <c r="N2265">
        <v>0</v>
      </c>
    </row>
    <row r="2266" spans="1:14" x14ac:dyDescent="0.25">
      <c r="A2266">
        <v>1648.6522090000001</v>
      </c>
      <c r="B2266" s="1">
        <f>DATE(2014,11,4) + TIME(15,39,10)</f>
        <v>41947.652199074073</v>
      </c>
      <c r="C2266">
        <v>80</v>
      </c>
      <c r="D2266">
        <v>79.523216247999997</v>
      </c>
      <c r="E2266">
        <v>60</v>
      </c>
      <c r="F2266">
        <v>59.908950806</v>
      </c>
      <c r="G2266">
        <v>1299.1317139</v>
      </c>
      <c r="H2266">
        <v>1284.8391113</v>
      </c>
      <c r="I2266">
        <v>1398.7757568</v>
      </c>
      <c r="J2266">
        <v>1378.6295166</v>
      </c>
      <c r="K2266">
        <v>0</v>
      </c>
      <c r="L2266">
        <v>2750</v>
      </c>
      <c r="M2266">
        <v>2750</v>
      </c>
      <c r="N2266">
        <v>0</v>
      </c>
    </row>
    <row r="2267" spans="1:14" x14ac:dyDescent="0.25">
      <c r="A2267">
        <v>1648.905818</v>
      </c>
      <c r="B2267" s="1">
        <f>DATE(2014,11,4) + TIME(21,44,22)</f>
        <v>41947.905810185184</v>
      </c>
      <c r="C2267">
        <v>80</v>
      </c>
      <c r="D2267">
        <v>79.497520446999999</v>
      </c>
      <c r="E2267">
        <v>60</v>
      </c>
      <c r="F2267">
        <v>59.926162720000001</v>
      </c>
      <c r="G2267">
        <v>1299.1225586</v>
      </c>
      <c r="H2267">
        <v>1284.8286132999999</v>
      </c>
      <c r="I2267">
        <v>1398.703125</v>
      </c>
      <c r="J2267">
        <v>1378.5718993999999</v>
      </c>
      <c r="K2267">
        <v>0</v>
      </c>
      <c r="L2267">
        <v>2750</v>
      </c>
      <c r="M2267">
        <v>2750</v>
      </c>
      <c r="N2267">
        <v>0</v>
      </c>
    </row>
    <row r="2268" spans="1:14" x14ac:dyDescent="0.25">
      <c r="A2268">
        <v>1649.1783049999999</v>
      </c>
      <c r="B2268" s="1">
        <f>DATE(2014,11,5) + TIME(4,16,45)</f>
        <v>41948.178298611114</v>
      </c>
      <c r="C2268">
        <v>80</v>
      </c>
      <c r="D2268">
        <v>79.470260620000005</v>
      </c>
      <c r="E2268">
        <v>60</v>
      </c>
      <c r="F2268">
        <v>59.939445495999998</v>
      </c>
      <c r="G2268">
        <v>1299.112793</v>
      </c>
      <c r="H2268">
        <v>1284.8175048999999</v>
      </c>
      <c r="I2268">
        <v>1398.6317139</v>
      </c>
      <c r="J2268">
        <v>1378.5144043</v>
      </c>
      <c r="K2268">
        <v>0</v>
      </c>
      <c r="L2268">
        <v>2750</v>
      </c>
      <c r="M2268">
        <v>2750</v>
      </c>
      <c r="N2268">
        <v>0</v>
      </c>
    </row>
    <row r="2269" spans="1:14" x14ac:dyDescent="0.25">
      <c r="A2269">
        <v>1649.4734530000001</v>
      </c>
      <c r="B2269" s="1">
        <f>DATE(2014,11,5) + TIME(11,21,46)</f>
        <v>41948.473449074074</v>
      </c>
      <c r="C2269">
        <v>80</v>
      </c>
      <c r="D2269">
        <v>79.441154479999994</v>
      </c>
      <c r="E2269">
        <v>60</v>
      </c>
      <c r="F2269">
        <v>59.949562073000003</v>
      </c>
      <c r="G2269">
        <v>1299.1022949000001</v>
      </c>
      <c r="H2269">
        <v>1284.8055420000001</v>
      </c>
      <c r="I2269">
        <v>1398.5605469</v>
      </c>
      <c r="J2269">
        <v>1378.4567870999999</v>
      </c>
      <c r="K2269">
        <v>0</v>
      </c>
      <c r="L2269">
        <v>2750</v>
      </c>
      <c r="M2269">
        <v>2750</v>
      </c>
      <c r="N2269">
        <v>0</v>
      </c>
    </row>
    <row r="2270" spans="1:14" x14ac:dyDescent="0.25">
      <c r="A2270">
        <v>1649.7958779999999</v>
      </c>
      <c r="B2270" s="1">
        <f>DATE(2014,11,5) + TIME(19,6,3)</f>
        <v>41948.795868055553</v>
      </c>
      <c r="C2270">
        <v>80</v>
      </c>
      <c r="D2270">
        <v>79.409843445000007</v>
      </c>
      <c r="E2270">
        <v>60</v>
      </c>
      <c r="F2270">
        <v>59.957149506</v>
      </c>
      <c r="G2270">
        <v>1299.0910644999999</v>
      </c>
      <c r="H2270">
        <v>1284.7926024999999</v>
      </c>
      <c r="I2270">
        <v>1398.4891356999999</v>
      </c>
      <c r="J2270">
        <v>1378.3983154</v>
      </c>
      <c r="K2270">
        <v>0</v>
      </c>
      <c r="L2270">
        <v>2750</v>
      </c>
      <c r="M2270">
        <v>2750</v>
      </c>
      <c r="N2270">
        <v>0</v>
      </c>
    </row>
    <row r="2271" spans="1:14" x14ac:dyDescent="0.25">
      <c r="A2271">
        <v>1650.130619</v>
      </c>
      <c r="B2271" s="1">
        <f>DATE(2014,11,6) + TIME(3,8,5)</f>
        <v>41949.130613425928</v>
      </c>
      <c r="C2271">
        <v>80</v>
      </c>
      <c r="D2271">
        <v>79.377250670999999</v>
      </c>
      <c r="E2271">
        <v>60</v>
      </c>
      <c r="F2271">
        <v>59.962520599000001</v>
      </c>
      <c r="G2271">
        <v>1299.0787353999999</v>
      </c>
      <c r="H2271">
        <v>1284.7785644999999</v>
      </c>
      <c r="I2271">
        <v>1398.4167480000001</v>
      </c>
      <c r="J2271">
        <v>1378.3387451000001</v>
      </c>
      <c r="K2271">
        <v>0</v>
      </c>
      <c r="L2271">
        <v>2750</v>
      </c>
      <c r="M2271">
        <v>2750</v>
      </c>
      <c r="N2271">
        <v>0</v>
      </c>
    </row>
    <row r="2272" spans="1:14" x14ac:dyDescent="0.25">
      <c r="A2272">
        <v>1650.4681989999999</v>
      </c>
      <c r="B2272" s="1">
        <f>DATE(2014,11,6) + TIME(11,14,12)</f>
        <v>41949.468194444446</v>
      </c>
      <c r="C2272">
        <v>80</v>
      </c>
      <c r="D2272">
        <v>79.344093322999996</v>
      </c>
      <c r="E2272">
        <v>60</v>
      </c>
      <c r="F2272">
        <v>59.966217041</v>
      </c>
      <c r="G2272">
        <v>1299.0657959</v>
      </c>
      <c r="H2272">
        <v>1284.7640381000001</v>
      </c>
      <c r="I2272">
        <v>1398.3465576000001</v>
      </c>
      <c r="J2272">
        <v>1378.2807617000001</v>
      </c>
      <c r="K2272">
        <v>0</v>
      </c>
      <c r="L2272">
        <v>2750</v>
      </c>
      <c r="M2272">
        <v>2750</v>
      </c>
      <c r="N2272">
        <v>0</v>
      </c>
    </row>
    <row r="2273" spans="1:14" x14ac:dyDescent="0.25">
      <c r="A2273">
        <v>1650.810262</v>
      </c>
      <c r="B2273" s="1">
        <f>DATE(2014,11,6) + TIME(19,26,46)</f>
        <v>41949.810254629629</v>
      </c>
      <c r="C2273">
        <v>80</v>
      </c>
      <c r="D2273">
        <v>79.310432434000006</v>
      </c>
      <c r="E2273">
        <v>60</v>
      </c>
      <c r="F2273">
        <v>59.968780518000003</v>
      </c>
      <c r="G2273">
        <v>1299.0528564000001</v>
      </c>
      <c r="H2273">
        <v>1284.7493896000001</v>
      </c>
      <c r="I2273">
        <v>1398.2801514</v>
      </c>
      <c r="J2273">
        <v>1378.2258300999999</v>
      </c>
      <c r="K2273">
        <v>0</v>
      </c>
      <c r="L2273">
        <v>2750</v>
      </c>
      <c r="M2273">
        <v>2750</v>
      </c>
      <c r="N2273">
        <v>0</v>
      </c>
    </row>
    <row r="2274" spans="1:14" x14ac:dyDescent="0.25">
      <c r="A2274">
        <v>1651.1592439999999</v>
      </c>
      <c r="B2274" s="1">
        <f>DATE(2014,11,7) + TIME(3,49,18)</f>
        <v>41950.159236111111</v>
      </c>
      <c r="C2274">
        <v>80</v>
      </c>
      <c r="D2274">
        <v>79.276206970000004</v>
      </c>
      <c r="E2274">
        <v>60</v>
      </c>
      <c r="F2274">
        <v>59.970569611000002</v>
      </c>
      <c r="G2274">
        <v>1299.0397949000001</v>
      </c>
      <c r="H2274">
        <v>1284.7344971</v>
      </c>
      <c r="I2274">
        <v>1398.2167969</v>
      </c>
      <c r="J2274">
        <v>1378.1733397999999</v>
      </c>
      <c r="K2274">
        <v>0</v>
      </c>
      <c r="L2274">
        <v>2750</v>
      </c>
      <c r="M2274">
        <v>2750</v>
      </c>
      <c r="N2274">
        <v>0</v>
      </c>
    </row>
    <row r="2275" spans="1:14" x14ac:dyDescent="0.25">
      <c r="A2275">
        <v>1651.517521</v>
      </c>
      <c r="B2275" s="1">
        <f>DATE(2014,11,7) + TIME(12,25,13)</f>
        <v>41950.517511574071</v>
      </c>
      <c r="C2275">
        <v>80</v>
      </c>
      <c r="D2275">
        <v>79.241294861</v>
      </c>
      <c r="E2275">
        <v>60</v>
      </c>
      <c r="F2275">
        <v>59.971824646000002</v>
      </c>
      <c r="G2275">
        <v>1299.0264893000001</v>
      </c>
      <c r="H2275">
        <v>1284.7193603999999</v>
      </c>
      <c r="I2275">
        <v>1398.1555175999999</v>
      </c>
      <c r="J2275">
        <v>1378.1228027</v>
      </c>
      <c r="K2275">
        <v>0</v>
      </c>
      <c r="L2275">
        <v>2750</v>
      </c>
      <c r="M2275">
        <v>2750</v>
      </c>
      <c r="N2275">
        <v>0</v>
      </c>
    </row>
    <row r="2276" spans="1:14" x14ac:dyDescent="0.25">
      <c r="A2276">
        <v>1651.887549</v>
      </c>
      <c r="B2276" s="1">
        <f>DATE(2014,11,7) + TIME(21,18,4)</f>
        <v>41950.887546296297</v>
      </c>
      <c r="C2276">
        <v>80</v>
      </c>
      <c r="D2276">
        <v>79.205558776999993</v>
      </c>
      <c r="E2276">
        <v>60</v>
      </c>
      <c r="F2276">
        <v>59.972717285000002</v>
      </c>
      <c r="G2276">
        <v>1299.0129394999999</v>
      </c>
      <c r="H2276">
        <v>1284.7038574000001</v>
      </c>
      <c r="I2276">
        <v>1398.0959473</v>
      </c>
      <c r="J2276">
        <v>1378.0734863</v>
      </c>
      <c r="K2276">
        <v>0</v>
      </c>
      <c r="L2276">
        <v>2750</v>
      </c>
      <c r="M2276">
        <v>2750</v>
      </c>
      <c r="N2276">
        <v>0</v>
      </c>
    </row>
    <row r="2277" spans="1:14" x14ac:dyDescent="0.25">
      <c r="A2277">
        <v>1652.2719950000001</v>
      </c>
      <c r="B2277" s="1">
        <f>DATE(2014,11,8) + TIME(6,31,40)</f>
        <v>41951.271990740737</v>
      </c>
      <c r="C2277">
        <v>80</v>
      </c>
      <c r="D2277">
        <v>79.168815613000007</v>
      </c>
      <c r="E2277">
        <v>60</v>
      </c>
      <c r="F2277">
        <v>59.973346710000001</v>
      </c>
      <c r="G2277">
        <v>1298.9989014</v>
      </c>
      <c r="H2277">
        <v>1284.6878661999999</v>
      </c>
      <c r="I2277">
        <v>1398.0374756000001</v>
      </c>
      <c r="J2277">
        <v>1378.0252685999999</v>
      </c>
      <c r="K2277">
        <v>0</v>
      </c>
      <c r="L2277">
        <v>2750</v>
      </c>
      <c r="M2277">
        <v>2750</v>
      </c>
      <c r="N2277">
        <v>0</v>
      </c>
    </row>
    <row r="2278" spans="1:14" x14ac:dyDescent="0.25">
      <c r="A2278">
        <v>1652.673851</v>
      </c>
      <c r="B2278" s="1">
        <f>DATE(2014,11,8) + TIME(16,10,20)</f>
        <v>41951.673842592594</v>
      </c>
      <c r="C2278">
        <v>80</v>
      </c>
      <c r="D2278">
        <v>79.130851746000005</v>
      </c>
      <c r="E2278">
        <v>60</v>
      </c>
      <c r="F2278">
        <v>59.973800658999998</v>
      </c>
      <c r="G2278">
        <v>1298.9842529</v>
      </c>
      <c r="H2278">
        <v>1284.6711425999999</v>
      </c>
      <c r="I2278">
        <v>1397.9796143000001</v>
      </c>
      <c r="J2278">
        <v>1377.9776611</v>
      </c>
      <c r="K2278">
        <v>0</v>
      </c>
      <c r="L2278">
        <v>2750</v>
      </c>
      <c r="M2278">
        <v>2750</v>
      </c>
      <c r="N2278">
        <v>0</v>
      </c>
    </row>
    <row r="2279" spans="1:14" x14ac:dyDescent="0.25">
      <c r="A2279">
        <v>1653.096599</v>
      </c>
      <c r="B2279" s="1">
        <f>DATE(2014,11,9) + TIME(2,19,6)</f>
        <v>41952.096597222226</v>
      </c>
      <c r="C2279">
        <v>80</v>
      </c>
      <c r="D2279">
        <v>79.091415405000006</v>
      </c>
      <c r="E2279">
        <v>60</v>
      </c>
      <c r="F2279">
        <v>59.974128723</v>
      </c>
      <c r="G2279">
        <v>1298.9689940999999</v>
      </c>
      <c r="H2279">
        <v>1284.6536865</v>
      </c>
      <c r="I2279">
        <v>1397.9221190999999</v>
      </c>
      <c r="J2279">
        <v>1377.9302978999999</v>
      </c>
      <c r="K2279">
        <v>0</v>
      </c>
      <c r="L2279">
        <v>2750</v>
      </c>
      <c r="M2279">
        <v>2750</v>
      </c>
      <c r="N2279">
        <v>0</v>
      </c>
    </row>
    <row r="2280" spans="1:14" x14ac:dyDescent="0.25">
      <c r="A2280">
        <v>1653.5443889999999</v>
      </c>
      <c r="B2280" s="1">
        <f>DATE(2014,11,9) + TIME(13,3,55)</f>
        <v>41952.544386574074</v>
      </c>
      <c r="C2280">
        <v>80</v>
      </c>
      <c r="D2280">
        <v>79.050209045000003</v>
      </c>
      <c r="E2280">
        <v>60</v>
      </c>
      <c r="F2280">
        <v>59.974369049000003</v>
      </c>
      <c r="G2280">
        <v>1298.9530029</v>
      </c>
      <c r="H2280">
        <v>1284.635376</v>
      </c>
      <c r="I2280">
        <v>1397.8643798999999</v>
      </c>
      <c r="J2280">
        <v>1377.8829346</v>
      </c>
      <c r="K2280">
        <v>0</v>
      </c>
      <c r="L2280">
        <v>2750</v>
      </c>
      <c r="M2280">
        <v>2750</v>
      </c>
      <c r="N2280">
        <v>0</v>
      </c>
    </row>
    <row r="2281" spans="1:14" x14ac:dyDescent="0.25">
      <c r="A2281">
        <v>1654.022346</v>
      </c>
      <c r="B2281" s="1">
        <f>DATE(2014,11,10) + TIME(0,32,10)</f>
        <v>41953.022337962961</v>
      </c>
      <c r="C2281">
        <v>80</v>
      </c>
      <c r="D2281">
        <v>79.006858825999998</v>
      </c>
      <c r="E2281">
        <v>60</v>
      </c>
      <c r="F2281">
        <v>59.974544524999999</v>
      </c>
      <c r="G2281">
        <v>1298.9361572</v>
      </c>
      <c r="H2281">
        <v>1284.6160889</v>
      </c>
      <c r="I2281">
        <v>1397.8061522999999</v>
      </c>
      <c r="J2281">
        <v>1377.8352050999999</v>
      </c>
      <c r="K2281">
        <v>0</v>
      </c>
      <c r="L2281">
        <v>2750</v>
      </c>
      <c r="M2281">
        <v>2750</v>
      </c>
      <c r="N2281">
        <v>0</v>
      </c>
    </row>
    <row r="2282" spans="1:14" x14ac:dyDescent="0.25">
      <c r="A2282">
        <v>1654.5277570000001</v>
      </c>
      <c r="B2282" s="1">
        <f>DATE(2014,11,10) + TIME(12,39,58)</f>
        <v>41953.527754629627</v>
      </c>
      <c r="C2282">
        <v>80</v>
      </c>
      <c r="D2282">
        <v>78.961418151999993</v>
      </c>
      <c r="E2282">
        <v>60</v>
      </c>
      <c r="F2282">
        <v>59.974670410000002</v>
      </c>
      <c r="G2282">
        <v>1298.9179687999999</v>
      </c>
      <c r="H2282">
        <v>1284.5953368999999</v>
      </c>
      <c r="I2282">
        <v>1397.7468262</v>
      </c>
      <c r="J2282">
        <v>1377.7867432</v>
      </c>
      <c r="K2282">
        <v>0</v>
      </c>
      <c r="L2282">
        <v>2750</v>
      </c>
      <c r="M2282">
        <v>2750</v>
      </c>
      <c r="N2282">
        <v>0</v>
      </c>
    </row>
    <row r="2283" spans="1:14" x14ac:dyDescent="0.25">
      <c r="A2283">
        <v>1655.0492959999999</v>
      </c>
      <c r="B2283" s="1">
        <f>DATE(2014,11,11) + TIME(1,10,59)</f>
        <v>41954.049293981479</v>
      </c>
      <c r="C2283">
        <v>80</v>
      </c>
      <c r="D2283">
        <v>78.914428710999999</v>
      </c>
      <c r="E2283">
        <v>60</v>
      </c>
      <c r="F2283">
        <v>59.974761962999999</v>
      </c>
      <c r="G2283">
        <v>1298.8988036999999</v>
      </c>
      <c r="H2283">
        <v>1284.5734863</v>
      </c>
      <c r="I2283">
        <v>1397.6870117000001</v>
      </c>
      <c r="J2283">
        <v>1377.7380370999999</v>
      </c>
      <c r="K2283">
        <v>0</v>
      </c>
      <c r="L2283">
        <v>2750</v>
      </c>
      <c r="M2283">
        <v>2750</v>
      </c>
      <c r="N2283">
        <v>0</v>
      </c>
    </row>
    <row r="2284" spans="1:14" x14ac:dyDescent="0.25">
      <c r="A2284">
        <v>1655.5847719999999</v>
      </c>
      <c r="B2284" s="1">
        <f>DATE(2014,11,11) + TIME(14,2,4)</f>
        <v>41954.584768518522</v>
      </c>
      <c r="C2284">
        <v>80</v>
      </c>
      <c r="D2284">
        <v>78.866195679</v>
      </c>
      <c r="E2284">
        <v>60</v>
      </c>
      <c r="F2284">
        <v>59.974830627000003</v>
      </c>
      <c r="G2284">
        <v>1298.8790283000001</v>
      </c>
      <c r="H2284">
        <v>1284.5509033000001</v>
      </c>
      <c r="I2284">
        <v>1397.6282959</v>
      </c>
      <c r="J2284">
        <v>1377.6901855000001</v>
      </c>
      <c r="K2284">
        <v>0</v>
      </c>
      <c r="L2284">
        <v>2750</v>
      </c>
      <c r="M2284">
        <v>2750</v>
      </c>
      <c r="N2284">
        <v>0</v>
      </c>
    </row>
    <row r="2285" spans="1:14" x14ac:dyDescent="0.25">
      <c r="A2285">
        <v>1656.136489</v>
      </c>
      <c r="B2285" s="1">
        <f>DATE(2014,11,12) + TIME(3,16,32)</f>
        <v>41955.136481481481</v>
      </c>
      <c r="C2285">
        <v>80</v>
      </c>
      <c r="D2285">
        <v>78.816749572999996</v>
      </c>
      <c r="E2285">
        <v>60</v>
      </c>
      <c r="F2285">
        <v>59.974880218999999</v>
      </c>
      <c r="G2285">
        <v>1298.8586425999999</v>
      </c>
      <c r="H2285">
        <v>1284.5275879000001</v>
      </c>
      <c r="I2285">
        <v>1397.5706786999999</v>
      </c>
      <c r="J2285">
        <v>1377.6434326000001</v>
      </c>
      <c r="K2285">
        <v>0</v>
      </c>
      <c r="L2285">
        <v>2750</v>
      </c>
      <c r="M2285">
        <v>2750</v>
      </c>
      <c r="N2285">
        <v>0</v>
      </c>
    </row>
    <row r="2286" spans="1:14" x14ac:dyDescent="0.25">
      <c r="A2286">
        <v>1656.6947700000001</v>
      </c>
      <c r="B2286" s="1">
        <f>DATE(2014,11,12) + TIME(16,40,28)</f>
        <v>41955.694768518515</v>
      </c>
      <c r="C2286">
        <v>80</v>
      </c>
      <c r="D2286">
        <v>78.766639709000003</v>
      </c>
      <c r="E2286">
        <v>60</v>
      </c>
      <c r="F2286">
        <v>59.974914550999998</v>
      </c>
      <c r="G2286">
        <v>1298.8376464999999</v>
      </c>
      <c r="H2286">
        <v>1284.5036620999999</v>
      </c>
      <c r="I2286">
        <v>1397.5140381000001</v>
      </c>
      <c r="J2286">
        <v>1377.5974120999999</v>
      </c>
      <c r="K2286">
        <v>0</v>
      </c>
      <c r="L2286">
        <v>2750</v>
      </c>
      <c r="M2286">
        <v>2750</v>
      </c>
      <c r="N2286">
        <v>0</v>
      </c>
    </row>
    <row r="2287" spans="1:14" x14ac:dyDescent="0.25">
      <c r="A2287">
        <v>1657.263498</v>
      </c>
      <c r="B2287" s="1">
        <f>DATE(2014,11,13) + TIME(6,19,26)</f>
        <v>41956.263495370367</v>
      </c>
      <c r="C2287">
        <v>80</v>
      </c>
      <c r="D2287">
        <v>78.715873717999997</v>
      </c>
      <c r="E2287">
        <v>60</v>
      </c>
      <c r="F2287">
        <v>59.974937439000001</v>
      </c>
      <c r="G2287">
        <v>1298.8162841999999</v>
      </c>
      <c r="H2287">
        <v>1284.4792480000001</v>
      </c>
      <c r="I2287">
        <v>1397.4592285000001</v>
      </c>
      <c r="J2287">
        <v>1377.5531006000001</v>
      </c>
      <c r="K2287">
        <v>0</v>
      </c>
      <c r="L2287">
        <v>2750</v>
      </c>
      <c r="M2287">
        <v>2750</v>
      </c>
      <c r="N2287">
        <v>0</v>
      </c>
    </row>
    <row r="2288" spans="1:14" x14ac:dyDescent="0.25">
      <c r="A2288">
        <v>1657.846509</v>
      </c>
      <c r="B2288" s="1">
        <f>DATE(2014,11,13) + TIME(20,18,58)</f>
        <v>41956.846504629626</v>
      </c>
      <c r="C2288">
        <v>80</v>
      </c>
      <c r="D2288">
        <v>78.664314270000006</v>
      </c>
      <c r="E2288">
        <v>60</v>
      </c>
      <c r="F2288">
        <v>59.974956511999999</v>
      </c>
      <c r="G2288">
        <v>1298.7946777</v>
      </c>
      <c r="H2288">
        <v>1284.4543457</v>
      </c>
      <c r="I2288">
        <v>1397.4057617000001</v>
      </c>
      <c r="J2288">
        <v>1377.5098877</v>
      </c>
      <c r="K2288">
        <v>0</v>
      </c>
      <c r="L2288">
        <v>2750</v>
      </c>
      <c r="M2288">
        <v>2750</v>
      </c>
      <c r="N2288">
        <v>0</v>
      </c>
    </row>
    <row r="2289" spans="1:14" x14ac:dyDescent="0.25">
      <c r="A2289">
        <v>1658.447842</v>
      </c>
      <c r="B2289" s="1">
        <f>DATE(2014,11,14) + TIME(10,44,53)</f>
        <v>41957.447835648149</v>
      </c>
      <c r="C2289">
        <v>80</v>
      </c>
      <c r="D2289">
        <v>78.611755371000001</v>
      </c>
      <c r="E2289">
        <v>60</v>
      </c>
      <c r="F2289">
        <v>59.974971771</v>
      </c>
      <c r="G2289">
        <v>1298.7723389</v>
      </c>
      <c r="H2289">
        <v>1284.4287108999999</v>
      </c>
      <c r="I2289">
        <v>1397.3531493999999</v>
      </c>
      <c r="J2289">
        <v>1377.4674072</v>
      </c>
      <c r="K2289">
        <v>0</v>
      </c>
      <c r="L2289">
        <v>2750</v>
      </c>
      <c r="M2289">
        <v>2750</v>
      </c>
      <c r="N2289">
        <v>0</v>
      </c>
    </row>
    <row r="2290" spans="1:14" x14ac:dyDescent="0.25">
      <c r="A2290">
        <v>1659.071923</v>
      </c>
      <c r="B2290" s="1">
        <f>DATE(2014,11,15) + TIME(1,43,34)</f>
        <v>41958.071921296294</v>
      </c>
      <c r="C2290">
        <v>80</v>
      </c>
      <c r="D2290">
        <v>78.557899474999999</v>
      </c>
      <c r="E2290">
        <v>60</v>
      </c>
      <c r="F2290">
        <v>59.974983215000002</v>
      </c>
      <c r="G2290">
        <v>1298.7492675999999</v>
      </c>
      <c r="H2290">
        <v>1284.4022216999999</v>
      </c>
      <c r="I2290">
        <v>1397.3010254000001</v>
      </c>
      <c r="J2290">
        <v>1377.4254149999999</v>
      </c>
      <c r="K2290">
        <v>0</v>
      </c>
      <c r="L2290">
        <v>2750</v>
      </c>
      <c r="M2290">
        <v>2750</v>
      </c>
      <c r="N2290">
        <v>0</v>
      </c>
    </row>
    <row r="2291" spans="1:14" x14ac:dyDescent="0.25">
      <c r="A2291">
        <v>1659.7237769999999</v>
      </c>
      <c r="B2291" s="1">
        <f>DATE(2014,11,15) + TIME(17,22,14)</f>
        <v>41958.723773148151</v>
      </c>
      <c r="C2291">
        <v>80</v>
      </c>
      <c r="D2291">
        <v>78.502433776999993</v>
      </c>
      <c r="E2291">
        <v>60</v>
      </c>
      <c r="F2291">
        <v>59.974990845000001</v>
      </c>
      <c r="G2291">
        <v>1298.7253418</v>
      </c>
      <c r="H2291">
        <v>1284.3746338000001</v>
      </c>
      <c r="I2291">
        <v>1397.2491454999999</v>
      </c>
      <c r="J2291">
        <v>1377.3835449000001</v>
      </c>
      <c r="K2291">
        <v>0</v>
      </c>
      <c r="L2291">
        <v>2750</v>
      </c>
      <c r="M2291">
        <v>2750</v>
      </c>
      <c r="N2291">
        <v>0</v>
      </c>
    </row>
    <row r="2292" spans="1:14" x14ac:dyDescent="0.25">
      <c r="A2292">
        <v>1660.4092909999999</v>
      </c>
      <c r="B2292" s="1">
        <f>DATE(2014,11,16) + TIME(9,49,22)</f>
        <v>41959.409282407411</v>
      </c>
      <c r="C2292">
        <v>80</v>
      </c>
      <c r="D2292">
        <v>78.444953917999996</v>
      </c>
      <c r="E2292">
        <v>60</v>
      </c>
      <c r="F2292">
        <v>59.974994658999996</v>
      </c>
      <c r="G2292">
        <v>1298.7003173999999</v>
      </c>
      <c r="H2292">
        <v>1284.3457031</v>
      </c>
      <c r="I2292">
        <v>1397.1970214999999</v>
      </c>
      <c r="J2292">
        <v>1377.3416748</v>
      </c>
      <c r="K2292">
        <v>0</v>
      </c>
      <c r="L2292">
        <v>2750</v>
      </c>
      <c r="M2292">
        <v>2750</v>
      </c>
      <c r="N2292">
        <v>0</v>
      </c>
    </row>
    <row r="2293" spans="1:14" x14ac:dyDescent="0.25">
      <c r="A2293">
        <v>1661.135554</v>
      </c>
      <c r="B2293" s="1">
        <f>DATE(2014,11,17) + TIME(3,15,11)</f>
        <v>41960.13554398148</v>
      </c>
      <c r="C2293">
        <v>80</v>
      </c>
      <c r="D2293">
        <v>78.385002135999997</v>
      </c>
      <c r="E2293">
        <v>60</v>
      </c>
      <c r="F2293">
        <v>59.975002289000003</v>
      </c>
      <c r="G2293">
        <v>1298.6738281</v>
      </c>
      <c r="H2293">
        <v>1284.3150635</v>
      </c>
      <c r="I2293">
        <v>1397.1442870999999</v>
      </c>
      <c r="J2293">
        <v>1377.2994385</v>
      </c>
      <c r="K2293">
        <v>0</v>
      </c>
      <c r="L2293">
        <v>2750</v>
      </c>
      <c r="M2293">
        <v>2750</v>
      </c>
      <c r="N2293">
        <v>0</v>
      </c>
    </row>
    <row r="2294" spans="1:14" x14ac:dyDescent="0.25">
      <c r="A2294">
        <v>1661.9008799999999</v>
      </c>
      <c r="B2294" s="1">
        <f>DATE(2014,11,17) + TIME(21,37,16)</f>
        <v>41960.900879629633</v>
      </c>
      <c r="C2294">
        <v>80</v>
      </c>
      <c r="D2294">
        <v>78.322441100999995</v>
      </c>
      <c r="E2294">
        <v>60</v>
      </c>
      <c r="F2294">
        <v>59.975006104000002</v>
      </c>
      <c r="G2294">
        <v>1298.6456298999999</v>
      </c>
      <c r="H2294">
        <v>1284.2825928</v>
      </c>
      <c r="I2294">
        <v>1397.0905762</v>
      </c>
      <c r="J2294">
        <v>1377.2563477000001</v>
      </c>
      <c r="K2294">
        <v>0</v>
      </c>
      <c r="L2294">
        <v>2750</v>
      </c>
      <c r="M2294">
        <v>2750</v>
      </c>
      <c r="N2294">
        <v>0</v>
      </c>
    </row>
    <row r="2295" spans="1:14" x14ac:dyDescent="0.25">
      <c r="A2295">
        <v>1662.6822870000001</v>
      </c>
      <c r="B2295" s="1">
        <f>DATE(2014,11,18) + TIME(16,22,29)</f>
        <v>41961.682280092595</v>
      </c>
      <c r="C2295">
        <v>80</v>
      </c>
      <c r="D2295">
        <v>78.258132935000006</v>
      </c>
      <c r="E2295">
        <v>60</v>
      </c>
      <c r="F2295">
        <v>59.975009917999998</v>
      </c>
      <c r="G2295">
        <v>1298.6158447</v>
      </c>
      <c r="H2295">
        <v>1284.2481689000001</v>
      </c>
      <c r="I2295">
        <v>1397.0362548999999</v>
      </c>
      <c r="J2295">
        <v>1377.2127685999999</v>
      </c>
      <c r="K2295">
        <v>0</v>
      </c>
      <c r="L2295">
        <v>2750</v>
      </c>
      <c r="M2295">
        <v>2750</v>
      </c>
      <c r="N2295">
        <v>0</v>
      </c>
    </row>
    <row r="2296" spans="1:14" x14ac:dyDescent="0.25">
      <c r="A2296">
        <v>1663.4684279999999</v>
      </c>
      <c r="B2296" s="1">
        <f>DATE(2014,11,19) + TIME(11,14,32)</f>
        <v>41962.468425925923</v>
      </c>
      <c r="C2296">
        <v>80</v>
      </c>
      <c r="D2296">
        <v>78.193031310999999</v>
      </c>
      <c r="E2296">
        <v>60</v>
      </c>
      <c r="F2296">
        <v>59.975013732999997</v>
      </c>
      <c r="G2296">
        <v>1298.5850829999999</v>
      </c>
      <c r="H2296">
        <v>1284.2127685999999</v>
      </c>
      <c r="I2296">
        <v>1396.9829102000001</v>
      </c>
      <c r="J2296">
        <v>1377.1701660000001</v>
      </c>
      <c r="K2296">
        <v>0</v>
      </c>
      <c r="L2296">
        <v>2750</v>
      </c>
      <c r="M2296">
        <v>2750</v>
      </c>
      <c r="N2296">
        <v>0</v>
      </c>
    </row>
    <row r="2297" spans="1:14" x14ac:dyDescent="0.25">
      <c r="A2297">
        <v>1664.264827</v>
      </c>
      <c r="B2297" s="1">
        <f>DATE(2014,11,20) + TIME(6,21,21)</f>
        <v>41963.264826388891</v>
      </c>
      <c r="C2297">
        <v>80</v>
      </c>
      <c r="D2297">
        <v>78.127433776999993</v>
      </c>
      <c r="E2297">
        <v>60</v>
      </c>
      <c r="F2297">
        <v>59.975013732999997</v>
      </c>
      <c r="G2297">
        <v>1298.5540771000001</v>
      </c>
      <c r="H2297">
        <v>1284.1767577999999</v>
      </c>
      <c r="I2297">
        <v>1396.9313964999999</v>
      </c>
      <c r="J2297">
        <v>1377.1289062000001</v>
      </c>
      <c r="K2297">
        <v>0</v>
      </c>
      <c r="L2297">
        <v>2750</v>
      </c>
      <c r="M2297">
        <v>2750</v>
      </c>
      <c r="N2297">
        <v>0</v>
      </c>
    </row>
    <row r="2298" spans="1:14" x14ac:dyDescent="0.25">
      <c r="A2298">
        <v>1665.076928</v>
      </c>
      <c r="B2298" s="1">
        <f>DATE(2014,11,21) + TIME(1,50,46)</f>
        <v>41964.076921296299</v>
      </c>
      <c r="C2298">
        <v>80</v>
      </c>
      <c r="D2298">
        <v>78.061256408999995</v>
      </c>
      <c r="E2298">
        <v>60</v>
      </c>
      <c r="F2298">
        <v>59.975017547999997</v>
      </c>
      <c r="G2298">
        <v>1298.5225829999999</v>
      </c>
      <c r="H2298">
        <v>1284.1400146000001</v>
      </c>
      <c r="I2298">
        <v>1396.8809814000001</v>
      </c>
      <c r="J2298">
        <v>1377.0886230000001</v>
      </c>
      <c r="K2298">
        <v>0</v>
      </c>
      <c r="L2298">
        <v>2750</v>
      </c>
      <c r="M2298">
        <v>2750</v>
      </c>
      <c r="N2298">
        <v>0</v>
      </c>
    </row>
    <row r="2299" spans="1:14" x14ac:dyDescent="0.25">
      <c r="A2299">
        <v>1665.9103230000001</v>
      </c>
      <c r="B2299" s="1">
        <f>DATE(2014,11,21) + TIME(21,50,51)</f>
        <v>41964.910312499997</v>
      </c>
      <c r="C2299">
        <v>80</v>
      </c>
      <c r="D2299">
        <v>77.994239807</v>
      </c>
      <c r="E2299">
        <v>60</v>
      </c>
      <c r="F2299">
        <v>59.975021362</v>
      </c>
      <c r="G2299">
        <v>1298.4902344</v>
      </c>
      <c r="H2299">
        <v>1284.1022949000001</v>
      </c>
      <c r="I2299">
        <v>1396.831543</v>
      </c>
      <c r="J2299">
        <v>1377.0491943</v>
      </c>
      <c r="K2299">
        <v>0</v>
      </c>
      <c r="L2299">
        <v>2750</v>
      </c>
      <c r="M2299">
        <v>2750</v>
      </c>
      <c r="N2299">
        <v>0</v>
      </c>
    </row>
    <row r="2300" spans="1:14" x14ac:dyDescent="0.25">
      <c r="A2300">
        <v>1666.771023</v>
      </c>
      <c r="B2300" s="1">
        <f>DATE(2014,11,22) + TIME(18,30,16)</f>
        <v>41965.771018518521</v>
      </c>
      <c r="C2300">
        <v>80</v>
      </c>
      <c r="D2300">
        <v>77.926025390999996</v>
      </c>
      <c r="E2300">
        <v>60</v>
      </c>
      <c r="F2300">
        <v>59.975025176999999</v>
      </c>
      <c r="G2300">
        <v>1298.4567870999999</v>
      </c>
      <c r="H2300">
        <v>1284.0632324000001</v>
      </c>
      <c r="I2300">
        <v>1396.7824707</v>
      </c>
      <c r="J2300">
        <v>1377.0100098</v>
      </c>
      <c r="K2300">
        <v>0</v>
      </c>
      <c r="L2300">
        <v>2750</v>
      </c>
      <c r="M2300">
        <v>2750</v>
      </c>
      <c r="N2300">
        <v>0</v>
      </c>
    </row>
    <row r="2301" spans="1:14" x14ac:dyDescent="0.25">
      <c r="A2301">
        <v>1667.665743</v>
      </c>
      <c r="B2301" s="1">
        <f>DATE(2014,11,23) + TIME(15,58,40)</f>
        <v>41966.66574074074</v>
      </c>
      <c r="C2301">
        <v>80</v>
      </c>
      <c r="D2301">
        <v>77.856201171999999</v>
      </c>
      <c r="E2301">
        <v>60</v>
      </c>
      <c r="F2301">
        <v>59.975028991999999</v>
      </c>
      <c r="G2301">
        <v>1298.4219971</v>
      </c>
      <c r="H2301">
        <v>1284.0225829999999</v>
      </c>
      <c r="I2301">
        <v>1396.7336425999999</v>
      </c>
      <c r="J2301">
        <v>1376.9710693</v>
      </c>
      <c r="K2301">
        <v>0</v>
      </c>
      <c r="L2301">
        <v>2750</v>
      </c>
      <c r="M2301">
        <v>2750</v>
      </c>
      <c r="N2301">
        <v>0</v>
      </c>
    </row>
    <row r="2302" spans="1:14" x14ac:dyDescent="0.25">
      <c r="A2302">
        <v>1668.602243</v>
      </c>
      <c r="B2302" s="1">
        <f>DATE(2014,11,24) + TIME(14,27,13)</f>
        <v>41967.602233796293</v>
      </c>
      <c r="C2302">
        <v>80</v>
      </c>
      <c r="D2302">
        <v>77.784286499000004</v>
      </c>
      <c r="E2302">
        <v>60</v>
      </c>
      <c r="F2302">
        <v>59.975032806000002</v>
      </c>
      <c r="G2302">
        <v>1298.3856201000001</v>
      </c>
      <c r="H2302">
        <v>1283.9797363</v>
      </c>
      <c r="I2302">
        <v>1396.6845702999999</v>
      </c>
      <c r="J2302">
        <v>1376.9318848</v>
      </c>
      <c r="K2302">
        <v>0</v>
      </c>
      <c r="L2302">
        <v>2750</v>
      </c>
      <c r="M2302">
        <v>2750</v>
      </c>
      <c r="N2302">
        <v>0</v>
      </c>
    </row>
    <row r="2303" spans="1:14" x14ac:dyDescent="0.25">
      <c r="A2303">
        <v>1669.5884000000001</v>
      </c>
      <c r="B2303" s="1">
        <f>DATE(2014,11,25) + TIME(14,7,17)</f>
        <v>41968.588391203702</v>
      </c>
      <c r="C2303">
        <v>80</v>
      </c>
      <c r="D2303">
        <v>77.709770203000005</v>
      </c>
      <c r="E2303">
        <v>60</v>
      </c>
      <c r="F2303">
        <v>59.975036621000001</v>
      </c>
      <c r="G2303">
        <v>1298.347168</v>
      </c>
      <c r="H2303">
        <v>1283.9345702999999</v>
      </c>
      <c r="I2303">
        <v>1396.6348877</v>
      </c>
      <c r="J2303">
        <v>1376.8922118999999</v>
      </c>
      <c r="K2303">
        <v>0</v>
      </c>
      <c r="L2303">
        <v>2750</v>
      </c>
      <c r="M2303">
        <v>2750</v>
      </c>
      <c r="N2303">
        <v>0</v>
      </c>
    </row>
    <row r="2304" spans="1:14" x14ac:dyDescent="0.25">
      <c r="A2304">
        <v>1670.6201639999999</v>
      </c>
      <c r="B2304" s="1">
        <f>DATE(2014,11,26) + TIME(14,53,2)</f>
        <v>41969.620162037034</v>
      </c>
      <c r="C2304">
        <v>80</v>
      </c>
      <c r="D2304">
        <v>77.632514954000001</v>
      </c>
      <c r="E2304">
        <v>60</v>
      </c>
      <c r="F2304">
        <v>59.975044250000003</v>
      </c>
      <c r="G2304">
        <v>1298.3063964999999</v>
      </c>
      <c r="H2304">
        <v>1283.8864745999999</v>
      </c>
      <c r="I2304">
        <v>1396.5843506000001</v>
      </c>
      <c r="J2304">
        <v>1376.8520507999999</v>
      </c>
      <c r="K2304">
        <v>0</v>
      </c>
      <c r="L2304">
        <v>2750</v>
      </c>
      <c r="M2304">
        <v>2750</v>
      </c>
      <c r="N2304">
        <v>0</v>
      </c>
    </row>
    <row r="2305" spans="1:14" x14ac:dyDescent="0.25">
      <c r="A2305">
        <v>1671.6649870000001</v>
      </c>
      <c r="B2305" s="1">
        <f>DATE(2014,11,27) + TIME(15,57,34)</f>
        <v>41970.664976851855</v>
      </c>
      <c r="C2305">
        <v>80</v>
      </c>
      <c r="D2305">
        <v>77.553535460999996</v>
      </c>
      <c r="E2305">
        <v>60</v>
      </c>
      <c r="F2305">
        <v>59.975048065000003</v>
      </c>
      <c r="G2305">
        <v>1298.2631836</v>
      </c>
      <c r="H2305">
        <v>1283.8354492000001</v>
      </c>
      <c r="I2305">
        <v>1396.5333252</v>
      </c>
      <c r="J2305">
        <v>1376.8112793</v>
      </c>
      <c r="K2305">
        <v>0</v>
      </c>
      <c r="L2305">
        <v>2750</v>
      </c>
      <c r="M2305">
        <v>2750</v>
      </c>
      <c r="N2305">
        <v>0</v>
      </c>
    </row>
    <row r="2306" spans="1:14" x14ac:dyDescent="0.25">
      <c r="A2306">
        <v>1672.722583</v>
      </c>
      <c r="B2306" s="1">
        <f>DATE(2014,11,28) + TIME(17,20,31)</f>
        <v>41971.722581018519</v>
      </c>
      <c r="C2306">
        <v>80</v>
      </c>
      <c r="D2306">
        <v>77.473747252999999</v>
      </c>
      <c r="E2306">
        <v>60</v>
      </c>
      <c r="F2306">
        <v>59.975055695000002</v>
      </c>
      <c r="G2306">
        <v>1298.2188721</v>
      </c>
      <c r="H2306">
        <v>1283.7830810999999</v>
      </c>
      <c r="I2306">
        <v>1396.4833983999999</v>
      </c>
      <c r="J2306">
        <v>1376.7714844</v>
      </c>
      <c r="K2306">
        <v>0</v>
      </c>
      <c r="L2306">
        <v>2750</v>
      </c>
      <c r="M2306">
        <v>2750</v>
      </c>
      <c r="N2306">
        <v>0</v>
      </c>
    </row>
    <row r="2307" spans="1:14" x14ac:dyDescent="0.25">
      <c r="A2307">
        <v>1673.7948759999999</v>
      </c>
      <c r="B2307" s="1">
        <f>DATE(2014,11,29) + TIME(19,4,37)</f>
        <v>41972.794872685183</v>
      </c>
      <c r="C2307">
        <v>80</v>
      </c>
      <c r="D2307">
        <v>77.393478393999999</v>
      </c>
      <c r="E2307">
        <v>60</v>
      </c>
      <c r="F2307">
        <v>59.975059508999998</v>
      </c>
      <c r="G2307">
        <v>1298.1735839999999</v>
      </c>
      <c r="H2307">
        <v>1283.7292480000001</v>
      </c>
      <c r="I2307">
        <v>1396.4344481999999</v>
      </c>
      <c r="J2307">
        <v>1376.7325439000001</v>
      </c>
      <c r="K2307">
        <v>0</v>
      </c>
      <c r="L2307">
        <v>2750</v>
      </c>
      <c r="M2307">
        <v>2750</v>
      </c>
      <c r="N2307">
        <v>0</v>
      </c>
    </row>
    <row r="2308" spans="1:14" x14ac:dyDescent="0.25">
      <c r="A2308">
        <v>1674.8862469999999</v>
      </c>
      <c r="B2308" s="1">
        <f>DATE(2014,11,30) + TIME(21,16,11)</f>
        <v>41973.886238425926</v>
      </c>
      <c r="C2308">
        <v>80</v>
      </c>
      <c r="D2308">
        <v>77.312705993999998</v>
      </c>
      <c r="E2308">
        <v>60</v>
      </c>
      <c r="F2308">
        <v>59.975067138999997</v>
      </c>
      <c r="G2308">
        <v>1298.1271973</v>
      </c>
      <c r="H2308">
        <v>1283.6738281</v>
      </c>
      <c r="I2308">
        <v>1396.3864745999999</v>
      </c>
      <c r="J2308">
        <v>1376.6942139</v>
      </c>
      <c r="K2308">
        <v>0</v>
      </c>
      <c r="L2308">
        <v>2750</v>
      </c>
      <c r="M2308">
        <v>2750</v>
      </c>
      <c r="N2308">
        <v>0</v>
      </c>
    </row>
    <row r="2309" spans="1:14" x14ac:dyDescent="0.25">
      <c r="A2309">
        <v>1675</v>
      </c>
      <c r="B2309" s="1">
        <f>DATE(2014,12,1) + TIME(0,0,0)</f>
        <v>41974</v>
      </c>
      <c r="C2309">
        <v>80</v>
      </c>
      <c r="D2309">
        <v>77.294601439999994</v>
      </c>
      <c r="E2309">
        <v>60</v>
      </c>
      <c r="F2309">
        <v>59.975063323999997</v>
      </c>
      <c r="G2309">
        <v>1298.0792236</v>
      </c>
      <c r="H2309">
        <v>1283.6243896000001</v>
      </c>
      <c r="I2309">
        <v>1396.3400879000001</v>
      </c>
      <c r="J2309">
        <v>1376.6574707</v>
      </c>
      <c r="K2309">
        <v>0</v>
      </c>
      <c r="L2309">
        <v>2750</v>
      </c>
      <c r="M2309">
        <v>2750</v>
      </c>
      <c r="N2309">
        <v>0</v>
      </c>
    </row>
    <row r="2310" spans="1:14" x14ac:dyDescent="0.25">
      <c r="A2310">
        <v>1676.1178640000001</v>
      </c>
      <c r="B2310" s="1">
        <f>DATE(2014,12,2) + TIME(2,49,43)</f>
        <v>41975.117858796293</v>
      </c>
      <c r="C2310">
        <v>80</v>
      </c>
      <c r="D2310">
        <v>77.218948363999999</v>
      </c>
      <c r="E2310">
        <v>60</v>
      </c>
      <c r="F2310">
        <v>59.975074767999999</v>
      </c>
      <c r="G2310">
        <v>1298.0739745999999</v>
      </c>
      <c r="H2310">
        <v>1283.609375</v>
      </c>
      <c r="I2310">
        <v>1396.3342285000001</v>
      </c>
      <c r="J2310">
        <v>1376.6525879000001</v>
      </c>
      <c r="K2310">
        <v>0</v>
      </c>
      <c r="L2310">
        <v>2750</v>
      </c>
      <c r="M2310">
        <v>2750</v>
      </c>
      <c r="N2310">
        <v>0</v>
      </c>
    </row>
    <row r="2311" spans="1:14" x14ac:dyDescent="0.25">
      <c r="A2311">
        <v>1677.2743680000001</v>
      </c>
      <c r="B2311" s="1">
        <f>DATE(2014,12,3) + TIME(6,35,5)</f>
        <v>41976.274363425924</v>
      </c>
      <c r="C2311">
        <v>80</v>
      </c>
      <c r="D2311">
        <v>77.138511657999999</v>
      </c>
      <c r="E2311">
        <v>60</v>
      </c>
      <c r="F2311">
        <v>59.975082397000001</v>
      </c>
      <c r="G2311">
        <v>1298.0245361</v>
      </c>
      <c r="H2311">
        <v>1283.550293</v>
      </c>
      <c r="I2311">
        <v>1396.2874756000001</v>
      </c>
      <c r="J2311">
        <v>1376.6153564000001</v>
      </c>
      <c r="K2311">
        <v>0</v>
      </c>
      <c r="L2311">
        <v>2750</v>
      </c>
      <c r="M2311">
        <v>2750</v>
      </c>
      <c r="N2311">
        <v>0</v>
      </c>
    </row>
    <row r="2312" spans="1:14" x14ac:dyDescent="0.25">
      <c r="A2312">
        <v>1678.474927</v>
      </c>
      <c r="B2312" s="1">
        <f>DATE(2014,12,4) + TIME(11,23,53)</f>
        <v>41977.474918981483</v>
      </c>
      <c r="C2312">
        <v>80</v>
      </c>
      <c r="D2312">
        <v>77.054847717000001</v>
      </c>
      <c r="E2312">
        <v>60</v>
      </c>
      <c r="F2312">
        <v>59.975093842</v>
      </c>
      <c r="G2312">
        <v>1297.9725341999999</v>
      </c>
      <c r="H2312">
        <v>1283.4876709</v>
      </c>
      <c r="I2312">
        <v>1396.2406006000001</v>
      </c>
      <c r="J2312">
        <v>1376.5777588000001</v>
      </c>
      <c r="K2312">
        <v>0</v>
      </c>
      <c r="L2312">
        <v>2750</v>
      </c>
      <c r="M2312">
        <v>2750</v>
      </c>
      <c r="N2312">
        <v>0</v>
      </c>
    </row>
    <row r="2313" spans="1:14" x14ac:dyDescent="0.25">
      <c r="A2313">
        <v>1679.729961</v>
      </c>
      <c r="B2313" s="1">
        <f>DATE(2014,12,5) + TIME(17,31,8)</f>
        <v>41978.729953703703</v>
      </c>
      <c r="C2313">
        <v>80</v>
      </c>
      <c r="D2313">
        <v>76.968254088999998</v>
      </c>
      <c r="E2313">
        <v>60</v>
      </c>
      <c r="F2313">
        <v>59.975101471000002</v>
      </c>
      <c r="G2313">
        <v>1297.9177245999999</v>
      </c>
      <c r="H2313">
        <v>1283.4212646000001</v>
      </c>
      <c r="I2313">
        <v>1396.1932373</v>
      </c>
      <c r="J2313">
        <v>1376.5400391000001</v>
      </c>
      <c r="K2313">
        <v>0</v>
      </c>
      <c r="L2313">
        <v>2750</v>
      </c>
      <c r="M2313">
        <v>2750</v>
      </c>
      <c r="N2313">
        <v>0</v>
      </c>
    </row>
    <row r="2314" spans="1:14" x14ac:dyDescent="0.25">
      <c r="A2314">
        <v>1681.0337629999999</v>
      </c>
      <c r="B2314" s="1">
        <f>DATE(2014,12,7) + TIME(0,48,37)</f>
        <v>41980.033761574072</v>
      </c>
      <c r="C2314">
        <v>80</v>
      </c>
      <c r="D2314">
        <v>76.878890991000006</v>
      </c>
      <c r="E2314">
        <v>60</v>
      </c>
      <c r="F2314">
        <v>59.975112914999997</v>
      </c>
      <c r="G2314">
        <v>1297.8594971</v>
      </c>
      <c r="H2314">
        <v>1283.3505858999999</v>
      </c>
      <c r="I2314">
        <v>1396.1452637</v>
      </c>
      <c r="J2314">
        <v>1376.5017089999999</v>
      </c>
      <c r="K2314">
        <v>0</v>
      </c>
      <c r="L2314">
        <v>2750</v>
      </c>
      <c r="M2314">
        <v>2750</v>
      </c>
      <c r="N2314">
        <v>0</v>
      </c>
    </row>
    <row r="2315" spans="1:14" x14ac:dyDescent="0.25">
      <c r="A2315">
        <v>1682.3452850000001</v>
      </c>
      <c r="B2315" s="1">
        <f>DATE(2014,12,8) + TIME(8,17,12)</f>
        <v>41981.345277777778</v>
      </c>
      <c r="C2315">
        <v>80</v>
      </c>
      <c r="D2315">
        <v>76.787971497000001</v>
      </c>
      <c r="E2315">
        <v>60</v>
      </c>
      <c r="F2315">
        <v>59.975124358999999</v>
      </c>
      <c r="G2315">
        <v>1297.7980957</v>
      </c>
      <c r="H2315">
        <v>1283.2757568</v>
      </c>
      <c r="I2315">
        <v>1396.0968018000001</v>
      </c>
      <c r="J2315">
        <v>1376.4630127</v>
      </c>
      <c r="K2315">
        <v>0</v>
      </c>
      <c r="L2315">
        <v>2750</v>
      </c>
      <c r="M2315">
        <v>2750</v>
      </c>
      <c r="N2315">
        <v>0</v>
      </c>
    </row>
    <row r="2316" spans="1:14" x14ac:dyDescent="0.25">
      <c r="A2316">
        <v>1683.6737109999999</v>
      </c>
      <c r="B2316" s="1">
        <f>DATE(2014,12,9) + TIME(16,10,8)</f>
        <v>41982.673703703702</v>
      </c>
      <c r="C2316">
        <v>80</v>
      </c>
      <c r="D2316">
        <v>76.696533203000001</v>
      </c>
      <c r="E2316">
        <v>60</v>
      </c>
      <c r="F2316">
        <v>59.975135803000001</v>
      </c>
      <c r="G2316">
        <v>1297.7352295000001</v>
      </c>
      <c r="H2316">
        <v>1283.1988524999999</v>
      </c>
      <c r="I2316">
        <v>1396.0495605000001</v>
      </c>
      <c r="J2316">
        <v>1376.4251709</v>
      </c>
      <c r="K2316">
        <v>0</v>
      </c>
      <c r="L2316">
        <v>2750</v>
      </c>
      <c r="M2316">
        <v>2750</v>
      </c>
      <c r="N2316">
        <v>0</v>
      </c>
    </row>
    <row r="2317" spans="1:14" x14ac:dyDescent="0.25">
      <c r="A2317">
        <v>1685.0282480000001</v>
      </c>
      <c r="B2317" s="1">
        <f>DATE(2014,12,11) + TIME(0,40,40)</f>
        <v>41984.028240740743</v>
      </c>
      <c r="C2317">
        <v>80</v>
      </c>
      <c r="D2317">
        <v>76.604576111</v>
      </c>
      <c r="E2317">
        <v>60</v>
      </c>
      <c r="F2317">
        <v>59.975147247000002</v>
      </c>
      <c r="G2317">
        <v>1297.6705322</v>
      </c>
      <c r="H2317">
        <v>1283.1191406</v>
      </c>
      <c r="I2317">
        <v>1396.0031738</v>
      </c>
      <c r="J2317">
        <v>1376.3879394999999</v>
      </c>
      <c r="K2317">
        <v>0</v>
      </c>
      <c r="L2317">
        <v>2750</v>
      </c>
      <c r="M2317">
        <v>2750</v>
      </c>
      <c r="N2317">
        <v>0</v>
      </c>
    </row>
    <row r="2318" spans="1:14" x14ac:dyDescent="0.25">
      <c r="A2318">
        <v>1686.418494</v>
      </c>
      <c r="B2318" s="1">
        <f>DATE(2014,12,12) + TIME(10,2,37)</f>
        <v>41985.418483796297</v>
      </c>
      <c r="C2318">
        <v>80</v>
      </c>
      <c r="D2318">
        <v>76.511688231999997</v>
      </c>
      <c r="E2318">
        <v>60</v>
      </c>
      <c r="F2318">
        <v>59.975158690999997</v>
      </c>
      <c r="G2318">
        <v>1297.6033935999999</v>
      </c>
      <c r="H2318">
        <v>1283.0361327999999</v>
      </c>
      <c r="I2318">
        <v>1395.9570312000001</v>
      </c>
      <c r="J2318">
        <v>1376.3510742000001</v>
      </c>
      <c r="K2318">
        <v>0</v>
      </c>
      <c r="L2318">
        <v>2750</v>
      </c>
      <c r="M2318">
        <v>2750</v>
      </c>
      <c r="N2318">
        <v>0</v>
      </c>
    </row>
    <row r="2319" spans="1:14" x14ac:dyDescent="0.25">
      <c r="A2319">
        <v>1687.8504459999999</v>
      </c>
      <c r="B2319" s="1">
        <f>DATE(2014,12,13) + TIME(20,24,38)</f>
        <v>41986.850439814814</v>
      </c>
      <c r="C2319">
        <v>80</v>
      </c>
      <c r="D2319">
        <v>76.417411803999997</v>
      </c>
      <c r="E2319">
        <v>60</v>
      </c>
      <c r="F2319">
        <v>59.975170134999999</v>
      </c>
      <c r="G2319">
        <v>1297.5333252</v>
      </c>
      <c r="H2319">
        <v>1282.9492187999999</v>
      </c>
      <c r="I2319">
        <v>1395.9111327999999</v>
      </c>
      <c r="J2319">
        <v>1376.3140868999999</v>
      </c>
      <c r="K2319">
        <v>0</v>
      </c>
      <c r="L2319">
        <v>2750</v>
      </c>
      <c r="M2319">
        <v>2750</v>
      </c>
      <c r="N2319">
        <v>0</v>
      </c>
    </row>
    <row r="2320" spans="1:14" x14ac:dyDescent="0.25">
      <c r="A2320">
        <v>1689.3247080000001</v>
      </c>
      <c r="B2320" s="1">
        <f>DATE(2014,12,15) + TIME(7,47,34)</f>
        <v>41988.324699074074</v>
      </c>
      <c r="C2320">
        <v>80</v>
      </c>
      <c r="D2320">
        <v>76.321487426999994</v>
      </c>
      <c r="E2320">
        <v>60</v>
      </c>
      <c r="F2320">
        <v>59.975185394</v>
      </c>
      <c r="G2320">
        <v>1297.4598389</v>
      </c>
      <c r="H2320">
        <v>1282.8576660000001</v>
      </c>
      <c r="I2320">
        <v>1395.8651123</v>
      </c>
      <c r="J2320">
        <v>1376.2770995999999</v>
      </c>
      <c r="K2320">
        <v>0</v>
      </c>
      <c r="L2320">
        <v>2750</v>
      </c>
      <c r="M2320">
        <v>2750</v>
      </c>
      <c r="N2320">
        <v>0</v>
      </c>
    </row>
    <row r="2321" spans="1:14" x14ac:dyDescent="0.25">
      <c r="A2321">
        <v>1690.8528180000001</v>
      </c>
      <c r="B2321" s="1">
        <f>DATE(2014,12,16) + TIME(20,28,3)</f>
        <v>41989.852812500001</v>
      </c>
      <c r="C2321">
        <v>80</v>
      </c>
      <c r="D2321">
        <v>76.223594665999997</v>
      </c>
      <c r="E2321">
        <v>60</v>
      </c>
      <c r="F2321">
        <v>59.975200653000002</v>
      </c>
      <c r="G2321">
        <v>1297.3826904</v>
      </c>
      <c r="H2321">
        <v>1282.7612305</v>
      </c>
      <c r="I2321">
        <v>1395.8189697</v>
      </c>
      <c r="J2321">
        <v>1376.2401123</v>
      </c>
      <c r="K2321">
        <v>0</v>
      </c>
      <c r="L2321">
        <v>2750</v>
      </c>
      <c r="M2321">
        <v>2750</v>
      </c>
      <c r="N2321">
        <v>0</v>
      </c>
    </row>
    <row r="2322" spans="1:14" x14ac:dyDescent="0.25">
      <c r="A2322">
        <v>1692.4421090000001</v>
      </c>
      <c r="B2322" s="1">
        <f>DATE(2014,12,18) + TIME(10,36,38)</f>
        <v>41991.442106481481</v>
      </c>
      <c r="C2322">
        <v>80</v>
      </c>
      <c r="D2322">
        <v>76.123252868999998</v>
      </c>
      <c r="E2322">
        <v>60</v>
      </c>
      <c r="F2322">
        <v>59.975215912000003</v>
      </c>
      <c r="G2322">
        <v>1297.3012695</v>
      </c>
      <c r="H2322">
        <v>1282.6589355000001</v>
      </c>
      <c r="I2322">
        <v>1395.7724608999999</v>
      </c>
      <c r="J2322">
        <v>1376.2026367000001</v>
      </c>
      <c r="K2322">
        <v>0</v>
      </c>
      <c r="L2322">
        <v>2750</v>
      </c>
      <c r="M2322">
        <v>2750</v>
      </c>
      <c r="N2322">
        <v>0</v>
      </c>
    </row>
    <row r="2323" spans="1:14" x14ac:dyDescent="0.25">
      <c r="A2323">
        <v>1694.0336130000001</v>
      </c>
      <c r="B2323" s="1">
        <f>DATE(2014,12,20) + TIME(0,48,24)</f>
        <v>41993.03361111111</v>
      </c>
      <c r="C2323">
        <v>80</v>
      </c>
      <c r="D2323">
        <v>76.021347046000002</v>
      </c>
      <c r="E2323">
        <v>60</v>
      </c>
      <c r="F2323">
        <v>59.975231170999997</v>
      </c>
      <c r="G2323">
        <v>1297.2149658000001</v>
      </c>
      <c r="H2323">
        <v>1282.5501709</v>
      </c>
      <c r="I2323">
        <v>1395.7253418</v>
      </c>
      <c r="J2323">
        <v>1376.1646728999999</v>
      </c>
      <c r="K2323">
        <v>0</v>
      </c>
      <c r="L2323">
        <v>2750</v>
      </c>
      <c r="M2323">
        <v>2750</v>
      </c>
      <c r="N2323">
        <v>0</v>
      </c>
    </row>
    <row r="2324" spans="1:14" x14ac:dyDescent="0.25">
      <c r="A2324">
        <v>1695.637735</v>
      </c>
      <c r="B2324" s="1">
        <f>DATE(2014,12,21) + TIME(15,18,20)</f>
        <v>41994.637731481482</v>
      </c>
      <c r="C2324">
        <v>80</v>
      </c>
      <c r="D2324">
        <v>75.919349670000003</v>
      </c>
      <c r="E2324">
        <v>60</v>
      </c>
      <c r="F2324">
        <v>59.975246429000002</v>
      </c>
      <c r="G2324">
        <v>1297.1267089999999</v>
      </c>
      <c r="H2324">
        <v>1282.4382324000001</v>
      </c>
      <c r="I2324">
        <v>1395.6794434000001</v>
      </c>
      <c r="J2324">
        <v>1376.1275635</v>
      </c>
      <c r="K2324">
        <v>0</v>
      </c>
      <c r="L2324">
        <v>2750</v>
      </c>
      <c r="M2324">
        <v>2750</v>
      </c>
      <c r="N2324">
        <v>0</v>
      </c>
    </row>
    <row r="2325" spans="1:14" x14ac:dyDescent="0.25">
      <c r="A2325">
        <v>1697.2650160000001</v>
      </c>
      <c r="B2325" s="1">
        <f>DATE(2014,12,23) + TIME(6,21,37)</f>
        <v>41996.265011574076</v>
      </c>
      <c r="C2325">
        <v>80</v>
      </c>
      <c r="D2325">
        <v>75.817260742000002</v>
      </c>
      <c r="E2325">
        <v>60</v>
      </c>
      <c r="F2325">
        <v>59.975261688000003</v>
      </c>
      <c r="G2325">
        <v>1297.0358887</v>
      </c>
      <c r="H2325">
        <v>1282.3226318</v>
      </c>
      <c r="I2325">
        <v>1395.6342772999999</v>
      </c>
      <c r="J2325">
        <v>1376.0911865</v>
      </c>
      <c r="K2325">
        <v>0</v>
      </c>
      <c r="L2325">
        <v>2750</v>
      </c>
      <c r="M2325">
        <v>2750</v>
      </c>
      <c r="N2325">
        <v>0</v>
      </c>
    </row>
    <row r="2326" spans="1:14" x14ac:dyDescent="0.25">
      <c r="A2326">
        <v>1698.9261939999999</v>
      </c>
      <c r="B2326" s="1">
        <f>DATE(2014,12,24) + TIME(22,13,43)</f>
        <v>41997.926192129627</v>
      </c>
      <c r="C2326">
        <v>80</v>
      </c>
      <c r="D2326">
        <v>75.714607239000003</v>
      </c>
      <c r="E2326">
        <v>60</v>
      </c>
      <c r="F2326">
        <v>59.975280761999997</v>
      </c>
      <c r="G2326">
        <v>1296.9418945</v>
      </c>
      <c r="H2326">
        <v>1282.2023925999999</v>
      </c>
      <c r="I2326">
        <v>1395.5897216999999</v>
      </c>
      <c r="J2326">
        <v>1376.0550536999999</v>
      </c>
      <c r="K2326">
        <v>0</v>
      </c>
      <c r="L2326">
        <v>2750</v>
      </c>
      <c r="M2326">
        <v>2750</v>
      </c>
      <c r="N2326">
        <v>0</v>
      </c>
    </row>
    <row r="2327" spans="1:14" x14ac:dyDescent="0.25">
      <c r="A2327">
        <v>1700.6326409999999</v>
      </c>
      <c r="B2327" s="1">
        <f>DATE(2014,12,26) + TIME(15,11,0)</f>
        <v>41999.632638888892</v>
      </c>
      <c r="C2327">
        <v>80</v>
      </c>
      <c r="D2327">
        <v>75.610786438000005</v>
      </c>
      <c r="E2327">
        <v>60</v>
      </c>
      <c r="F2327">
        <v>59.975296020999998</v>
      </c>
      <c r="G2327">
        <v>1296.8439940999999</v>
      </c>
      <c r="H2327">
        <v>1282.0766602000001</v>
      </c>
      <c r="I2327">
        <v>1395.5454102000001</v>
      </c>
      <c r="J2327">
        <v>1376.0191649999999</v>
      </c>
      <c r="K2327">
        <v>0</v>
      </c>
      <c r="L2327">
        <v>2750</v>
      </c>
      <c r="M2327">
        <v>2750</v>
      </c>
      <c r="N2327">
        <v>0</v>
      </c>
    </row>
    <row r="2328" spans="1:14" x14ac:dyDescent="0.25">
      <c r="A2328">
        <v>1702.39687</v>
      </c>
      <c r="B2328" s="1">
        <f>DATE(2014,12,28) + TIME(9,31,29)</f>
        <v>42001.396863425929</v>
      </c>
      <c r="C2328">
        <v>80</v>
      </c>
      <c r="D2328">
        <v>75.505111693999993</v>
      </c>
      <c r="E2328">
        <v>60</v>
      </c>
      <c r="F2328">
        <v>59.975315094000003</v>
      </c>
      <c r="G2328">
        <v>1296.7413329999999</v>
      </c>
      <c r="H2328">
        <v>1281.9444579999999</v>
      </c>
      <c r="I2328">
        <v>1395.5009766000001</v>
      </c>
      <c r="J2328">
        <v>1375.9830322</v>
      </c>
      <c r="K2328">
        <v>0</v>
      </c>
      <c r="L2328">
        <v>2750</v>
      </c>
      <c r="M2328">
        <v>2750</v>
      </c>
      <c r="N2328">
        <v>0</v>
      </c>
    </row>
    <row r="2329" spans="1:14" x14ac:dyDescent="0.25">
      <c r="A2329">
        <v>1704.2331280000001</v>
      </c>
      <c r="B2329" s="1">
        <f>DATE(2014,12,30) + TIME(5,35,42)</f>
        <v>42003.233124999999</v>
      </c>
      <c r="C2329">
        <v>80</v>
      </c>
      <c r="D2329">
        <v>75.396835327000005</v>
      </c>
      <c r="E2329">
        <v>60</v>
      </c>
      <c r="F2329">
        <v>59.975334167</v>
      </c>
      <c r="G2329">
        <v>1296.6330565999999</v>
      </c>
      <c r="H2329">
        <v>1281.8043213000001</v>
      </c>
      <c r="I2329">
        <v>1395.4560547000001</v>
      </c>
      <c r="J2329">
        <v>1375.9465332</v>
      </c>
      <c r="K2329">
        <v>0</v>
      </c>
      <c r="L2329">
        <v>2750</v>
      </c>
      <c r="M2329">
        <v>2750</v>
      </c>
      <c r="N2329">
        <v>0</v>
      </c>
    </row>
    <row r="2330" spans="1:14" x14ac:dyDescent="0.25">
      <c r="A2330">
        <v>1706</v>
      </c>
      <c r="B2330" s="1">
        <f>DATE(2015,1,1) + TIME(0,0,0)</f>
        <v>42005</v>
      </c>
      <c r="C2330">
        <v>80</v>
      </c>
      <c r="D2330">
        <v>75.287826538000004</v>
      </c>
      <c r="E2330">
        <v>60</v>
      </c>
      <c r="F2330">
        <v>59.975353241000001</v>
      </c>
      <c r="G2330">
        <v>1296.5183105000001</v>
      </c>
      <c r="H2330">
        <v>1281.6556396000001</v>
      </c>
      <c r="I2330">
        <v>1395.4105225000001</v>
      </c>
      <c r="J2330">
        <v>1375.9094238</v>
      </c>
      <c r="K2330">
        <v>0</v>
      </c>
      <c r="L2330">
        <v>2750</v>
      </c>
      <c r="M2330">
        <v>2750</v>
      </c>
      <c r="N2330">
        <v>0</v>
      </c>
    </row>
    <row r="2331" spans="1:14" x14ac:dyDescent="0.25">
      <c r="A2331">
        <v>1707.8934830000001</v>
      </c>
      <c r="B2331" s="1">
        <f>DATE(2015,1,2) + TIME(21,26,36)</f>
        <v>42006.893472222226</v>
      </c>
      <c r="C2331">
        <v>80</v>
      </c>
      <c r="D2331">
        <v>75.178794861</v>
      </c>
      <c r="E2331">
        <v>60</v>
      </c>
      <c r="F2331">
        <v>59.975372313999998</v>
      </c>
      <c r="G2331">
        <v>1296.4046631000001</v>
      </c>
      <c r="H2331">
        <v>1281.5069579999999</v>
      </c>
      <c r="I2331">
        <v>1395.3676757999999</v>
      </c>
      <c r="J2331">
        <v>1375.8745117000001</v>
      </c>
      <c r="K2331">
        <v>0</v>
      </c>
      <c r="L2331">
        <v>2750</v>
      </c>
      <c r="M2331">
        <v>2750</v>
      </c>
      <c r="N2331">
        <v>0</v>
      </c>
    </row>
    <row r="2332" spans="1:14" x14ac:dyDescent="0.25">
      <c r="A2332">
        <v>1709.800043</v>
      </c>
      <c r="B2332" s="1">
        <f>DATE(2015,1,4) + TIME(19,12,3)</f>
        <v>42008.800034722219</v>
      </c>
      <c r="C2332">
        <v>80</v>
      </c>
      <c r="D2332">
        <v>75.066886901999993</v>
      </c>
      <c r="E2332">
        <v>60</v>
      </c>
      <c r="F2332">
        <v>59.975395202999998</v>
      </c>
      <c r="G2332">
        <v>1296.28125</v>
      </c>
      <c r="H2332">
        <v>1281.3455810999999</v>
      </c>
      <c r="I2332">
        <v>1395.322876</v>
      </c>
      <c r="J2332">
        <v>1375.8380127</v>
      </c>
      <c r="K2332">
        <v>0</v>
      </c>
      <c r="L2332">
        <v>2750</v>
      </c>
      <c r="M2332">
        <v>2750</v>
      </c>
      <c r="N2332">
        <v>0</v>
      </c>
    </row>
    <row r="2333" spans="1:14" x14ac:dyDescent="0.25">
      <c r="A2333">
        <v>1711.730804</v>
      </c>
      <c r="B2333" s="1">
        <f>DATE(2015,1,6) + TIME(17,32,21)</f>
        <v>42010.730798611112</v>
      </c>
      <c r="C2333">
        <v>80</v>
      </c>
      <c r="D2333">
        <v>74.954017639</v>
      </c>
      <c r="E2333">
        <v>60</v>
      </c>
      <c r="F2333">
        <v>59.975414276000002</v>
      </c>
      <c r="G2333">
        <v>1296.1540527</v>
      </c>
      <c r="H2333">
        <v>1281.1784668</v>
      </c>
      <c r="I2333">
        <v>1395.2788086</v>
      </c>
      <c r="J2333">
        <v>1375.8018798999999</v>
      </c>
      <c r="K2333">
        <v>0</v>
      </c>
      <c r="L2333">
        <v>2750</v>
      </c>
      <c r="M2333">
        <v>2750</v>
      </c>
      <c r="N2333">
        <v>0</v>
      </c>
    </row>
    <row r="2334" spans="1:14" x14ac:dyDescent="0.25">
      <c r="A2334">
        <v>1713.698071</v>
      </c>
      <c r="B2334" s="1">
        <f>DATE(2015,1,8) + TIME(16,45,13)</f>
        <v>42012.698067129626</v>
      </c>
      <c r="C2334">
        <v>80</v>
      </c>
      <c r="D2334">
        <v>74.840110779</v>
      </c>
      <c r="E2334">
        <v>60</v>
      </c>
      <c r="F2334">
        <v>59.975437163999999</v>
      </c>
      <c r="G2334">
        <v>1296.0224608999999</v>
      </c>
      <c r="H2334">
        <v>1281.0047606999999</v>
      </c>
      <c r="I2334">
        <v>1395.2352295000001</v>
      </c>
      <c r="J2334">
        <v>1375.7661132999999</v>
      </c>
      <c r="K2334">
        <v>0</v>
      </c>
      <c r="L2334">
        <v>2750</v>
      </c>
      <c r="M2334">
        <v>2750</v>
      </c>
      <c r="N2334">
        <v>0</v>
      </c>
    </row>
    <row r="2335" spans="1:14" x14ac:dyDescent="0.25">
      <c r="A2335">
        <v>1715.7147660000001</v>
      </c>
      <c r="B2335" s="1">
        <f>DATE(2015,1,10) + TIME(17,9,15)</f>
        <v>42014.714756944442</v>
      </c>
      <c r="C2335">
        <v>80</v>
      </c>
      <c r="D2335">
        <v>74.724639893000003</v>
      </c>
      <c r="E2335">
        <v>60</v>
      </c>
      <c r="F2335">
        <v>59.975460052000003</v>
      </c>
      <c r="G2335">
        <v>1295.8857422000001</v>
      </c>
      <c r="H2335">
        <v>1280.8234863</v>
      </c>
      <c r="I2335">
        <v>1395.1917725000001</v>
      </c>
      <c r="J2335">
        <v>1375.7304687999999</v>
      </c>
      <c r="K2335">
        <v>0</v>
      </c>
      <c r="L2335">
        <v>2750</v>
      </c>
      <c r="M2335">
        <v>2750</v>
      </c>
      <c r="N2335">
        <v>0</v>
      </c>
    </row>
    <row r="2336" spans="1:14" x14ac:dyDescent="0.25">
      <c r="A2336">
        <v>1717.7950229999999</v>
      </c>
      <c r="B2336" s="1">
        <f>DATE(2015,1,12) + TIME(19,4,49)</f>
        <v>42016.795011574075</v>
      </c>
      <c r="C2336">
        <v>80</v>
      </c>
      <c r="D2336">
        <v>74.606834411999998</v>
      </c>
      <c r="E2336">
        <v>60</v>
      </c>
      <c r="F2336">
        <v>59.975482941000003</v>
      </c>
      <c r="G2336">
        <v>1295.7425536999999</v>
      </c>
      <c r="H2336">
        <v>1280.6333007999999</v>
      </c>
      <c r="I2336">
        <v>1395.1481934000001</v>
      </c>
      <c r="J2336">
        <v>1375.6947021000001</v>
      </c>
      <c r="K2336">
        <v>0</v>
      </c>
      <c r="L2336">
        <v>2750</v>
      </c>
      <c r="M2336">
        <v>2750</v>
      </c>
      <c r="N2336">
        <v>0</v>
      </c>
    </row>
    <row r="2337" spans="1:14" x14ac:dyDescent="0.25">
      <c r="A2337">
        <v>1719.9503560000001</v>
      </c>
      <c r="B2337" s="1">
        <f>DATE(2015,1,14) + TIME(22,48,30)</f>
        <v>42018.95034722222</v>
      </c>
      <c r="C2337">
        <v>80</v>
      </c>
      <c r="D2337">
        <v>74.485885620000005</v>
      </c>
      <c r="E2337">
        <v>60</v>
      </c>
      <c r="F2337">
        <v>59.975505828999999</v>
      </c>
      <c r="G2337">
        <v>1295.5920410000001</v>
      </c>
      <c r="H2337">
        <v>1280.4324951000001</v>
      </c>
      <c r="I2337">
        <v>1395.1042480000001</v>
      </c>
      <c r="J2337">
        <v>1375.6584473</v>
      </c>
      <c r="K2337">
        <v>0</v>
      </c>
      <c r="L2337">
        <v>2750</v>
      </c>
      <c r="M2337">
        <v>2750</v>
      </c>
      <c r="N2337">
        <v>0</v>
      </c>
    </row>
    <row r="2338" spans="1:14" x14ac:dyDescent="0.25">
      <c r="A2338">
        <v>1722.168377</v>
      </c>
      <c r="B2338" s="1">
        <f>DATE(2015,1,17) + TIME(4,2,27)</f>
        <v>42021.168368055558</v>
      </c>
      <c r="C2338">
        <v>80</v>
      </c>
      <c r="D2338">
        <v>74.361351013000004</v>
      </c>
      <c r="E2338">
        <v>60</v>
      </c>
      <c r="F2338">
        <v>59.975532532000003</v>
      </c>
      <c r="G2338">
        <v>1295.4328613</v>
      </c>
      <c r="H2338">
        <v>1280.2194824000001</v>
      </c>
      <c r="I2338">
        <v>1395.0596923999999</v>
      </c>
      <c r="J2338">
        <v>1375.6217041</v>
      </c>
      <c r="K2338">
        <v>0</v>
      </c>
      <c r="L2338">
        <v>2750</v>
      </c>
      <c r="M2338">
        <v>2750</v>
      </c>
      <c r="N2338">
        <v>0</v>
      </c>
    </row>
    <row r="2339" spans="1:14" x14ac:dyDescent="0.25">
      <c r="A2339">
        <v>1724.3864570000001</v>
      </c>
      <c r="B2339" s="1">
        <f>DATE(2015,1,19) + TIME(9,16,29)</f>
        <v>42023.386446759258</v>
      </c>
      <c r="C2339">
        <v>80</v>
      </c>
      <c r="D2339">
        <v>74.234268188000001</v>
      </c>
      <c r="E2339">
        <v>60</v>
      </c>
      <c r="F2339">
        <v>59.975555419999999</v>
      </c>
      <c r="G2339">
        <v>1295.2657471</v>
      </c>
      <c r="H2339">
        <v>1279.9952393000001</v>
      </c>
      <c r="I2339">
        <v>1395.0148925999999</v>
      </c>
      <c r="J2339">
        <v>1375.5845947</v>
      </c>
      <c r="K2339">
        <v>0</v>
      </c>
      <c r="L2339">
        <v>2750</v>
      </c>
      <c r="M2339">
        <v>2750</v>
      </c>
      <c r="N2339">
        <v>0</v>
      </c>
    </row>
    <row r="2340" spans="1:14" x14ac:dyDescent="0.25">
      <c r="A2340">
        <v>1726.618195</v>
      </c>
      <c r="B2340" s="1">
        <f>DATE(2015,1,21) + TIME(14,50,12)</f>
        <v>42025.618194444447</v>
      </c>
      <c r="C2340">
        <v>80</v>
      </c>
      <c r="D2340">
        <v>74.106422424000002</v>
      </c>
      <c r="E2340">
        <v>60</v>
      </c>
      <c r="F2340">
        <v>59.975582123000002</v>
      </c>
      <c r="G2340">
        <v>1295.0948486</v>
      </c>
      <c r="H2340">
        <v>1279.7647704999999</v>
      </c>
      <c r="I2340">
        <v>1394.9709473</v>
      </c>
      <c r="J2340">
        <v>1375.5480957</v>
      </c>
      <c r="K2340">
        <v>0</v>
      </c>
      <c r="L2340">
        <v>2750</v>
      </c>
      <c r="M2340">
        <v>2750</v>
      </c>
      <c r="N2340">
        <v>0</v>
      </c>
    </row>
    <row r="2341" spans="1:14" x14ac:dyDescent="0.25">
      <c r="A2341">
        <v>1728.8771019999999</v>
      </c>
      <c r="B2341" s="1">
        <f>DATE(2015,1,23) + TIME(21,3,1)</f>
        <v>42027.87709490741</v>
      </c>
      <c r="C2341">
        <v>80</v>
      </c>
      <c r="D2341">
        <v>73.977539062000005</v>
      </c>
      <c r="E2341">
        <v>60</v>
      </c>
      <c r="F2341">
        <v>59.975605010999999</v>
      </c>
      <c r="G2341">
        <v>1294.9193115</v>
      </c>
      <c r="H2341">
        <v>1279.5273437999999</v>
      </c>
      <c r="I2341">
        <v>1394.9276123</v>
      </c>
      <c r="J2341">
        <v>1375.512207</v>
      </c>
      <c r="K2341">
        <v>0</v>
      </c>
      <c r="L2341">
        <v>2750</v>
      </c>
      <c r="M2341">
        <v>2750</v>
      </c>
      <c r="N2341">
        <v>0</v>
      </c>
    </row>
    <row r="2342" spans="1:14" x14ac:dyDescent="0.25">
      <c r="A2342">
        <v>1731.1768380000001</v>
      </c>
      <c r="B2342" s="1">
        <f>DATE(2015,1,26) + TIME(4,14,38)</f>
        <v>42030.176828703705</v>
      </c>
      <c r="C2342">
        <v>80</v>
      </c>
      <c r="D2342">
        <v>73.846855164000004</v>
      </c>
      <c r="E2342">
        <v>60</v>
      </c>
      <c r="F2342">
        <v>59.975631714000002</v>
      </c>
      <c r="G2342">
        <v>1294.7382812000001</v>
      </c>
      <c r="H2342">
        <v>1279.2816161999999</v>
      </c>
      <c r="I2342">
        <v>1394.8847656</v>
      </c>
      <c r="J2342">
        <v>1375.4764404</v>
      </c>
      <c r="K2342">
        <v>0</v>
      </c>
      <c r="L2342">
        <v>2750</v>
      </c>
      <c r="M2342">
        <v>2750</v>
      </c>
      <c r="N2342">
        <v>0</v>
      </c>
    </row>
    <row r="2343" spans="1:14" x14ac:dyDescent="0.25">
      <c r="A2343">
        <v>1733.5318870000001</v>
      </c>
      <c r="B2343" s="1">
        <f>DATE(2015,1,28) + TIME(12,45,55)</f>
        <v>42032.531886574077</v>
      </c>
      <c r="C2343">
        <v>80</v>
      </c>
      <c r="D2343">
        <v>73.713447571000003</v>
      </c>
      <c r="E2343">
        <v>60</v>
      </c>
      <c r="F2343">
        <v>59.975658416999998</v>
      </c>
      <c r="G2343">
        <v>1294.5506591999999</v>
      </c>
      <c r="H2343">
        <v>1279.0258789</v>
      </c>
      <c r="I2343">
        <v>1394.8419189000001</v>
      </c>
      <c r="J2343">
        <v>1375.4407959</v>
      </c>
      <c r="K2343">
        <v>0</v>
      </c>
      <c r="L2343">
        <v>2750</v>
      </c>
      <c r="M2343">
        <v>2750</v>
      </c>
      <c r="N2343">
        <v>0</v>
      </c>
    </row>
    <row r="2344" spans="1:14" x14ac:dyDescent="0.25">
      <c r="A2344">
        <v>1735.9580510000001</v>
      </c>
      <c r="B2344" s="1">
        <f>DATE(2015,1,30) + TIME(22,59,35)</f>
        <v>42034.958043981482</v>
      </c>
      <c r="C2344">
        <v>80</v>
      </c>
      <c r="D2344">
        <v>73.576263428000004</v>
      </c>
      <c r="E2344">
        <v>60</v>
      </c>
      <c r="F2344">
        <v>59.975688933999997</v>
      </c>
      <c r="G2344">
        <v>1294.3548584</v>
      </c>
      <c r="H2344">
        <v>1278.7585449000001</v>
      </c>
      <c r="I2344">
        <v>1394.7988281</v>
      </c>
      <c r="J2344">
        <v>1375.4047852000001</v>
      </c>
      <c r="K2344">
        <v>0</v>
      </c>
      <c r="L2344">
        <v>2750</v>
      </c>
      <c r="M2344">
        <v>2750</v>
      </c>
      <c r="N2344">
        <v>0</v>
      </c>
    </row>
    <row r="2345" spans="1:14" x14ac:dyDescent="0.25">
      <c r="A2345">
        <v>1737</v>
      </c>
      <c r="B2345" s="1">
        <f>DATE(2015,2,1) + TIME(0,0,0)</f>
        <v>42036</v>
      </c>
      <c r="C2345">
        <v>80</v>
      </c>
      <c r="D2345">
        <v>73.468101501000007</v>
      </c>
      <c r="E2345">
        <v>60</v>
      </c>
      <c r="F2345">
        <v>59.975696564000003</v>
      </c>
      <c r="G2345">
        <v>1294.1561279</v>
      </c>
      <c r="H2345">
        <v>1278.4946289</v>
      </c>
      <c r="I2345">
        <v>1394.7547606999999</v>
      </c>
      <c r="J2345">
        <v>1375.3679199000001</v>
      </c>
      <c r="K2345">
        <v>0</v>
      </c>
      <c r="L2345">
        <v>2750</v>
      </c>
      <c r="M2345">
        <v>2750</v>
      </c>
      <c r="N2345">
        <v>0</v>
      </c>
    </row>
    <row r="2346" spans="1:14" x14ac:dyDescent="0.25">
      <c r="A2346">
        <v>1739.5150570000001</v>
      </c>
      <c r="B2346" s="1">
        <f>DATE(2015,2,3) + TIME(12,21,40)</f>
        <v>42038.515046296299</v>
      </c>
      <c r="C2346">
        <v>80</v>
      </c>
      <c r="D2346">
        <v>73.362167357999994</v>
      </c>
      <c r="E2346">
        <v>60</v>
      </c>
      <c r="F2346">
        <v>59.975727081000002</v>
      </c>
      <c r="G2346">
        <v>1294.0516356999999</v>
      </c>
      <c r="H2346">
        <v>1278.3382568</v>
      </c>
      <c r="I2346">
        <v>1394.7369385</v>
      </c>
      <c r="J2346">
        <v>1375.3529053</v>
      </c>
      <c r="K2346">
        <v>0</v>
      </c>
      <c r="L2346">
        <v>2750</v>
      </c>
      <c r="M2346">
        <v>2750</v>
      </c>
      <c r="N2346">
        <v>0</v>
      </c>
    </row>
    <row r="2347" spans="1:14" x14ac:dyDescent="0.25">
      <c r="A2347">
        <v>1742.0845830000001</v>
      </c>
      <c r="B2347" s="1">
        <f>DATE(2015,2,6) + TIME(2,1,47)</f>
        <v>42041.08457175926</v>
      </c>
      <c r="C2347">
        <v>80</v>
      </c>
      <c r="D2347">
        <v>73.222045898000005</v>
      </c>
      <c r="E2347">
        <v>60</v>
      </c>
      <c r="F2347">
        <v>59.975757598999998</v>
      </c>
      <c r="G2347">
        <v>1293.8400879000001</v>
      </c>
      <c r="H2347">
        <v>1278.0509033000001</v>
      </c>
      <c r="I2347">
        <v>1394.6929932</v>
      </c>
      <c r="J2347">
        <v>1375.3161620999999</v>
      </c>
      <c r="K2347">
        <v>0</v>
      </c>
      <c r="L2347">
        <v>2750</v>
      </c>
      <c r="M2347">
        <v>2750</v>
      </c>
      <c r="N2347">
        <v>0</v>
      </c>
    </row>
    <row r="2348" spans="1:14" x14ac:dyDescent="0.25">
      <c r="A2348">
        <v>1744.664843</v>
      </c>
      <c r="B2348" s="1">
        <f>DATE(2015,2,8) + TIME(15,57,22)</f>
        <v>42043.664837962962</v>
      </c>
      <c r="C2348">
        <v>80</v>
      </c>
      <c r="D2348">
        <v>73.071098328000005</v>
      </c>
      <c r="E2348">
        <v>60</v>
      </c>
      <c r="F2348">
        <v>59.975788115999997</v>
      </c>
      <c r="G2348">
        <v>1293.6148682</v>
      </c>
      <c r="H2348">
        <v>1277.7408447</v>
      </c>
      <c r="I2348">
        <v>1394.6489257999999</v>
      </c>
      <c r="J2348">
        <v>1375.2790527</v>
      </c>
      <c r="K2348">
        <v>0</v>
      </c>
      <c r="L2348">
        <v>2750</v>
      </c>
      <c r="M2348">
        <v>2750</v>
      </c>
      <c r="N2348">
        <v>0</v>
      </c>
    </row>
    <row r="2349" spans="1:14" x14ac:dyDescent="0.25">
      <c r="A2349">
        <v>1747.2710850000001</v>
      </c>
      <c r="B2349" s="1">
        <f>DATE(2015,2,11) + TIME(6,30,21)</f>
        <v>42046.27107638889</v>
      </c>
      <c r="C2349">
        <v>80</v>
      </c>
      <c r="D2349">
        <v>72.915618895999998</v>
      </c>
      <c r="E2349">
        <v>60</v>
      </c>
      <c r="F2349">
        <v>59.975814819</v>
      </c>
      <c r="G2349">
        <v>1293.3830565999999</v>
      </c>
      <c r="H2349">
        <v>1277.4200439000001</v>
      </c>
      <c r="I2349">
        <v>1394.6053466999999</v>
      </c>
      <c r="J2349">
        <v>1375.2423096</v>
      </c>
      <c r="K2349">
        <v>0</v>
      </c>
      <c r="L2349">
        <v>2750</v>
      </c>
      <c r="M2349">
        <v>2750</v>
      </c>
      <c r="N2349">
        <v>0</v>
      </c>
    </row>
    <row r="2350" spans="1:14" x14ac:dyDescent="0.25">
      <c r="A2350">
        <v>1749.918572</v>
      </c>
      <c r="B2350" s="1">
        <f>DATE(2015,2,13) + TIME(22,2,44)</f>
        <v>42048.918564814812</v>
      </c>
      <c r="C2350">
        <v>80</v>
      </c>
      <c r="D2350">
        <v>72.756027222</v>
      </c>
      <c r="E2350">
        <v>60</v>
      </c>
      <c r="F2350">
        <v>59.975845337000003</v>
      </c>
      <c r="G2350">
        <v>1293.1450195</v>
      </c>
      <c r="H2350">
        <v>1277.0893555</v>
      </c>
      <c r="I2350">
        <v>1394.5622559000001</v>
      </c>
      <c r="J2350">
        <v>1375.2058105000001</v>
      </c>
      <c r="K2350">
        <v>0</v>
      </c>
      <c r="L2350">
        <v>2750</v>
      </c>
      <c r="M2350">
        <v>2750</v>
      </c>
      <c r="N2350">
        <v>0</v>
      </c>
    </row>
    <row r="2351" spans="1:14" x14ac:dyDescent="0.25">
      <c r="A2351">
        <v>1752.623184</v>
      </c>
      <c r="B2351" s="1">
        <f>DATE(2015,2,16) + TIME(14,57,23)</f>
        <v>42051.623182870368</v>
      </c>
      <c r="C2351">
        <v>80</v>
      </c>
      <c r="D2351">
        <v>72.591400145999998</v>
      </c>
      <c r="E2351">
        <v>60</v>
      </c>
      <c r="F2351">
        <v>59.975879669000001</v>
      </c>
      <c r="G2351">
        <v>1292.8992920000001</v>
      </c>
      <c r="H2351">
        <v>1276.7470702999999</v>
      </c>
      <c r="I2351">
        <v>1394.519043</v>
      </c>
      <c r="J2351">
        <v>1375.1693115</v>
      </c>
      <c r="K2351">
        <v>0</v>
      </c>
      <c r="L2351">
        <v>2750</v>
      </c>
      <c r="M2351">
        <v>2750</v>
      </c>
      <c r="N2351">
        <v>0</v>
      </c>
    </row>
    <row r="2352" spans="1:14" x14ac:dyDescent="0.25">
      <c r="A2352">
        <v>1755.4021849999999</v>
      </c>
      <c r="B2352" s="1">
        <f>DATE(2015,2,19) + TIME(9,39,8)</f>
        <v>42054.402175925927</v>
      </c>
      <c r="C2352">
        <v>80</v>
      </c>
      <c r="D2352">
        <v>72.420410156000003</v>
      </c>
      <c r="E2352">
        <v>60</v>
      </c>
      <c r="F2352">
        <v>59.975910186999997</v>
      </c>
      <c r="G2352">
        <v>1292.6446533000001</v>
      </c>
      <c r="H2352">
        <v>1276.3913574000001</v>
      </c>
      <c r="I2352">
        <v>1394.4757079999999</v>
      </c>
      <c r="J2352">
        <v>1375.1324463000001</v>
      </c>
      <c r="K2352">
        <v>0</v>
      </c>
      <c r="L2352">
        <v>2750</v>
      </c>
      <c r="M2352">
        <v>2750</v>
      </c>
      <c r="N2352">
        <v>0</v>
      </c>
    </row>
    <row r="2353" spans="1:14" x14ac:dyDescent="0.25">
      <c r="A2353">
        <v>1758.2707740000001</v>
      </c>
      <c r="B2353" s="1">
        <f>DATE(2015,2,22) + TIME(6,29,54)</f>
        <v>42057.27076388889</v>
      </c>
      <c r="C2353">
        <v>80</v>
      </c>
      <c r="D2353">
        <v>72.241516113000003</v>
      </c>
      <c r="E2353">
        <v>60</v>
      </c>
      <c r="F2353">
        <v>59.975940704000003</v>
      </c>
      <c r="G2353">
        <v>1292.3793945</v>
      </c>
      <c r="H2353">
        <v>1276.0196533000001</v>
      </c>
      <c r="I2353">
        <v>1394.4317627</v>
      </c>
      <c r="J2353">
        <v>1375.0952147999999</v>
      </c>
      <c r="K2353">
        <v>0</v>
      </c>
      <c r="L2353">
        <v>2750</v>
      </c>
      <c r="M2353">
        <v>2750</v>
      </c>
      <c r="N2353">
        <v>0</v>
      </c>
    </row>
    <row r="2354" spans="1:14" x14ac:dyDescent="0.25">
      <c r="A2354">
        <v>1761.209601</v>
      </c>
      <c r="B2354" s="1">
        <f>DATE(2015,2,25) + TIME(5,1,49)</f>
        <v>42060.209594907406</v>
      </c>
      <c r="C2354">
        <v>80</v>
      </c>
      <c r="D2354">
        <v>72.053573607999994</v>
      </c>
      <c r="E2354">
        <v>60</v>
      </c>
      <c r="F2354">
        <v>59.975975036999998</v>
      </c>
      <c r="G2354">
        <v>1292.1019286999999</v>
      </c>
      <c r="H2354">
        <v>1275.6300048999999</v>
      </c>
      <c r="I2354">
        <v>1394.3870850000001</v>
      </c>
      <c r="J2354">
        <v>1375.0571289</v>
      </c>
      <c r="K2354">
        <v>0</v>
      </c>
      <c r="L2354">
        <v>2750</v>
      </c>
      <c r="M2354">
        <v>2750</v>
      </c>
      <c r="N2354">
        <v>0</v>
      </c>
    </row>
    <row r="2355" spans="1:14" x14ac:dyDescent="0.25">
      <c r="A2355">
        <v>1764.1520049999999</v>
      </c>
      <c r="B2355" s="1">
        <f>DATE(2015,2,28) + TIME(3,38,53)</f>
        <v>42063.152002314811</v>
      </c>
      <c r="C2355">
        <v>80</v>
      </c>
      <c r="D2355">
        <v>71.857406616000006</v>
      </c>
      <c r="E2355">
        <v>60</v>
      </c>
      <c r="F2355">
        <v>59.976009369000003</v>
      </c>
      <c r="G2355">
        <v>1291.8138428</v>
      </c>
      <c r="H2355">
        <v>1275.2243652</v>
      </c>
      <c r="I2355">
        <v>1394.3420410000001</v>
      </c>
      <c r="J2355">
        <v>1375.0185547000001</v>
      </c>
      <c r="K2355">
        <v>0</v>
      </c>
      <c r="L2355">
        <v>2750</v>
      </c>
      <c r="M2355">
        <v>2750</v>
      </c>
      <c r="N2355">
        <v>0</v>
      </c>
    </row>
    <row r="2356" spans="1:14" x14ac:dyDescent="0.25">
      <c r="A2356">
        <v>1765</v>
      </c>
      <c r="B2356" s="1">
        <f>DATE(2015,3,1) + TIME(0,0,0)</f>
        <v>42064</v>
      </c>
      <c r="C2356">
        <v>80</v>
      </c>
      <c r="D2356">
        <v>71.719993591000005</v>
      </c>
      <c r="E2356">
        <v>60</v>
      </c>
      <c r="F2356">
        <v>59.976013184000003</v>
      </c>
      <c r="G2356">
        <v>1291.5356445</v>
      </c>
      <c r="H2356">
        <v>1274.848999</v>
      </c>
      <c r="I2356">
        <v>1394.296875</v>
      </c>
      <c r="J2356">
        <v>1374.9798584</v>
      </c>
      <c r="K2356">
        <v>0</v>
      </c>
      <c r="L2356">
        <v>2750</v>
      </c>
      <c r="M2356">
        <v>2750</v>
      </c>
      <c r="N2356">
        <v>0</v>
      </c>
    </row>
    <row r="2357" spans="1:14" x14ac:dyDescent="0.25">
      <c r="A2357">
        <v>1767.9623810000001</v>
      </c>
      <c r="B2357" s="1">
        <f>DATE(2015,3,3) + TIME(23,5,49)</f>
        <v>42066.962372685186</v>
      </c>
      <c r="C2357">
        <v>80</v>
      </c>
      <c r="D2357">
        <v>71.580589294000006</v>
      </c>
      <c r="E2357">
        <v>60</v>
      </c>
      <c r="F2357">
        <v>59.976051331000001</v>
      </c>
      <c r="G2357">
        <v>1291.4208983999999</v>
      </c>
      <c r="H2357">
        <v>1274.6612548999999</v>
      </c>
      <c r="I2357">
        <v>1394.2847899999999</v>
      </c>
      <c r="J2357">
        <v>1374.9694824000001</v>
      </c>
      <c r="K2357">
        <v>0</v>
      </c>
      <c r="L2357">
        <v>2750</v>
      </c>
      <c r="M2357">
        <v>2750</v>
      </c>
      <c r="N2357">
        <v>0</v>
      </c>
    </row>
    <row r="2358" spans="1:14" x14ac:dyDescent="0.25">
      <c r="A2358">
        <v>1770.9770880000001</v>
      </c>
      <c r="B2358" s="1">
        <f>DATE(2015,3,6) + TIME(23,27,0)</f>
        <v>42069.977083333331</v>
      </c>
      <c r="C2358">
        <v>80</v>
      </c>
      <c r="D2358">
        <v>71.382270813000005</v>
      </c>
      <c r="E2358">
        <v>60</v>
      </c>
      <c r="F2358">
        <v>59.976085662999999</v>
      </c>
      <c r="G2358">
        <v>1291.1336670000001</v>
      </c>
      <c r="H2358">
        <v>1274.2591553</v>
      </c>
      <c r="I2358">
        <v>1394.2407227000001</v>
      </c>
      <c r="J2358">
        <v>1374.9316406</v>
      </c>
      <c r="K2358">
        <v>0</v>
      </c>
      <c r="L2358">
        <v>2750</v>
      </c>
      <c r="M2358">
        <v>2750</v>
      </c>
      <c r="N2358">
        <v>0</v>
      </c>
    </row>
    <row r="2359" spans="1:14" x14ac:dyDescent="0.25">
      <c r="A2359">
        <v>1774.0509219999999</v>
      </c>
      <c r="B2359" s="1">
        <f>DATE(2015,3,10) + TIME(1,13,19)</f>
        <v>42073.05091435185</v>
      </c>
      <c r="C2359">
        <v>80</v>
      </c>
      <c r="D2359">
        <v>71.164894103999998</v>
      </c>
      <c r="E2359">
        <v>60</v>
      </c>
      <c r="F2359">
        <v>59.976119994999998</v>
      </c>
      <c r="G2359">
        <v>1290.8286132999999</v>
      </c>
      <c r="H2359">
        <v>1273.8260498</v>
      </c>
      <c r="I2359">
        <v>1394.1962891000001</v>
      </c>
      <c r="J2359">
        <v>1374.8934326000001</v>
      </c>
      <c r="K2359">
        <v>0</v>
      </c>
      <c r="L2359">
        <v>2750</v>
      </c>
      <c r="M2359">
        <v>2750</v>
      </c>
      <c r="N2359">
        <v>0</v>
      </c>
    </row>
    <row r="2360" spans="1:14" x14ac:dyDescent="0.25">
      <c r="A2360">
        <v>1777.2025739999999</v>
      </c>
      <c r="B2360" s="1">
        <f>DATE(2015,3,13) + TIME(4,51,42)</f>
        <v>42076.202569444446</v>
      </c>
      <c r="C2360">
        <v>80</v>
      </c>
      <c r="D2360">
        <v>70.935142517000003</v>
      </c>
      <c r="E2360">
        <v>60</v>
      </c>
      <c r="F2360">
        <v>59.976158142000003</v>
      </c>
      <c r="G2360">
        <v>1290.5126952999999</v>
      </c>
      <c r="H2360">
        <v>1273.3752440999999</v>
      </c>
      <c r="I2360">
        <v>1394.1516113</v>
      </c>
      <c r="J2360">
        <v>1374.8548584</v>
      </c>
      <c r="K2360">
        <v>0</v>
      </c>
      <c r="L2360">
        <v>2750</v>
      </c>
      <c r="M2360">
        <v>2750</v>
      </c>
      <c r="N2360">
        <v>0</v>
      </c>
    </row>
    <row r="2361" spans="1:14" x14ac:dyDescent="0.25">
      <c r="A2361">
        <v>1780.452734</v>
      </c>
      <c r="B2361" s="1">
        <f>DATE(2015,3,16) + TIME(10,51,56)</f>
        <v>42079.452731481484</v>
      </c>
      <c r="C2361">
        <v>80</v>
      </c>
      <c r="D2361">
        <v>70.692512511999993</v>
      </c>
      <c r="E2361">
        <v>60</v>
      </c>
      <c r="F2361">
        <v>59.976192474000001</v>
      </c>
      <c r="G2361">
        <v>1290.1857910000001</v>
      </c>
      <c r="H2361">
        <v>1272.9071045000001</v>
      </c>
      <c r="I2361">
        <v>1394.1063231999999</v>
      </c>
      <c r="J2361">
        <v>1374.8156738</v>
      </c>
      <c r="K2361">
        <v>0</v>
      </c>
      <c r="L2361">
        <v>2750</v>
      </c>
      <c r="M2361">
        <v>2750</v>
      </c>
      <c r="N2361">
        <v>0</v>
      </c>
    </row>
    <row r="2362" spans="1:14" x14ac:dyDescent="0.25">
      <c r="A2362">
        <v>1783.7591520000001</v>
      </c>
      <c r="B2362" s="1">
        <f>DATE(2015,3,19) + TIME(18,13,10)</f>
        <v>42082.759143518517</v>
      </c>
      <c r="C2362">
        <v>80</v>
      </c>
      <c r="D2362">
        <v>70.435768127000003</v>
      </c>
      <c r="E2362">
        <v>60</v>
      </c>
      <c r="F2362">
        <v>59.976230620999999</v>
      </c>
      <c r="G2362">
        <v>1289.8463135</v>
      </c>
      <c r="H2362">
        <v>1272.4199219</v>
      </c>
      <c r="I2362">
        <v>1394.0600586</v>
      </c>
      <c r="J2362">
        <v>1374.7755127</v>
      </c>
      <c r="K2362">
        <v>0</v>
      </c>
      <c r="L2362">
        <v>2750</v>
      </c>
      <c r="M2362">
        <v>2750</v>
      </c>
      <c r="N2362">
        <v>0</v>
      </c>
    </row>
    <row r="2363" spans="1:14" x14ac:dyDescent="0.25">
      <c r="A2363">
        <v>1787.1102450000001</v>
      </c>
      <c r="B2363" s="1">
        <f>DATE(2015,3,23) + TIME(2,38,45)</f>
        <v>42086.110243055555</v>
      </c>
      <c r="C2363">
        <v>80</v>
      </c>
      <c r="D2363">
        <v>70.166481017999999</v>
      </c>
      <c r="E2363">
        <v>60</v>
      </c>
      <c r="F2363">
        <v>59.976268767999997</v>
      </c>
      <c r="G2363">
        <v>1289.4982910000001</v>
      </c>
      <c r="H2363">
        <v>1271.9185791</v>
      </c>
      <c r="I2363">
        <v>1394.0133057</v>
      </c>
      <c r="J2363">
        <v>1374.7348632999999</v>
      </c>
      <c r="K2363">
        <v>0</v>
      </c>
      <c r="L2363">
        <v>2750</v>
      </c>
      <c r="M2363">
        <v>2750</v>
      </c>
      <c r="N2363">
        <v>0</v>
      </c>
    </row>
    <row r="2364" spans="1:14" x14ac:dyDescent="0.25">
      <c r="A2364">
        <v>1790.492913</v>
      </c>
      <c r="B2364" s="1">
        <f>DATE(2015,3,26) + TIME(11,49,47)</f>
        <v>42089.492905092593</v>
      </c>
      <c r="C2364">
        <v>80</v>
      </c>
      <c r="D2364">
        <v>69.885597228999998</v>
      </c>
      <c r="E2364">
        <v>60</v>
      </c>
      <c r="F2364">
        <v>59.976303100999999</v>
      </c>
      <c r="G2364">
        <v>1289.1433105000001</v>
      </c>
      <c r="H2364">
        <v>1271.4057617000001</v>
      </c>
      <c r="I2364">
        <v>1393.9664307</v>
      </c>
      <c r="J2364">
        <v>1374.6939697</v>
      </c>
      <c r="K2364">
        <v>0</v>
      </c>
      <c r="L2364">
        <v>2750</v>
      </c>
      <c r="M2364">
        <v>2750</v>
      </c>
      <c r="N2364">
        <v>0</v>
      </c>
    </row>
    <row r="2365" spans="1:14" x14ac:dyDescent="0.25">
      <c r="A2365">
        <v>1793.9149239999999</v>
      </c>
      <c r="B2365" s="1">
        <f>DATE(2015,3,29) + TIME(21,57,29)</f>
        <v>42092.914918981478</v>
      </c>
      <c r="C2365">
        <v>80</v>
      </c>
      <c r="D2365">
        <v>69.592674255000006</v>
      </c>
      <c r="E2365">
        <v>60</v>
      </c>
      <c r="F2365">
        <v>59.976341247999997</v>
      </c>
      <c r="G2365">
        <v>1288.7834473</v>
      </c>
      <c r="H2365">
        <v>1270.8839111</v>
      </c>
      <c r="I2365">
        <v>1393.9195557</v>
      </c>
      <c r="J2365">
        <v>1374.6529541</v>
      </c>
      <c r="K2365">
        <v>0</v>
      </c>
      <c r="L2365">
        <v>2750</v>
      </c>
      <c r="M2365">
        <v>2750</v>
      </c>
      <c r="N2365">
        <v>0</v>
      </c>
    </row>
    <row r="2366" spans="1:14" x14ac:dyDescent="0.25">
      <c r="A2366">
        <v>1796</v>
      </c>
      <c r="B2366" s="1">
        <f>DATE(2015,4,1) + TIME(0,0,0)</f>
        <v>42095</v>
      </c>
      <c r="C2366">
        <v>80</v>
      </c>
      <c r="D2366">
        <v>69.316810607999997</v>
      </c>
      <c r="E2366">
        <v>60</v>
      </c>
      <c r="F2366">
        <v>59.976364136000001</v>
      </c>
      <c r="G2366">
        <v>1288.4237060999999</v>
      </c>
      <c r="H2366">
        <v>1270.3693848</v>
      </c>
      <c r="I2366">
        <v>1393.8719481999999</v>
      </c>
      <c r="J2366">
        <v>1374.6113281</v>
      </c>
      <c r="K2366">
        <v>0</v>
      </c>
      <c r="L2366">
        <v>2750</v>
      </c>
      <c r="M2366">
        <v>2750</v>
      </c>
      <c r="N236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2022-06-25T20:08:13Z</dcterms:created>
  <dcterms:modified xsi:type="dcterms:W3CDTF">2022-06-25T20:08:59Z</dcterms:modified>
</cp:coreProperties>
</file>