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583A35BE-2607-4BB7-B58C-1726A1D4AA60}" xr6:coauthVersionLast="47" xr6:coauthVersionMax="47" xr10:uidLastSave="{00000000-0000-0000-0000-000000000000}"/>
  <bookViews>
    <workbookView xWindow="1950" yWindow="1950" windowWidth="21600" windowHeight="11385" xr2:uid="{649BADA2-642C-49CB-B8C8-6BE2C0331182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49" i="1" l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<sst xmlns="http://schemas.openxmlformats.org/spreadsheetml/2006/main" count="15" uniqueCount="15">
  <si>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MODEL\SCENARIOS\2022\Parameterstudy_perm_storV_dT\perm10_V200_dt20.sr3</t>
  </si>
  <si>
    <t>Time (day)</t>
  </si>
  <si>
    <t>Date</t>
  </si>
  <si>
    <t>Hot well INJ-Fluid Rate SC (m³/day)</t>
  </si>
  <si>
    <t>Hot well PROD-Fluid Rate SC (m³/day)</t>
  </si>
  <si>
    <t>Warm well INJ-Fluid Rate SC (m³/day)</t>
  </si>
  <si>
    <t>Warm well PROD-Fluid Rate SC (m³/day)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</si>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</sst>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33ACE1-4DD5-4A17-85AA-68DA571193D7}" name="Table1" displayName="Table1" ref="A3:N1449" totalsRowShown="0">
  <autoFilter ref="A3:N1449" xr:uid="{E133ACE1-4DD5-4A17-85AA-68DA571193D7}"/>
  <tableColumns count="14">
    <tableColumn id="1" xr3:uid="{178DCE26-AB16-44F7-A010-32350B3BFB1D}" name="Time (day)"/>
    <tableColumn id="2" xr3:uid="{4EA20B8F-1A29-4685-826B-266463DD86BC}" name="Date" dataDxfId="0"/>
    <tableColumn id="3" xr3:uid="{6E399680-5B19-4F3C-BFF8-0D94222CEBBE}" name="Hot well INJ-Fluid Rate SC (m³/day)"/>
    <tableColumn id="4" xr3:uid="{4D51254A-B363-435C-996C-02490A254DCA}" name="Hot well PROD-Fluid Rate SC (m³/day)"/>
    <tableColumn id="5" xr3:uid="{0D3F2435-9D4D-4B8B-8718-2E5DDCFCD158}" name="Warm well INJ-Fluid Rate SC (m³/day)"/>
    <tableColumn id="6" xr3:uid="{C569D08A-0801-4EF2-A810-1FD4CD0EAC71}" name="Warm well PROD-Fluid Rate SC (m³/day)"/>
    <tableColumn id="7" xr3:uid="{9A8FF7B1-4716-4CAB-BA25-7D641514F90E}" name="Hot well INJ-Well Bottom-hole Pressure (kPa)"/>
    <tableColumn id="8" xr3:uid="{5A76B5CD-EF75-4135-B0B2-FF05A04FFC2D}" name="Hot well PROD-Well Bottom-hole Pressure (kPa)"/>
    <tableColumn id="9" xr3:uid="{6EA92FCA-7F20-45A6-9E58-2572E9BF1E04}" name="Warm well INJ-Well Bottom-hole Pressure (kPa)"/>
    <tableColumn id="10" xr3:uid="{8B4F1F7D-1755-489E-8D84-21A7788E5303}" name="Warm well PROD-Well Bottom-hole Pressure (kPa)"/>
    <tableColumn id="11" xr3:uid="{C78231F4-FB72-4CFD-BBC2-A59776FD9357}" name="Hot well INJ-Well bottom hole temperature (C)"/>
    <tableColumn id="12" xr3:uid="{C47BA367-9834-4A39-A3C1-A6A1164D39FF}" name="Hot well PROD-Well bottom hole temperature (C)"/>
    <tableColumn id="13" xr3:uid="{CCF1E786-4505-402B-8E15-8EEC0E593E7C}" name="Warm well INJ-Well bottom hole temperature (C)"/>
    <tableColumn id="14" xr3:uid="{A12CE1CC-B003-426B-A2EC-8D9BAC014488}" name="Warm well PROD-Well bottom hole temperature (C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1273-EF94-4606-B242-F75BA2B414B9}">
  <dimension ref="A1:N1449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34.140625" customWidth="1"/>
    <col min="4" max="5" width="36.42578125" customWidth="1"/>
    <col min="6" max="6" width="38.7109375" customWidth="1"/>
    <col min="7" max="7" width="43.5703125" customWidth="1"/>
    <col min="8" max="9" width="45.85546875" customWidth="1"/>
    <col min="10" max="10" width="48.140625" customWidth="1"/>
    <col min="11" max="11" width="44.85546875" customWidth="1"/>
    <col min="12" max="13" width="47.140625" customWidth="1"/>
    <col min="14" max="14" width="49.4257812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550</v>
      </c>
      <c r="D4">
        <v>0</v>
      </c>
      <c r="E4">
        <v>0</v>
      </c>
      <c r="F4">
        <v>550</v>
      </c>
      <c r="G4">
        <v>1338.5447998</v>
      </c>
      <c r="H4">
        <v>1329.5102539</v>
      </c>
      <c r="I4">
        <v>1329.3094481999999</v>
      </c>
      <c r="J4">
        <v>1320.2741699000001</v>
      </c>
      <c r="K4">
        <v>80</v>
      </c>
      <c r="L4">
        <v>15.000026703</v>
      </c>
      <c r="M4">
        <v>60</v>
      </c>
      <c r="N4">
        <v>14.999989510000001</v>
      </c>
    </row>
    <row r="5" spans="1:14" x14ac:dyDescent="0.25">
      <c r="A5">
        <v>3.9999999999999998E-6</v>
      </c>
      <c r="B5" s="1">
        <f>DATE(2010,5,1) + TIME(0,0,0)</f>
        <v>40299</v>
      </c>
      <c r="C5">
        <v>550</v>
      </c>
      <c r="D5">
        <v>0</v>
      </c>
      <c r="E5">
        <v>0</v>
      </c>
      <c r="F5">
        <v>550</v>
      </c>
      <c r="G5">
        <v>1338.8294678</v>
      </c>
      <c r="H5">
        <v>1329.7949219</v>
      </c>
      <c r="I5">
        <v>1329.026001</v>
      </c>
      <c r="J5">
        <v>1319.9908447</v>
      </c>
      <c r="K5">
        <v>80</v>
      </c>
      <c r="L5">
        <v>15.000106812</v>
      </c>
      <c r="M5">
        <v>60</v>
      </c>
      <c r="N5">
        <v>14.999960899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550</v>
      </c>
      <c r="D6">
        <v>0</v>
      </c>
      <c r="E6">
        <v>0</v>
      </c>
      <c r="F6">
        <v>550</v>
      </c>
      <c r="G6">
        <v>1339.557251</v>
      </c>
      <c r="H6">
        <v>1330.5227050999999</v>
      </c>
      <c r="I6">
        <v>1328.3013916</v>
      </c>
      <c r="J6">
        <v>1319.2661132999999</v>
      </c>
      <c r="K6">
        <v>80</v>
      </c>
      <c r="L6">
        <v>15.000332832</v>
      </c>
      <c r="M6">
        <v>60</v>
      </c>
      <c r="N6">
        <v>14.999885559000001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550</v>
      </c>
      <c r="D7">
        <v>0</v>
      </c>
      <c r="E7">
        <v>0</v>
      </c>
      <c r="F7">
        <v>550</v>
      </c>
      <c r="G7">
        <v>1341.0604248</v>
      </c>
      <c r="H7">
        <v>1332.0258789</v>
      </c>
      <c r="I7">
        <v>1326.8046875</v>
      </c>
      <c r="J7">
        <v>1317.7694091999999</v>
      </c>
      <c r="K7">
        <v>80</v>
      </c>
      <c r="L7">
        <v>15.000941277000001</v>
      </c>
      <c r="M7">
        <v>60</v>
      </c>
      <c r="N7">
        <v>14.999732018</v>
      </c>
    </row>
    <row r="8" spans="1:14" x14ac:dyDescent="0.25">
      <c r="A8">
        <v>1.21E-4</v>
      </c>
      <c r="B8" s="1">
        <f>DATE(2010,5,1) + TIME(0,0,10)</f>
        <v>40299.000115740739</v>
      </c>
      <c r="C8">
        <v>550</v>
      </c>
      <c r="D8">
        <v>0</v>
      </c>
      <c r="E8">
        <v>0</v>
      </c>
      <c r="F8">
        <v>550</v>
      </c>
      <c r="G8">
        <v>1343.3186035000001</v>
      </c>
      <c r="H8">
        <v>1334.2844238</v>
      </c>
      <c r="I8">
        <v>1324.5559082</v>
      </c>
      <c r="J8">
        <v>1315.5205077999999</v>
      </c>
      <c r="K8">
        <v>80</v>
      </c>
      <c r="L8">
        <v>15.002534866</v>
      </c>
      <c r="M8">
        <v>60</v>
      </c>
      <c r="N8">
        <v>14.999501228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550</v>
      </c>
      <c r="D9">
        <v>0</v>
      </c>
      <c r="E9">
        <v>0</v>
      </c>
      <c r="F9">
        <v>550</v>
      </c>
      <c r="G9">
        <v>1345.8796387</v>
      </c>
      <c r="H9">
        <v>1336.8465576000001</v>
      </c>
      <c r="I9">
        <v>1322.0045166</v>
      </c>
      <c r="J9">
        <v>1312.9691161999999</v>
      </c>
      <c r="K9">
        <v>80</v>
      </c>
      <c r="L9">
        <v>15.006881714</v>
      </c>
      <c r="M9">
        <v>60</v>
      </c>
      <c r="N9">
        <v>14.999238968</v>
      </c>
    </row>
    <row r="10" spans="1:14" x14ac:dyDescent="0.25">
      <c r="A10">
        <v>1.093E-3</v>
      </c>
      <c r="B10" s="1">
        <f>DATE(2010,5,1) + TIME(0,1,34)</f>
        <v>40299.001087962963</v>
      </c>
      <c r="C10">
        <v>550</v>
      </c>
      <c r="D10">
        <v>0</v>
      </c>
      <c r="E10">
        <v>0</v>
      </c>
      <c r="F10">
        <v>550</v>
      </c>
      <c r="G10">
        <v>1348.4440918</v>
      </c>
      <c r="H10">
        <v>1339.4138184000001</v>
      </c>
      <c r="I10">
        <v>1319.4471435999999</v>
      </c>
      <c r="J10">
        <v>1310.4117432</v>
      </c>
      <c r="K10">
        <v>80</v>
      </c>
      <c r="L10">
        <v>15.019393921000001</v>
      </c>
      <c r="M10">
        <v>60</v>
      </c>
      <c r="N10">
        <v>14.998975754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550</v>
      </c>
      <c r="D11">
        <v>0</v>
      </c>
      <c r="E11">
        <v>0</v>
      </c>
      <c r="F11">
        <v>550</v>
      </c>
      <c r="G11">
        <v>1350.7821045000001</v>
      </c>
      <c r="H11">
        <v>1341.7604980000001</v>
      </c>
      <c r="I11">
        <v>1317.1081543</v>
      </c>
      <c r="J11">
        <v>1308.0727539</v>
      </c>
      <c r="K11">
        <v>80</v>
      </c>
      <c r="L11">
        <v>15.056358337000001</v>
      </c>
      <c r="M11">
        <v>60</v>
      </c>
      <c r="N11">
        <v>14.998735428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550</v>
      </c>
      <c r="D12">
        <v>0</v>
      </c>
      <c r="E12">
        <v>0</v>
      </c>
      <c r="F12">
        <v>550</v>
      </c>
      <c r="G12">
        <v>1352.458374</v>
      </c>
      <c r="H12">
        <v>1343.4624022999999</v>
      </c>
      <c r="I12">
        <v>1315.4079589999999</v>
      </c>
      <c r="J12">
        <v>1306.3725586</v>
      </c>
      <c r="K12">
        <v>80</v>
      </c>
      <c r="L12">
        <v>15.166532516</v>
      </c>
      <c r="M12">
        <v>60</v>
      </c>
      <c r="N12">
        <v>14.998561859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550</v>
      </c>
      <c r="D13">
        <v>0</v>
      </c>
      <c r="E13">
        <v>0</v>
      </c>
      <c r="F13">
        <v>550</v>
      </c>
      <c r="G13">
        <v>1353.2675781</v>
      </c>
      <c r="H13">
        <v>1344.3475341999999</v>
      </c>
      <c r="I13">
        <v>1314.5083007999999</v>
      </c>
      <c r="J13">
        <v>1305.4729004000001</v>
      </c>
      <c r="K13">
        <v>80</v>
      </c>
      <c r="L13">
        <v>15.495047569</v>
      </c>
      <c r="M13">
        <v>60</v>
      </c>
      <c r="N13">
        <v>14.998472214</v>
      </c>
    </row>
    <row r="14" spans="1:14" x14ac:dyDescent="0.25">
      <c r="A14">
        <v>8.8572999999999999E-2</v>
      </c>
      <c r="B14" s="1">
        <f>DATE(2010,5,1) + TIME(2,7,32)</f>
        <v>40299.088564814818</v>
      </c>
      <c r="C14">
        <v>550</v>
      </c>
      <c r="D14">
        <v>0</v>
      </c>
      <c r="E14">
        <v>0</v>
      </c>
      <c r="F14">
        <v>550</v>
      </c>
      <c r="G14">
        <v>1353.3138428</v>
      </c>
      <c r="H14">
        <v>1344.6120605000001</v>
      </c>
      <c r="I14">
        <v>1314.1925048999999</v>
      </c>
      <c r="J14">
        <v>1305.1569824000001</v>
      </c>
      <c r="K14">
        <v>80</v>
      </c>
      <c r="L14">
        <v>16.467594147</v>
      </c>
      <c r="M14">
        <v>60</v>
      </c>
      <c r="N14">
        <v>14.998448372</v>
      </c>
    </row>
    <row r="15" spans="1:14" x14ac:dyDescent="0.25">
      <c r="A15">
        <v>0.14928900000000001</v>
      </c>
      <c r="B15" s="1">
        <f>DATE(2010,5,1) + TIME(3,34,58)</f>
        <v>40299.149282407408</v>
      </c>
      <c r="C15">
        <v>550</v>
      </c>
      <c r="D15">
        <v>0</v>
      </c>
      <c r="E15">
        <v>0</v>
      </c>
      <c r="F15">
        <v>550</v>
      </c>
      <c r="G15">
        <v>1353.1014404</v>
      </c>
      <c r="H15">
        <v>1344.6024170000001</v>
      </c>
      <c r="I15">
        <v>1314.1488036999999</v>
      </c>
      <c r="J15">
        <v>1305.1129149999999</v>
      </c>
      <c r="K15">
        <v>80</v>
      </c>
      <c r="L15">
        <v>17.455448150999999</v>
      </c>
      <c r="M15">
        <v>60</v>
      </c>
      <c r="N15">
        <v>14.998452187</v>
      </c>
    </row>
    <row r="16" spans="1:14" x14ac:dyDescent="0.25">
      <c r="A16">
        <v>0.21075099999999999</v>
      </c>
      <c r="B16" s="1">
        <f>DATE(2010,5,1) + TIME(5,3,28)</f>
        <v>40299.210740740738</v>
      </c>
      <c r="C16">
        <v>550</v>
      </c>
      <c r="D16">
        <v>0</v>
      </c>
      <c r="E16">
        <v>0</v>
      </c>
      <c r="F16">
        <v>550</v>
      </c>
      <c r="G16">
        <v>1352.8466797000001</v>
      </c>
      <c r="H16">
        <v>1344.5407714999999</v>
      </c>
      <c r="I16">
        <v>1314.1470947</v>
      </c>
      <c r="J16">
        <v>1305.1107178</v>
      </c>
      <c r="K16">
        <v>80</v>
      </c>
      <c r="L16">
        <v>18.443370818999998</v>
      </c>
      <c r="M16">
        <v>60</v>
      </c>
      <c r="N16">
        <v>14.998459816</v>
      </c>
    </row>
    <row r="17" spans="1:14" x14ac:dyDescent="0.25">
      <c r="A17">
        <v>0.27296500000000001</v>
      </c>
      <c r="B17" s="1">
        <f>DATE(2010,5,1) + TIME(6,33,4)</f>
        <v>40299.272962962961</v>
      </c>
      <c r="C17">
        <v>550</v>
      </c>
      <c r="D17">
        <v>0</v>
      </c>
      <c r="E17">
        <v>0</v>
      </c>
      <c r="F17">
        <v>550</v>
      </c>
      <c r="G17">
        <v>1352.5911865</v>
      </c>
      <c r="H17">
        <v>1344.4692382999999</v>
      </c>
      <c r="I17">
        <v>1314.1508789</v>
      </c>
      <c r="J17">
        <v>1305.1141356999999</v>
      </c>
      <c r="K17">
        <v>80</v>
      </c>
      <c r="L17">
        <v>19.431171417000002</v>
      </c>
      <c r="M17">
        <v>60</v>
      </c>
      <c r="N17">
        <v>14.998468399</v>
      </c>
    </row>
    <row r="18" spans="1:14" x14ac:dyDescent="0.25">
      <c r="A18">
        <v>0.335947</v>
      </c>
      <c r="B18" s="1">
        <f>DATE(2010,5,1) + TIME(8,3,45)</f>
        <v>40299.3359375</v>
      </c>
      <c r="C18">
        <v>550</v>
      </c>
      <c r="D18">
        <v>0</v>
      </c>
      <c r="E18">
        <v>0</v>
      </c>
      <c r="F18">
        <v>550</v>
      </c>
      <c r="G18">
        <v>1352.3449707</v>
      </c>
      <c r="H18">
        <v>1344.3985596</v>
      </c>
      <c r="I18">
        <v>1314.1545410000001</v>
      </c>
      <c r="J18">
        <v>1305.1173096</v>
      </c>
      <c r="K18">
        <v>80</v>
      </c>
      <c r="L18">
        <v>20.419212341000001</v>
      </c>
      <c r="M18">
        <v>60</v>
      </c>
      <c r="N18">
        <v>14.998476028000001</v>
      </c>
    </row>
    <row r="19" spans="1:14" x14ac:dyDescent="0.25">
      <c r="A19">
        <v>0.39969199999999999</v>
      </c>
      <c r="B19" s="1">
        <f>DATE(2010,5,1) + TIME(9,35,33)</f>
        <v>40299.399687500001</v>
      </c>
      <c r="C19">
        <v>550</v>
      </c>
      <c r="D19">
        <v>0</v>
      </c>
      <c r="E19">
        <v>0</v>
      </c>
      <c r="F19">
        <v>550</v>
      </c>
      <c r="G19">
        <v>1352.1105957</v>
      </c>
      <c r="H19">
        <v>1344.331543</v>
      </c>
      <c r="I19">
        <v>1314.1577147999999</v>
      </c>
      <c r="J19">
        <v>1305.1199951000001</v>
      </c>
      <c r="K19">
        <v>80</v>
      </c>
      <c r="L19">
        <v>21.407260895</v>
      </c>
      <c r="M19">
        <v>60</v>
      </c>
      <c r="N19">
        <v>14.998484612</v>
      </c>
    </row>
    <row r="20" spans="1:14" x14ac:dyDescent="0.25">
      <c r="A20">
        <v>0.46420699999999998</v>
      </c>
      <c r="B20" s="1">
        <f>DATE(2010,5,1) + TIME(11,8,27)</f>
        <v>40299.464201388888</v>
      </c>
      <c r="C20">
        <v>550</v>
      </c>
      <c r="D20">
        <v>0</v>
      </c>
      <c r="E20">
        <v>0</v>
      </c>
      <c r="F20">
        <v>550</v>
      </c>
      <c r="G20">
        <v>1351.8885498</v>
      </c>
      <c r="H20">
        <v>1344.2689209</v>
      </c>
      <c r="I20">
        <v>1314.1605225000001</v>
      </c>
      <c r="J20">
        <v>1305.1220702999999</v>
      </c>
      <c r="K20">
        <v>80</v>
      </c>
      <c r="L20">
        <v>22.394674300999998</v>
      </c>
      <c r="M20">
        <v>60</v>
      </c>
      <c r="N20">
        <v>14.998492240999999</v>
      </c>
    </row>
    <row r="21" spans="1:14" x14ac:dyDescent="0.25">
      <c r="A21">
        <v>0.52954500000000004</v>
      </c>
      <c r="B21" s="1">
        <f>DATE(2010,5,1) + TIME(12,42,32)</f>
        <v>40299.529537037037</v>
      </c>
      <c r="C21">
        <v>550</v>
      </c>
      <c r="D21">
        <v>0</v>
      </c>
      <c r="E21">
        <v>0</v>
      </c>
      <c r="F21">
        <v>550</v>
      </c>
      <c r="G21">
        <v>1351.6783447</v>
      </c>
      <c r="H21">
        <v>1344.2110596</v>
      </c>
      <c r="I21">
        <v>1314.1630858999999</v>
      </c>
      <c r="J21">
        <v>1305.1240233999999</v>
      </c>
      <c r="K21">
        <v>80</v>
      </c>
      <c r="L21">
        <v>23.381929398</v>
      </c>
      <c r="M21">
        <v>60</v>
      </c>
      <c r="N21">
        <v>14.998500824000001</v>
      </c>
    </row>
    <row r="22" spans="1:14" x14ac:dyDescent="0.25">
      <c r="A22">
        <v>0.59572599999999998</v>
      </c>
      <c r="B22" s="1">
        <f>DATE(2010,5,1) + TIME(14,17,50)</f>
        <v>40299.595717592594</v>
      </c>
      <c r="C22">
        <v>550</v>
      </c>
      <c r="D22">
        <v>0</v>
      </c>
      <c r="E22">
        <v>0</v>
      </c>
      <c r="F22">
        <v>550</v>
      </c>
      <c r="G22">
        <v>1351.4797363</v>
      </c>
      <c r="H22">
        <v>1344.1578368999999</v>
      </c>
      <c r="I22">
        <v>1314.1655272999999</v>
      </c>
      <c r="J22">
        <v>1305.1258545000001</v>
      </c>
      <c r="K22">
        <v>80</v>
      </c>
      <c r="L22">
        <v>24.369014740000001</v>
      </c>
      <c r="M22">
        <v>60</v>
      </c>
      <c r="N22">
        <v>14.998508452999999</v>
      </c>
    </row>
    <row r="23" spans="1:14" x14ac:dyDescent="0.25">
      <c r="A23">
        <v>0.66277399999999997</v>
      </c>
      <c r="B23" s="1">
        <f>DATE(2010,5,1) + TIME(15,54,23)</f>
        <v>40299.662766203706</v>
      </c>
      <c r="C23">
        <v>550</v>
      </c>
      <c r="D23">
        <v>0</v>
      </c>
      <c r="E23">
        <v>0</v>
      </c>
      <c r="F23">
        <v>550</v>
      </c>
      <c r="G23">
        <v>1351.2921143000001</v>
      </c>
      <c r="H23">
        <v>1344.1090088000001</v>
      </c>
      <c r="I23">
        <v>1314.1679687999999</v>
      </c>
      <c r="J23">
        <v>1305.1275635</v>
      </c>
      <c r="K23">
        <v>80</v>
      </c>
      <c r="L23">
        <v>25.356163025000001</v>
      </c>
      <c r="M23">
        <v>60</v>
      </c>
      <c r="N23">
        <v>14.998517036000001</v>
      </c>
    </row>
    <row r="24" spans="1:14" x14ac:dyDescent="0.25">
      <c r="A24">
        <v>0.73069399999999995</v>
      </c>
      <c r="B24" s="1">
        <f>DATE(2010,5,1) + TIME(17,32,11)</f>
        <v>40299.730682870373</v>
      </c>
      <c r="C24">
        <v>550</v>
      </c>
      <c r="D24">
        <v>0</v>
      </c>
      <c r="E24">
        <v>0</v>
      </c>
      <c r="F24">
        <v>550</v>
      </c>
      <c r="G24">
        <v>1351.1148682</v>
      </c>
      <c r="H24">
        <v>1344.0644531</v>
      </c>
      <c r="I24">
        <v>1314.1702881000001</v>
      </c>
      <c r="J24">
        <v>1305.1291504000001</v>
      </c>
      <c r="K24">
        <v>80</v>
      </c>
      <c r="L24">
        <v>26.343317032000002</v>
      </c>
      <c r="M24">
        <v>60</v>
      </c>
      <c r="N24">
        <v>14.998524666</v>
      </c>
    </row>
    <row r="25" spans="1:14" x14ac:dyDescent="0.25">
      <c r="A25">
        <v>0.79949800000000004</v>
      </c>
      <c r="B25" s="1">
        <f>DATE(2010,5,1) + TIME(19,11,16)</f>
        <v>40299.799490740741</v>
      </c>
      <c r="C25">
        <v>550</v>
      </c>
      <c r="D25">
        <v>0</v>
      </c>
      <c r="E25">
        <v>0</v>
      </c>
      <c r="F25">
        <v>550</v>
      </c>
      <c r="G25">
        <v>1350.947876</v>
      </c>
      <c r="H25">
        <v>1344.0240478999999</v>
      </c>
      <c r="I25">
        <v>1314.1726074000001</v>
      </c>
      <c r="J25">
        <v>1305.1307373</v>
      </c>
      <c r="K25">
        <v>80</v>
      </c>
      <c r="L25">
        <v>27.329858779999999</v>
      </c>
      <c r="M25">
        <v>60</v>
      </c>
      <c r="N25">
        <v>14.998533248999999</v>
      </c>
    </row>
    <row r="26" spans="1:14" x14ac:dyDescent="0.25">
      <c r="A26">
        <v>0.86924000000000001</v>
      </c>
      <c r="B26" s="1">
        <f>DATE(2010,5,1) + TIME(20,51,42)</f>
        <v>40299.86923611111</v>
      </c>
      <c r="C26">
        <v>550</v>
      </c>
      <c r="D26">
        <v>0</v>
      </c>
      <c r="E26">
        <v>0</v>
      </c>
      <c r="F26">
        <v>550</v>
      </c>
      <c r="G26">
        <v>1350.7902832</v>
      </c>
      <c r="H26">
        <v>1343.9875488</v>
      </c>
      <c r="I26">
        <v>1314.1749268000001</v>
      </c>
      <c r="J26">
        <v>1305.1322021000001</v>
      </c>
      <c r="K26">
        <v>80</v>
      </c>
      <c r="L26">
        <v>28.316183089999999</v>
      </c>
      <c r="M26">
        <v>60</v>
      </c>
      <c r="N26">
        <v>14.998540878</v>
      </c>
    </row>
    <row r="27" spans="1:14" x14ac:dyDescent="0.25">
      <c r="A27">
        <v>0.93994999999999995</v>
      </c>
      <c r="B27" s="1">
        <f>DATE(2010,5,1) + TIME(22,33,31)</f>
        <v>40299.939942129633</v>
      </c>
      <c r="C27">
        <v>550</v>
      </c>
      <c r="D27">
        <v>0</v>
      </c>
      <c r="E27">
        <v>0</v>
      </c>
      <c r="F27">
        <v>550</v>
      </c>
      <c r="G27">
        <v>1350.6418457</v>
      </c>
      <c r="H27">
        <v>1343.9548339999999</v>
      </c>
      <c r="I27">
        <v>1314.1772461</v>
      </c>
      <c r="J27">
        <v>1305.1335449000001</v>
      </c>
      <c r="K27">
        <v>80</v>
      </c>
      <c r="L27">
        <v>29.302276611</v>
      </c>
      <c r="M27">
        <v>60</v>
      </c>
      <c r="N27">
        <v>14.998549461</v>
      </c>
    </row>
    <row r="28" spans="1:14" x14ac:dyDescent="0.25">
      <c r="A28">
        <v>1.011657</v>
      </c>
      <c r="B28" s="1">
        <f>DATE(2010,5,2) + TIME(0,16,47)</f>
        <v>40300.011655092596</v>
      </c>
      <c r="C28">
        <v>550</v>
      </c>
      <c r="D28">
        <v>0</v>
      </c>
      <c r="E28">
        <v>0</v>
      </c>
      <c r="F28">
        <v>550</v>
      </c>
      <c r="G28">
        <v>1350.5019531</v>
      </c>
      <c r="H28">
        <v>1343.9256591999999</v>
      </c>
      <c r="I28">
        <v>1314.1795654</v>
      </c>
      <c r="J28">
        <v>1305.1348877</v>
      </c>
      <c r="K28">
        <v>80</v>
      </c>
      <c r="L28">
        <v>30.288190841999999</v>
      </c>
      <c r="M28">
        <v>60</v>
      </c>
      <c r="N28">
        <v>14.998557091</v>
      </c>
    </row>
    <row r="29" spans="1:14" x14ac:dyDescent="0.25">
      <c r="A29">
        <v>1.0843879999999999</v>
      </c>
      <c r="B29" s="1">
        <f>DATE(2010,5,2) + TIME(2,1,31)</f>
        <v>40300.084386574075</v>
      </c>
      <c r="C29">
        <v>550</v>
      </c>
      <c r="D29">
        <v>0</v>
      </c>
      <c r="E29">
        <v>0</v>
      </c>
      <c r="F29">
        <v>550</v>
      </c>
      <c r="G29">
        <v>1350.3704834</v>
      </c>
      <c r="H29">
        <v>1343.9000243999999</v>
      </c>
      <c r="I29">
        <v>1314.1818848</v>
      </c>
      <c r="J29">
        <v>1305.1362305</v>
      </c>
      <c r="K29">
        <v>80</v>
      </c>
      <c r="L29">
        <v>31.273937225000001</v>
      </c>
      <c r="M29">
        <v>60</v>
      </c>
      <c r="N29">
        <v>14.998565674</v>
      </c>
    </row>
    <row r="30" spans="1:14" x14ac:dyDescent="0.25">
      <c r="A30">
        <v>1.1581710000000001</v>
      </c>
      <c r="B30" s="1">
        <f>DATE(2010,5,2) + TIME(3,47,45)</f>
        <v>40300.158159722225</v>
      </c>
      <c r="C30">
        <v>550</v>
      </c>
      <c r="D30">
        <v>0</v>
      </c>
      <c r="E30">
        <v>0</v>
      </c>
      <c r="F30">
        <v>550</v>
      </c>
      <c r="G30">
        <v>1350.2468262</v>
      </c>
      <c r="H30">
        <v>1343.8775635</v>
      </c>
      <c r="I30">
        <v>1314.184082</v>
      </c>
      <c r="J30">
        <v>1305.1374512</v>
      </c>
      <c r="K30">
        <v>80</v>
      </c>
      <c r="L30">
        <v>32.259250641000001</v>
      </c>
      <c r="M30">
        <v>60</v>
      </c>
      <c r="N30">
        <v>14.998573303000001</v>
      </c>
    </row>
    <row r="31" spans="1:14" x14ac:dyDescent="0.25">
      <c r="A31">
        <v>1.2330540000000001</v>
      </c>
      <c r="B31" s="1">
        <f>DATE(2010,5,2) + TIME(5,35,35)</f>
        <v>40300.233043981483</v>
      </c>
      <c r="C31">
        <v>550</v>
      </c>
      <c r="D31">
        <v>0</v>
      </c>
      <c r="E31">
        <v>0</v>
      </c>
      <c r="F31">
        <v>550</v>
      </c>
      <c r="G31">
        <v>1350.1306152</v>
      </c>
      <c r="H31">
        <v>1343.8583983999999</v>
      </c>
      <c r="I31">
        <v>1314.1862793</v>
      </c>
      <c r="J31">
        <v>1305.1386719</v>
      </c>
      <c r="K31">
        <v>80</v>
      </c>
      <c r="L31">
        <v>33.244266510000003</v>
      </c>
      <c r="M31">
        <v>60</v>
      </c>
      <c r="N31">
        <v>14.998581886</v>
      </c>
    </row>
    <row r="32" spans="1:14" x14ac:dyDescent="0.25">
      <c r="A32">
        <v>1.3090759999999999</v>
      </c>
      <c r="B32" s="1">
        <f>DATE(2010,5,2) + TIME(7,25,4)</f>
        <v>40300.309074074074</v>
      </c>
      <c r="C32">
        <v>550</v>
      </c>
      <c r="D32">
        <v>0</v>
      </c>
      <c r="E32">
        <v>0</v>
      </c>
      <c r="F32">
        <v>550</v>
      </c>
      <c r="G32">
        <v>1350.0217285000001</v>
      </c>
      <c r="H32">
        <v>1343.8421631000001</v>
      </c>
      <c r="I32">
        <v>1314.1885986</v>
      </c>
      <c r="J32">
        <v>1305.1397704999999</v>
      </c>
      <c r="K32">
        <v>80</v>
      </c>
      <c r="L32">
        <v>34.228961945000002</v>
      </c>
      <c r="M32">
        <v>60</v>
      </c>
      <c r="N32">
        <v>14.998589515999999</v>
      </c>
    </row>
    <row r="33" spans="1:14" x14ac:dyDescent="0.25">
      <c r="A33">
        <v>1.386279</v>
      </c>
      <c r="B33" s="1">
        <f>DATE(2010,5,2) + TIME(9,16,14)</f>
        <v>40300.386273148149</v>
      </c>
      <c r="C33">
        <v>550</v>
      </c>
      <c r="D33">
        <v>0</v>
      </c>
      <c r="E33">
        <v>0</v>
      </c>
      <c r="F33">
        <v>550</v>
      </c>
      <c r="G33">
        <v>1349.9195557</v>
      </c>
      <c r="H33">
        <v>1343.8288574000001</v>
      </c>
      <c r="I33">
        <v>1314.1907959</v>
      </c>
      <c r="J33">
        <v>1305.1408690999999</v>
      </c>
      <c r="K33">
        <v>80</v>
      </c>
      <c r="L33">
        <v>35.213317871000001</v>
      </c>
      <c r="M33">
        <v>60</v>
      </c>
      <c r="N33">
        <v>14.998597145</v>
      </c>
    </row>
    <row r="34" spans="1:14" x14ac:dyDescent="0.25">
      <c r="A34">
        <v>1.464709</v>
      </c>
      <c r="B34" s="1">
        <f>DATE(2010,5,2) + TIME(11,9,10)</f>
        <v>40300.464699074073</v>
      </c>
      <c r="C34">
        <v>550</v>
      </c>
      <c r="D34">
        <v>0</v>
      </c>
      <c r="E34">
        <v>0</v>
      </c>
      <c r="F34">
        <v>550</v>
      </c>
      <c r="G34">
        <v>1349.8238524999999</v>
      </c>
      <c r="H34">
        <v>1343.8183594</v>
      </c>
      <c r="I34">
        <v>1314.1929932</v>
      </c>
      <c r="J34">
        <v>1305.1419678</v>
      </c>
      <c r="K34">
        <v>80</v>
      </c>
      <c r="L34">
        <v>36.197311401</v>
      </c>
      <c r="M34">
        <v>60</v>
      </c>
      <c r="N34">
        <v>14.998605727999999</v>
      </c>
    </row>
    <row r="35" spans="1:14" x14ac:dyDescent="0.25">
      <c r="A35">
        <v>1.544416</v>
      </c>
      <c r="B35" s="1">
        <f>DATE(2010,5,2) + TIME(13,3,57)</f>
        <v>40300.544409722221</v>
      </c>
      <c r="C35">
        <v>550</v>
      </c>
      <c r="D35">
        <v>0</v>
      </c>
      <c r="E35">
        <v>0</v>
      </c>
      <c r="F35">
        <v>550</v>
      </c>
      <c r="G35">
        <v>1349.7344971</v>
      </c>
      <c r="H35">
        <v>1343.8104248</v>
      </c>
      <c r="I35">
        <v>1314.1951904</v>
      </c>
      <c r="J35">
        <v>1305.1429443</v>
      </c>
      <c r="K35">
        <v>80</v>
      </c>
      <c r="L35">
        <v>37.180919647000003</v>
      </c>
      <c r="M35">
        <v>60</v>
      </c>
      <c r="N35">
        <v>14.998613358</v>
      </c>
    </row>
    <row r="36" spans="1:14" x14ac:dyDescent="0.25">
      <c r="A36">
        <v>1.6254500000000001</v>
      </c>
      <c r="B36" s="1">
        <f>DATE(2010,5,2) + TIME(15,0,38)</f>
        <v>40300.625439814816</v>
      </c>
      <c r="C36">
        <v>550</v>
      </c>
      <c r="D36">
        <v>0</v>
      </c>
      <c r="E36">
        <v>0</v>
      </c>
      <c r="F36">
        <v>550</v>
      </c>
      <c r="G36">
        <v>1349.651001</v>
      </c>
      <c r="H36">
        <v>1343.8050536999999</v>
      </c>
      <c r="I36">
        <v>1314.1975098</v>
      </c>
      <c r="J36">
        <v>1305.144043</v>
      </c>
      <c r="K36">
        <v>80</v>
      </c>
      <c r="L36">
        <v>38.164119720000002</v>
      </c>
      <c r="M36">
        <v>60</v>
      </c>
      <c r="N36">
        <v>14.998621941</v>
      </c>
    </row>
    <row r="37" spans="1:14" x14ac:dyDescent="0.25">
      <c r="A37">
        <v>1.7078690000000001</v>
      </c>
      <c r="B37" s="1">
        <f>DATE(2010,5,2) + TIME(16,59,19)</f>
        <v>40300.707858796297</v>
      </c>
      <c r="C37">
        <v>550</v>
      </c>
      <c r="D37">
        <v>0</v>
      </c>
      <c r="E37">
        <v>0</v>
      </c>
      <c r="F37">
        <v>550</v>
      </c>
      <c r="G37">
        <v>1349.5732422000001</v>
      </c>
      <c r="H37">
        <v>1343.802124</v>
      </c>
      <c r="I37">
        <v>1314.199707</v>
      </c>
      <c r="J37">
        <v>1305.1448975000001</v>
      </c>
      <c r="K37">
        <v>80</v>
      </c>
      <c r="L37">
        <v>39.146877289000003</v>
      </c>
      <c r="M37">
        <v>60</v>
      </c>
      <c r="N37">
        <v>14.99862957</v>
      </c>
    </row>
    <row r="38" spans="1:14" x14ac:dyDescent="0.25">
      <c r="A38">
        <v>1.7917339999999999</v>
      </c>
      <c r="B38" s="1">
        <f>DATE(2010,5,2) + TIME(19,0,5)</f>
        <v>40300.791724537034</v>
      </c>
      <c r="C38">
        <v>550</v>
      </c>
      <c r="D38">
        <v>0</v>
      </c>
      <c r="E38">
        <v>0</v>
      </c>
      <c r="F38">
        <v>550</v>
      </c>
      <c r="G38">
        <v>1349.5007324000001</v>
      </c>
      <c r="H38">
        <v>1343.8013916</v>
      </c>
      <c r="I38">
        <v>1314.2019043</v>
      </c>
      <c r="J38">
        <v>1305.145874</v>
      </c>
      <c r="K38">
        <v>80</v>
      </c>
      <c r="L38">
        <v>40.129203795999999</v>
      </c>
      <c r="M38">
        <v>60</v>
      </c>
      <c r="N38">
        <v>14.998637198999999</v>
      </c>
    </row>
    <row r="39" spans="1:14" x14ac:dyDescent="0.25">
      <c r="A39">
        <v>1.877108</v>
      </c>
      <c r="B39" s="1">
        <f>DATE(2010,5,2) + TIME(21,3,2)</f>
        <v>40300.877106481479</v>
      </c>
      <c r="C39">
        <v>550</v>
      </c>
      <c r="D39">
        <v>0</v>
      </c>
      <c r="E39">
        <v>0</v>
      </c>
      <c r="F39">
        <v>550</v>
      </c>
      <c r="G39">
        <v>1349.4334716999999</v>
      </c>
      <c r="H39">
        <v>1343.8028564000001</v>
      </c>
      <c r="I39">
        <v>1314.2042236</v>
      </c>
      <c r="J39">
        <v>1305.1467285000001</v>
      </c>
      <c r="K39">
        <v>80</v>
      </c>
      <c r="L39">
        <v>41.111206054999997</v>
      </c>
      <c r="M39">
        <v>60</v>
      </c>
      <c r="N39">
        <v>14.998645782000001</v>
      </c>
    </row>
    <row r="40" spans="1:14" x14ac:dyDescent="0.25">
      <c r="A40">
        <v>1.9640470000000001</v>
      </c>
      <c r="B40" s="1">
        <f>DATE(2010,5,2) + TIME(23,8,13)</f>
        <v>40300.964039351849</v>
      </c>
      <c r="C40">
        <v>550</v>
      </c>
      <c r="D40">
        <v>0</v>
      </c>
      <c r="E40">
        <v>0</v>
      </c>
      <c r="F40">
        <v>550</v>
      </c>
      <c r="G40">
        <v>1349.3712158000001</v>
      </c>
      <c r="H40">
        <v>1343.8063964999999</v>
      </c>
      <c r="I40">
        <v>1314.2064209</v>
      </c>
      <c r="J40">
        <v>1305.1475829999999</v>
      </c>
      <c r="K40">
        <v>80</v>
      </c>
      <c r="L40">
        <v>42.092491150000001</v>
      </c>
      <c r="M40">
        <v>60</v>
      </c>
      <c r="N40">
        <v>14.998653411999999</v>
      </c>
    </row>
    <row r="41" spans="1:14" x14ac:dyDescent="0.25">
      <c r="A41">
        <v>2.0526439999999999</v>
      </c>
      <c r="B41" s="1">
        <f>DATE(2010,5,3) + TIME(1,15,48)</f>
        <v>40301.05263888889</v>
      </c>
      <c r="C41">
        <v>550</v>
      </c>
      <c r="D41">
        <v>0</v>
      </c>
      <c r="E41">
        <v>0</v>
      </c>
      <c r="F41">
        <v>550</v>
      </c>
      <c r="G41">
        <v>1349.3135986</v>
      </c>
      <c r="H41">
        <v>1343.8120117000001</v>
      </c>
      <c r="I41">
        <v>1314.2087402</v>
      </c>
      <c r="J41">
        <v>1305.1484375</v>
      </c>
      <c r="K41">
        <v>80</v>
      </c>
      <c r="L41">
        <v>43.073211669999999</v>
      </c>
      <c r="M41">
        <v>60</v>
      </c>
      <c r="N41">
        <v>14.998661995000001</v>
      </c>
    </row>
    <row r="42" spans="1:14" x14ac:dyDescent="0.25">
      <c r="A42">
        <v>2.1429819999999999</v>
      </c>
      <c r="B42" s="1">
        <f>DATE(2010,5,3) + TIME(3,25,53)</f>
        <v>40301.142974537041</v>
      </c>
      <c r="C42">
        <v>550</v>
      </c>
      <c r="D42">
        <v>0</v>
      </c>
      <c r="E42">
        <v>0</v>
      </c>
      <c r="F42">
        <v>550</v>
      </c>
      <c r="G42">
        <v>1349.260376</v>
      </c>
      <c r="H42">
        <v>1343.8193358999999</v>
      </c>
      <c r="I42">
        <v>1314.2109375</v>
      </c>
      <c r="J42">
        <v>1305.1492920000001</v>
      </c>
      <c r="K42">
        <v>80</v>
      </c>
      <c r="L42">
        <v>44.053337096999996</v>
      </c>
      <c r="M42">
        <v>60</v>
      </c>
      <c r="N42">
        <v>14.998669624</v>
      </c>
    </row>
    <row r="43" spans="1:14" x14ac:dyDescent="0.25">
      <c r="A43">
        <v>2.2351529999999999</v>
      </c>
      <c r="B43" s="1">
        <f>DATE(2010,5,3) + TIME(5,38,37)</f>
        <v>40301.235150462962</v>
      </c>
      <c r="C43">
        <v>550</v>
      </c>
      <c r="D43">
        <v>0</v>
      </c>
      <c r="E43">
        <v>0</v>
      </c>
      <c r="F43">
        <v>550</v>
      </c>
      <c r="G43">
        <v>1349.2115478999999</v>
      </c>
      <c r="H43">
        <v>1343.8286132999999</v>
      </c>
      <c r="I43">
        <v>1314.2132568</v>
      </c>
      <c r="J43">
        <v>1305.1500243999999</v>
      </c>
      <c r="K43">
        <v>80</v>
      </c>
      <c r="L43">
        <v>45.032825469999999</v>
      </c>
      <c r="M43">
        <v>60</v>
      </c>
      <c r="N43">
        <v>14.998678206999999</v>
      </c>
    </row>
    <row r="44" spans="1:14" x14ac:dyDescent="0.25">
      <c r="A44">
        <v>2.329253</v>
      </c>
      <c r="B44" s="1">
        <f>DATE(2010,5,3) + TIME(7,54,7)</f>
        <v>40301.329247685186</v>
      </c>
      <c r="C44">
        <v>550</v>
      </c>
      <c r="D44">
        <v>0</v>
      </c>
      <c r="E44">
        <v>0</v>
      </c>
      <c r="F44">
        <v>550</v>
      </c>
      <c r="G44">
        <v>1349.1667480000001</v>
      </c>
      <c r="H44">
        <v>1343.8393555</v>
      </c>
      <c r="I44">
        <v>1314.2155762</v>
      </c>
      <c r="J44">
        <v>1305.1508789</v>
      </c>
      <c r="K44">
        <v>80</v>
      </c>
      <c r="L44">
        <v>46.011634827000002</v>
      </c>
      <c r="M44">
        <v>60</v>
      </c>
      <c r="N44">
        <v>14.998685837</v>
      </c>
    </row>
    <row r="45" spans="1:14" x14ac:dyDescent="0.25">
      <c r="A45">
        <v>2.4253909999999999</v>
      </c>
      <c r="B45" s="1">
        <f>DATE(2010,5,3) + TIME(10,12,33)</f>
        <v>40301.425381944442</v>
      </c>
      <c r="C45">
        <v>550</v>
      </c>
      <c r="D45">
        <v>0</v>
      </c>
      <c r="E45">
        <v>0</v>
      </c>
      <c r="F45">
        <v>550</v>
      </c>
      <c r="G45">
        <v>1349.1258545000001</v>
      </c>
      <c r="H45">
        <v>1343.8518065999999</v>
      </c>
      <c r="I45">
        <v>1314.2178954999999</v>
      </c>
      <c r="J45">
        <v>1305.1516113</v>
      </c>
      <c r="K45">
        <v>80</v>
      </c>
      <c r="L45">
        <v>46.989715576000002</v>
      </c>
      <c r="M45">
        <v>60</v>
      </c>
      <c r="N45">
        <v>14.99869442</v>
      </c>
    </row>
    <row r="46" spans="1:14" x14ac:dyDescent="0.25">
      <c r="A46">
        <v>2.5236830000000001</v>
      </c>
      <c r="B46" s="1">
        <f>DATE(2010,5,3) + TIME(12,34,6)</f>
        <v>40301.523680555554</v>
      </c>
      <c r="C46">
        <v>550</v>
      </c>
      <c r="D46">
        <v>0</v>
      </c>
      <c r="E46">
        <v>0</v>
      </c>
      <c r="F46">
        <v>550</v>
      </c>
      <c r="G46">
        <v>1349.0886230000001</v>
      </c>
      <c r="H46">
        <v>1343.8658447</v>
      </c>
      <c r="I46">
        <v>1314.2202147999999</v>
      </c>
      <c r="J46">
        <v>1305.1523437999999</v>
      </c>
      <c r="K46">
        <v>80</v>
      </c>
      <c r="L46">
        <v>47.967025757000002</v>
      </c>
      <c r="M46">
        <v>60</v>
      </c>
      <c r="N46">
        <v>14.998702049</v>
      </c>
    </row>
    <row r="47" spans="1:14" x14ac:dyDescent="0.25">
      <c r="A47">
        <v>2.6242570000000001</v>
      </c>
      <c r="B47" s="1">
        <f>DATE(2010,5,3) + TIME(14,58,55)</f>
        <v>40301.624247685184</v>
      </c>
      <c r="C47">
        <v>550</v>
      </c>
      <c r="D47">
        <v>0</v>
      </c>
      <c r="E47">
        <v>0</v>
      </c>
      <c r="F47">
        <v>550</v>
      </c>
      <c r="G47">
        <v>1349.0549315999999</v>
      </c>
      <c r="H47">
        <v>1343.8812256000001</v>
      </c>
      <c r="I47">
        <v>1314.2226562000001</v>
      </c>
      <c r="J47">
        <v>1305.1530762</v>
      </c>
      <c r="K47">
        <v>80</v>
      </c>
      <c r="L47">
        <v>48.943508147999999</v>
      </c>
      <c r="M47">
        <v>60</v>
      </c>
      <c r="N47">
        <v>14.998710632</v>
      </c>
    </row>
    <row r="48" spans="1:14" x14ac:dyDescent="0.25">
      <c r="A48">
        <v>2.7272539999999998</v>
      </c>
      <c r="B48" s="1">
        <f>DATE(2010,5,3) + TIME(17,27,14)</f>
        <v>40301.72724537037</v>
      </c>
      <c r="C48">
        <v>550</v>
      </c>
      <c r="D48">
        <v>0</v>
      </c>
      <c r="E48">
        <v>0</v>
      </c>
      <c r="F48">
        <v>550</v>
      </c>
      <c r="G48">
        <v>1349.0246582</v>
      </c>
      <c r="H48">
        <v>1343.8978271000001</v>
      </c>
      <c r="I48">
        <v>1314.2250977000001</v>
      </c>
      <c r="J48">
        <v>1305.1538086</v>
      </c>
      <c r="K48">
        <v>80</v>
      </c>
      <c r="L48">
        <v>49.919105530000003</v>
      </c>
      <c r="M48">
        <v>60</v>
      </c>
      <c r="N48">
        <v>14.998718262000001</v>
      </c>
    </row>
    <row r="49" spans="1:14" x14ac:dyDescent="0.25">
      <c r="A49">
        <v>2.8328259999999998</v>
      </c>
      <c r="B49" s="1">
        <f>DATE(2010,5,3) + TIME(19,59,16)</f>
        <v>40301.832824074074</v>
      </c>
      <c r="C49">
        <v>550</v>
      </c>
      <c r="D49">
        <v>0</v>
      </c>
      <c r="E49">
        <v>0</v>
      </c>
      <c r="F49">
        <v>550</v>
      </c>
      <c r="G49">
        <v>1348.9975586</v>
      </c>
      <c r="H49">
        <v>1343.9157714999999</v>
      </c>
      <c r="I49">
        <v>1314.2275391000001</v>
      </c>
      <c r="J49">
        <v>1305.1545410000001</v>
      </c>
      <c r="K49">
        <v>80</v>
      </c>
      <c r="L49">
        <v>50.893329620000003</v>
      </c>
      <c r="M49">
        <v>60</v>
      </c>
      <c r="N49">
        <v>14.998726845</v>
      </c>
    </row>
    <row r="50" spans="1:14" x14ac:dyDescent="0.25">
      <c r="A50">
        <v>2.941192</v>
      </c>
      <c r="B50" s="1">
        <f>DATE(2010,5,3) + TIME(22,35,19)</f>
        <v>40301.941192129627</v>
      </c>
      <c r="C50">
        <v>550</v>
      </c>
      <c r="D50">
        <v>0</v>
      </c>
      <c r="E50">
        <v>0</v>
      </c>
      <c r="F50">
        <v>550</v>
      </c>
      <c r="G50">
        <v>1348.9735106999999</v>
      </c>
      <c r="H50">
        <v>1343.9348144999999</v>
      </c>
      <c r="I50">
        <v>1314.2299805</v>
      </c>
      <c r="J50">
        <v>1305.1552733999999</v>
      </c>
      <c r="K50">
        <v>80</v>
      </c>
      <c r="L50">
        <v>51.866897582999997</v>
      </c>
      <c r="M50">
        <v>60</v>
      </c>
      <c r="N50">
        <v>14.998735428</v>
      </c>
    </row>
    <row r="51" spans="1:14" x14ac:dyDescent="0.25">
      <c r="A51">
        <v>3.0525000000000002</v>
      </c>
      <c r="B51" s="1">
        <f>DATE(2010,5,4) + TIME(1,15,36)</f>
        <v>40302.052499999998</v>
      </c>
      <c r="C51">
        <v>550</v>
      </c>
      <c r="D51">
        <v>0</v>
      </c>
      <c r="E51">
        <v>0</v>
      </c>
      <c r="F51">
        <v>550</v>
      </c>
      <c r="G51">
        <v>1348.9522704999999</v>
      </c>
      <c r="H51">
        <v>1343.9550781</v>
      </c>
      <c r="I51">
        <v>1314.2325439000001</v>
      </c>
      <c r="J51">
        <v>1305.1560059000001</v>
      </c>
      <c r="K51">
        <v>80</v>
      </c>
      <c r="L51">
        <v>52.839408874999997</v>
      </c>
      <c r="M51">
        <v>60</v>
      </c>
      <c r="N51">
        <v>14.998744010999999</v>
      </c>
    </row>
    <row r="52" spans="1:14" x14ac:dyDescent="0.25">
      <c r="A52">
        <v>3.1669550000000002</v>
      </c>
      <c r="B52" s="1">
        <f>DATE(2010,5,4) + TIME(4,0,24)</f>
        <v>40302.166944444441</v>
      </c>
      <c r="C52">
        <v>550</v>
      </c>
      <c r="D52">
        <v>0</v>
      </c>
      <c r="E52">
        <v>0</v>
      </c>
      <c r="F52">
        <v>550</v>
      </c>
      <c r="G52">
        <v>1348.9339600000001</v>
      </c>
      <c r="H52">
        <v>1343.9761963000001</v>
      </c>
      <c r="I52">
        <v>1314.2349853999999</v>
      </c>
      <c r="J52">
        <v>1305.1567382999999</v>
      </c>
      <c r="K52">
        <v>80</v>
      </c>
      <c r="L52">
        <v>53.810745238999999</v>
      </c>
      <c r="M52">
        <v>60</v>
      </c>
      <c r="N52">
        <v>14.99875164</v>
      </c>
    </row>
    <row r="53" spans="1:14" x14ac:dyDescent="0.25">
      <c r="A53">
        <v>3.2847870000000001</v>
      </c>
      <c r="B53" s="1">
        <f>DATE(2010,5,4) + TIME(6,50,5)</f>
        <v>40302.284780092596</v>
      </c>
      <c r="C53">
        <v>550</v>
      </c>
      <c r="D53">
        <v>0</v>
      </c>
      <c r="E53">
        <v>0</v>
      </c>
      <c r="F53">
        <v>550</v>
      </c>
      <c r="G53">
        <v>1348.9182129000001</v>
      </c>
      <c r="H53">
        <v>1343.9982910000001</v>
      </c>
      <c r="I53">
        <v>1314.2376709</v>
      </c>
      <c r="J53">
        <v>1305.1574707</v>
      </c>
      <c r="K53">
        <v>80</v>
      </c>
      <c r="L53">
        <v>54.780815124999997</v>
      </c>
      <c r="M53">
        <v>60</v>
      </c>
      <c r="N53">
        <v>14.998760223</v>
      </c>
    </row>
    <row r="54" spans="1:14" x14ac:dyDescent="0.25">
      <c r="A54">
        <v>3.4062540000000001</v>
      </c>
      <c r="B54" s="1">
        <f>DATE(2010,5,4) + TIME(9,45,0)</f>
        <v>40302.40625</v>
      </c>
      <c r="C54">
        <v>550</v>
      </c>
      <c r="D54">
        <v>0</v>
      </c>
      <c r="E54">
        <v>0</v>
      </c>
      <c r="F54">
        <v>550</v>
      </c>
      <c r="G54">
        <v>1348.9049072</v>
      </c>
      <c r="H54">
        <v>1344.0211182</v>
      </c>
      <c r="I54">
        <v>1314.2402344</v>
      </c>
      <c r="J54">
        <v>1305.1583252</v>
      </c>
      <c r="K54">
        <v>80</v>
      </c>
      <c r="L54">
        <v>55.749523162999999</v>
      </c>
      <c r="M54">
        <v>60</v>
      </c>
      <c r="N54">
        <v>14.998768805999999</v>
      </c>
    </row>
    <row r="55" spans="1:14" x14ac:dyDescent="0.25">
      <c r="A55">
        <v>3.531644</v>
      </c>
      <c r="B55" s="1">
        <f>DATE(2010,5,4) + TIME(12,45,34)</f>
        <v>40302.531643518516</v>
      </c>
      <c r="C55">
        <v>550</v>
      </c>
      <c r="D55">
        <v>0</v>
      </c>
      <c r="E55">
        <v>0</v>
      </c>
      <c r="F55">
        <v>550</v>
      </c>
      <c r="G55">
        <v>1348.894043</v>
      </c>
      <c r="H55">
        <v>1344.0447998</v>
      </c>
      <c r="I55">
        <v>1314.2429199000001</v>
      </c>
      <c r="J55">
        <v>1305.1590576000001</v>
      </c>
      <c r="K55">
        <v>80</v>
      </c>
      <c r="L55">
        <v>56.716754913000003</v>
      </c>
      <c r="M55">
        <v>60</v>
      </c>
      <c r="N55">
        <v>14.998777390000001</v>
      </c>
    </row>
    <row r="56" spans="1:14" x14ac:dyDescent="0.25">
      <c r="A56">
        <v>3.6612840000000002</v>
      </c>
      <c r="B56" s="1">
        <f>DATE(2010,5,4) + TIME(15,52,14)</f>
        <v>40302.661273148151</v>
      </c>
      <c r="C56">
        <v>550</v>
      </c>
      <c r="D56">
        <v>0</v>
      </c>
      <c r="E56">
        <v>0</v>
      </c>
      <c r="F56">
        <v>550</v>
      </c>
      <c r="G56">
        <v>1348.885376</v>
      </c>
      <c r="H56">
        <v>1344.0690918</v>
      </c>
      <c r="I56">
        <v>1314.2457274999999</v>
      </c>
      <c r="J56">
        <v>1305.1597899999999</v>
      </c>
      <c r="K56">
        <v>80</v>
      </c>
      <c r="L56">
        <v>57.682384491000001</v>
      </c>
      <c r="M56">
        <v>60</v>
      </c>
      <c r="N56">
        <v>14.998785973</v>
      </c>
    </row>
    <row r="57" spans="1:14" x14ac:dyDescent="0.25">
      <c r="A57">
        <v>3.7955369999999999</v>
      </c>
      <c r="B57" s="1">
        <f>DATE(2010,5,4) + TIME(19,5,34)</f>
        <v>40302.795532407406</v>
      </c>
      <c r="C57">
        <v>550</v>
      </c>
      <c r="D57">
        <v>0</v>
      </c>
      <c r="E57">
        <v>0</v>
      </c>
      <c r="F57">
        <v>550</v>
      </c>
      <c r="G57">
        <v>1348.8787841999999</v>
      </c>
      <c r="H57">
        <v>1344.0939940999999</v>
      </c>
      <c r="I57">
        <v>1314.2485352000001</v>
      </c>
      <c r="J57">
        <v>1305.1606445</v>
      </c>
      <c r="K57">
        <v>80</v>
      </c>
      <c r="L57">
        <v>58.646274566999999</v>
      </c>
      <c r="M57">
        <v>60</v>
      </c>
      <c r="N57">
        <v>14.998795509000001</v>
      </c>
    </row>
    <row r="58" spans="1:14" x14ac:dyDescent="0.25">
      <c r="A58">
        <v>3.9348200000000002</v>
      </c>
      <c r="B58" s="1">
        <f>DATE(2010,5,4) + TIME(22,26,8)</f>
        <v>40302.934814814813</v>
      </c>
      <c r="C58">
        <v>550</v>
      </c>
      <c r="D58">
        <v>0</v>
      </c>
      <c r="E58">
        <v>0</v>
      </c>
      <c r="F58">
        <v>550</v>
      </c>
      <c r="G58">
        <v>1348.8742675999999</v>
      </c>
      <c r="H58">
        <v>1344.1193848</v>
      </c>
      <c r="I58">
        <v>1314.2513428</v>
      </c>
      <c r="J58">
        <v>1305.161499</v>
      </c>
      <c r="K58">
        <v>80</v>
      </c>
      <c r="L58">
        <v>59.608268738</v>
      </c>
      <c r="M58">
        <v>60</v>
      </c>
      <c r="N58">
        <v>14.998804092</v>
      </c>
    </row>
    <row r="59" spans="1:14" x14ac:dyDescent="0.25">
      <c r="A59">
        <v>4.0796049999999999</v>
      </c>
      <c r="B59" s="1">
        <f>DATE(2010,5,5) + TIME(1,54,37)</f>
        <v>40303.079594907409</v>
      </c>
      <c r="C59">
        <v>550</v>
      </c>
      <c r="D59">
        <v>0</v>
      </c>
      <c r="E59">
        <v>0</v>
      </c>
      <c r="F59">
        <v>550</v>
      </c>
      <c r="G59">
        <v>1348.871582</v>
      </c>
      <c r="H59">
        <v>1344.1451416</v>
      </c>
      <c r="I59">
        <v>1314.2542725000001</v>
      </c>
      <c r="J59">
        <v>1305.1623535000001</v>
      </c>
      <c r="K59">
        <v>80</v>
      </c>
      <c r="L59">
        <v>60.567771911999998</v>
      </c>
      <c r="M59">
        <v>60</v>
      </c>
      <c r="N59">
        <v>14.998813629000001</v>
      </c>
    </row>
    <row r="60" spans="1:14" x14ac:dyDescent="0.25">
      <c r="A60">
        <v>4.2305010000000003</v>
      </c>
      <c r="B60" s="1">
        <f>DATE(2010,5,5) + TIME(5,31,55)</f>
        <v>40303.230497685188</v>
      </c>
      <c r="C60">
        <v>550</v>
      </c>
      <c r="D60">
        <v>0</v>
      </c>
      <c r="E60">
        <v>0</v>
      </c>
      <c r="F60">
        <v>550</v>
      </c>
      <c r="G60">
        <v>1348.8704834</v>
      </c>
      <c r="H60">
        <v>1344.1712646000001</v>
      </c>
      <c r="I60">
        <v>1314.2573242000001</v>
      </c>
      <c r="J60">
        <v>1305.1632079999999</v>
      </c>
      <c r="K60">
        <v>80</v>
      </c>
      <c r="L60">
        <v>61.525089264000002</v>
      </c>
      <c r="M60">
        <v>60</v>
      </c>
      <c r="N60">
        <v>14.998822212</v>
      </c>
    </row>
    <row r="61" spans="1:14" x14ac:dyDescent="0.25">
      <c r="A61">
        <v>4.3881259999999997</v>
      </c>
      <c r="B61" s="1">
        <f>DATE(2010,5,5) + TIME(9,18,54)</f>
        <v>40303.388124999998</v>
      </c>
      <c r="C61">
        <v>550</v>
      </c>
      <c r="D61">
        <v>0</v>
      </c>
      <c r="E61">
        <v>0</v>
      </c>
      <c r="F61">
        <v>550</v>
      </c>
      <c r="G61">
        <v>1348.8710937999999</v>
      </c>
      <c r="H61">
        <v>1344.1975098</v>
      </c>
      <c r="I61">
        <v>1314.260376</v>
      </c>
      <c r="J61">
        <v>1305.1640625</v>
      </c>
      <c r="K61">
        <v>80</v>
      </c>
      <c r="L61">
        <v>62.48015213</v>
      </c>
      <c r="M61">
        <v>60</v>
      </c>
      <c r="N61">
        <v>14.998831749000001</v>
      </c>
    </row>
    <row r="62" spans="1:14" x14ac:dyDescent="0.25">
      <c r="A62">
        <v>4.553166</v>
      </c>
      <c r="B62" s="1">
        <f>DATE(2010,5,5) + TIME(13,16,33)</f>
        <v>40303.553159722222</v>
      </c>
      <c r="C62">
        <v>550</v>
      </c>
      <c r="D62">
        <v>0</v>
      </c>
      <c r="E62">
        <v>0</v>
      </c>
      <c r="F62">
        <v>550</v>
      </c>
      <c r="G62">
        <v>1348.8730469</v>
      </c>
      <c r="H62">
        <v>1344.2238769999999</v>
      </c>
      <c r="I62">
        <v>1314.2635498</v>
      </c>
      <c r="J62">
        <v>1305.1650391000001</v>
      </c>
      <c r="K62">
        <v>80</v>
      </c>
      <c r="L62">
        <v>63.432445526000002</v>
      </c>
      <c r="M62">
        <v>60</v>
      </c>
      <c r="N62">
        <v>14.998841285999999</v>
      </c>
    </row>
    <row r="63" spans="1:14" x14ac:dyDescent="0.25">
      <c r="A63">
        <v>4.7264749999999998</v>
      </c>
      <c r="B63" s="1">
        <f>DATE(2010,5,5) + TIME(17,26,7)</f>
        <v>40303.726469907408</v>
      </c>
      <c r="C63">
        <v>550</v>
      </c>
      <c r="D63">
        <v>0</v>
      </c>
      <c r="E63">
        <v>0</v>
      </c>
      <c r="F63">
        <v>550</v>
      </c>
      <c r="G63">
        <v>1348.8764647999999</v>
      </c>
      <c r="H63">
        <v>1344.2501221</v>
      </c>
      <c r="I63">
        <v>1314.2668457</v>
      </c>
      <c r="J63">
        <v>1305.1660156</v>
      </c>
      <c r="K63">
        <v>80</v>
      </c>
      <c r="L63">
        <v>64.381652832</v>
      </c>
      <c r="M63">
        <v>60</v>
      </c>
      <c r="N63">
        <v>14.998850822</v>
      </c>
    </row>
    <row r="64" spans="1:14" x14ac:dyDescent="0.25">
      <c r="A64">
        <v>4.9090579999999999</v>
      </c>
      <c r="B64" s="1">
        <f>DATE(2010,5,5) + TIME(21,49,2)</f>
        <v>40303.909050925926</v>
      </c>
      <c r="C64">
        <v>550</v>
      </c>
      <c r="D64">
        <v>0</v>
      </c>
      <c r="E64">
        <v>0</v>
      </c>
      <c r="F64">
        <v>550</v>
      </c>
      <c r="G64">
        <v>1348.8809814000001</v>
      </c>
      <c r="H64">
        <v>1344.2762451000001</v>
      </c>
      <c r="I64">
        <v>1314.2702637</v>
      </c>
      <c r="J64">
        <v>1305.1671143000001</v>
      </c>
      <c r="K64">
        <v>80</v>
      </c>
      <c r="L64">
        <v>65.32749939</v>
      </c>
      <c r="M64">
        <v>60</v>
      </c>
      <c r="N64">
        <v>14.998860359</v>
      </c>
    </row>
    <row r="65" spans="1:14" x14ac:dyDescent="0.25">
      <c r="A65">
        <v>5.1020940000000001</v>
      </c>
      <c r="B65" s="1">
        <f>DATE(2010,5,6) + TIME(2,27,0)</f>
        <v>40304.102083333331</v>
      </c>
      <c r="C65">
        <v>550</v>
      </c>
      <c r="D65">
        <v>0</v>
      </c>
      <c r="E65">
        <v>0</v>
      </c>
      <c r="F65">
        <v>550</v>
      </c>
      <c r="G65">
        <v>1348.8865966999999</v>
      </c>
      <c r="H65">
        <v>1344.3020019999999</v>
      </c>
      <c r="I65">
        <v>1314.2736815999999</v>
      </c>
      <c r="J65">
        <v>1305.1682129000001</v>
      </c>
      <c r="K65">
        <v>80</v>
      </c>
      <c r="L65">
        <v>66.269561768000003</v>
      </c>
      <c r="M65">
        <v>60</v>
      </c>
      <c r="N65">
        <v>14.998870849999999</v>
      </c>
    </row>
    <row r="66" spans="1:14" x14ac:dyDescent="0.25">
      <c r="A66">
        <v>5.2033649999999998</v>
      </c>
      <c r="B66" s="1">
        <f>DATE(2010,5,6) + TIME(4,52,50)</f>
        <v>40304.203356481485</v>
      </c>
      <c r="C66">
        <v>550</v>
      </c>
      <c r="D66">
        <v>0</v>
      </c>
      <c r="E66">
        <v>0</v>
      </c>
      <c r="F66">
        <v>550</v>
      </c>
      <c r="G66">
        <v>1348.9257812000001</v>
      </c>
      <c r="H66">
        <v>1344.3319091999999</v>
      </c>
      <c r="I66">
        <v>1314.2770995999999</v>
      </c>
      <c r="J66">
        <v>1305.1693115</v>
      </c>
      <c r="K66">
        <v>80</v>
      </c>
      <c r="L66">
        <v>66.750251770000006</v>
      </c>
      <c r="M66">
        <v>60</v>
      </c>
      <c r="N66">
        <v>14.998876572</v>
      </c>
    </row>
    <row r="67" spans="1:14" x14ac:dyDescent="0.25">
      <c r="A67">
        <v>5.3046350000000002</v>
      </c>
      <c r="B67" s="1">
        <f>DATE(2010,5,6) + TIME(7,18,40)</f>
        <v>40304.304629629631</v>
      </c>
      <c r="C67">
        <v>550</v>
      </c>
      <c r="D67">
        <v>0</v>
      </c>
      <c r="E67">
        <v>0</v>
      </c>
      <c r="F67">
        <v>550</v>
      </c>
      <c r="G67">
        <v>1348.9304199000001</v>
      </c>
      <c r="H67">
        <v>1344.3452147999999</v>
      </c>
      <c r="I67">
        <v>1314.2790527</v>
      </c>
      <c r="J67">
        <v>1305.1699219</v>
      </c>
      <c r="K67">
        <v>80</v>
      </c>
      <c r="L67">
        <v>67.215545653999996</v>
      </c>
      <c r="M67">
        <v>60</v>
      </c>
      <c r="N67">
        <v>14.998881340000001</v>
      </c>
    </row>
    <row r="68" spans="1:14" x14ac:dyDescent="0.25">
      <c r="A68">
        <v>5.4059059999999999</v>
      </c>
      <c r="B68" s="1">
        <f>DATE(2010,5,6) + TIME(9,44,30)</f>
        <v>40304.405902777777</v>
      </c>
      <c r="C68">
        <v>550</v>
      </c>
      <c r="D68">
        <v>0</v>
      </c>
      <c r="E68">
        <v>0</v>
      </c>
      <c r="F68">
        <v>550</v>
      </c>
      <c r="G68">
        <v>1348.9350586</v>
      </c>
      <c r="H68">
        <v>1344.3579102000001</v>
      </c>
      <c r="I68">
        <v>1314.2808838000001</v>
      </c>
      <c r="J68">
        <v>1305.1705322</v>
      </c>
      <c r="K68">
        <v>80</v>
      </c>
      <c r="L68">
        <v>67.665824889999996</v>
      </c>
      <c r="M68">
        <v>60</v>
      </c>
      <c r="N68">
        <v>14.998887062</v>
      </c>
    </row>
    <row r="69" spans="1:14" x14ac:dyDescent="0.25">
      <c r="A69">
        <v>5.5071760000000003</v>
      </c>
      <c r="B69" s="1">
        <f>DATE(2010,5,6) + TIME(12,10,20)</f>
        <v>40304.507175925923</v>
      </c>
      <c r="C69">
        <v>550</v>
      </c>
      <c r="D69">
        <v>0</v>
      </c>
      <c r="E69">
        <v>0</v>
      </c>
      <c r="F69">
        <v>550</v>
      </c>
      <c r="G69">
        <v>1348.9396973</v>
      </c>
      <c r="H69">
        <v>1344.3699951000001</v>
      </c>
      <c r="I69">
        <v>1314.2827147999999</v>
      </c>
      <c r="J69">
        <v>1305.1711425999999</v>
      </c>
      <c r="K69">
        <v>80</v>
      </c>
      <c r="L69">
        <v>68.101448059000006</v>
      </c>
      <c r="M69">
        <v>60</v>
      </c>
      <c r="N69">
        <v>14.99889183</v>
      </c>
    </row>
    <row r="70" spans="1:14" x14ac:dyDescent="0.25">
      <c r="A70">
        <v>5.608447</v>
      </c>
      <c r="B70" s="1">
        <f>DATE(2010,5,6) + TIME(14,36,9)</f>
        <v>40304.608437499999</v>
      </c>
      <c r="C70">
        <v>550</v>
      </c>
      <c r="D70">
        <v>0</v>
      </c>
      <c r="E70">
        <v>0</v>
      </c>
      <c r="F70">
        <v>550</v>
      </c>
      <c r="G70">
        <v>1348.9443358999999</v>
      </c>
      <c r="H70">
        <v>1344.3815918</v>
      </c>
      <c r="I70">
        <v>1314.2845459</v>
      </c>
      <c r="J70">
        <v>1305.1717529</v>
      </c>
      <c r="K70">
        <v>80</v>
      </c>
      <c r="L70">
        <v>68.522781371999997</v>
      </c>
      <c r="M70">
        <v>60</v>
      </c>
      <c r="N70">
        <v>14.998896599</v>
      </c>
    </row>
    <row r="71" spans="1:14" x14ac:dyDescent="0.25">
      <c r="A71">
        <v>5.7097170000000004</v>
      </c>
      <c r="B71" s="1">
        <f>DATE(2010,5,6) + TIME(17,1,59)</f>
        <v>40304.709710648145</v>
      </c>
      <c r="C71">
        <v>550</v>
      </c>
      <c r="D71">
        <v>0</v>
      </c>
      <c r="E71">
        <v>0</v>
      </c>
      <c r="F71">
        <v>550</v>
      </c>
      <c r="G71">
        <v>1348.9488524999999</v>
      </c>
      <c r="H71">
        <v>1344.3925781</v>
      </c>
      <c r="I71">
        <v>1314.2862548999999</v>
      </c>
      <c r="J71">
        <v>1305.1723632999999</v>
      </c>
      <c r="K71">
        <v>80</v>
      </c>
      <c r="L71">
        <v>68.930191039999997</v>
      </c>
      <c r="M71">
        <v>60</v>
      </c>
      <c r="N71">
        <v>14.998901367</v>
      </c>
    </row>
    <row r="72" spans="1:14" x14ac:dyDescent="0.25">
      <c r="A72">
        <v>5.8109869999999999</v>
      </c>
      <c r="B72" s="1">
        <f>DATE(2010,5,6) + TIME(19,27,49)</f>
        <v>40304.810983796298</v>
      </c>
      <c r="C72">
        <v>550</v>
      </c>
      <c r="D72">
        <v>0</v>
      </c>
      <c r="E72">
        <v>0</v>
      </c>
      <c r="F72">
        <v>550</v>
      </c>
      <c r="G72">
        <v>1348.9532471</v>
      </c>
      <c r="H72">
        <v>1344.4029541</v>
      </c>
      <c r="I72">
        <v>1314.2880858999999</v>
      </c>
      <c r="J72">
        <v>1305.1729736</v>
      </c>
      <c r="K72">
        <v>80</v>
      </c>
      <c r="L72">
        <v>69.324035644999995</v>
      </c>
      <c r="M72">
        <v>60</v>
      </c>
      <c r="N72">
        <v>14.998906136</v>
      </c>
    </row>
    <row r="73" spans="1:14" x14ac:dyDescent="0.25">
      <c r="A73">
        <v>5.9122579999999996</v>
      </c>
      <c r="B73" s="1">
        <f>DATE(2010,5,6) + TIME(21,53,39)</f>
        <v>40304.912256944444</v>
      </c>
      <c r="C73">
        <v>550</v>
      </c>
      <c r="D73">
        <v>0</v>
      </c>
      <c r="E73">
        <v>0</v>
      </c>
      <c r="F73">
        <v>550</v>
      </c>
      <c r="G73">
        <v>1348.9576416</v>
      </c>
      <c r="H73">
        <v>1344.4128418</v>
      </c>
      <c r="I73">
        <v>1314.2897949000001</v>
      </c>
      <c r="J73">
        <v>1305.1735839999999</v>
      </c>
      <c r="K73">
        <v>80</v>
      </c>
      <c r="L73">
        <v>69.704666137999993</v>
      </c>
      <c r="M73">
        <v>60</v>
      </c>
      <c r="N73">
        <v>14.998910904000001</v>
      </c>
    </row>
    <row r="74" spans="1:14" x14ac:dyDescent="0.25">
      <c r="A74">
        <v>6.0134720000000002</v>
      </c>
      <c r="B74" s="1">
        <f>DATE(2010,5,7) + TIME(0,19,23)</f>
        <v>40305.013460648152</v>
      </c>
      <c r="C74">
        <v>550</v>
      </c>
      <c r="D74">
        <v>0</v>
      </c>
      <c r="E74">
        <v>0</v>
      </c>
      <c r="F74">
        <v>550</v>
      </c>
      <c r="G74">
        <v>1348.9617920000001</v>
      </c>
      <c r="H74">
        <v>1344.4221190999999</v>
      </c>
      <c r="I74">
        <v>1314.2915039</v>
      </c>
      <c r="J74">
        <v>1305.1741943</v>
      </c>
      <c r="K74">
        <v>80</v>
      </c>
      <c r="L74">
        <v>70.072196959999999</v>
      </c>
      <c r="M74">
        <v>60</v>
      </c>
      <c r="N74">
        <v>14.998915672000001</v>
      </c>
    </row>
    <row r="75" spans="1:14" x14ac:dyDescent="0.25">
      <c r="A75">
        <v>6.1146669999999999</v>
      </c>
      <c r="B75" s="1">
        <f>DATE(2010,5,7) + TIME(2,45,7)</f>
        <v>40305.114664351851</v>
      </c>
      <c r="C75">
        <v>550</v>
      </c>
      <c r="D75">
        <v>0</v>
      </c>
      <c r="E75">
        <v>0</v>
      </c>
      <c r="F75">
        <v>550</v>
      </c>
      <c r="G75">
        <v>1348.9658202999999</v>
      </c>
      <c r="H75">
        <v>1344.4309082</v>
      </c>
      <c r="I75">
        <v>1314.2932129000001</v>
      </c>
      <c r="J75">
        <v>1305.1748047000001</v>
      </c>
      <c r="K75">
        <v>80</v>
      </c>
      <c r="L75">
        <v>70.426956176999994</v>
      </c>
      <c r="M75">
        <v>60</v>
      </c>
      <c r="N75">
        <v>14.998920440999999</v>
      </c>
    </row>
    <row r="76" spans="1:14" x14ac:dyDescent="0.25">
      <c r="A76">
        <v>6.2158620000000004</v>
      </c>
      <c r="B76" s="1">
        <f>DATE(2010,5,7) + TIME(5,10,50)</f>
        <v>40305.215856481482</v>
      </c>
      <c r="C76">
        <v>550</v>
      </c>
      <c r="D76">
        <v>0</v>
      </c>
      <c r="E76">
        <v>0</v>
      </c>
      <c r="F76">
        <v>550</v>
      </c>
      <c r="G76">
        <v>1348.9697266000001</v>
      </c>
      <c r="H76">
        <v>1344.4392089999999</v>
      </c>
      <c r="I76">
        <v>1314.2949219</v>
      </c>
      <c r="J76">
        <v>1305.1754149999999</v>
      </c>
      <c r="K76">
        <v>80</v>
      </c>
      <c r="L76">
        <v>70.769569396999998</v>
      </c>
      <c r="M76">
        <v>60</v>
      </c>
      <c r="N76">
        <v>14.998925208999999</v>
      </c>
    </row>
    <row r="77" spans="1:14" x14ac:dyDescent="0.25">
      <c r="A77">
        <v>6.3170570000000001</v>
      </c>
      <c r="B77" s="1">
        <f>DATE(2010,5,7) + TIME(7,36,33)</f>
        <v>40305.317048611112</v>
      </c>
      <c r="C77">
        <v>550</v>
      </c>
      <c r="D77">
        <v>0</v>
      </c>
      <c r="E77">
        <v>0</v>
      </c>
      <c r="F77">
        <v>550</v>
      </c>
      <c r="G77">
        <v>1348.9733887</v>
      </c>
      <c r="H77">
        <v>1344.4468993999999</v>
      </c>
      <c r="I77">
        <v>1314.2966309000001</v>
      </c>
      <c r="J77">
        <v>1305.1760254000001</v>
      </c>
      <c r="K77">
        <v>80</v>
      </c>
      <c r="L77">
        <v>71.100379943999997</v>
      </c>
      <c r="M77">
        <v>60</v>
      </c>
      <c r="N77">
        <v>14.998929024000001</v>
      </c>
    </row>
    <row r="78" spans="1:14" x14ac:dyDescent="0.25">
      <c r="A78">
        <v>6.4182519999999998</v>
      </c>
      <c r="B78" s="1">
        <f>DATE(2010,5,7) + TIME(10,2,16)</f>
        <v>40305.418240740742</v>
      </c>
      <c r="C78">
        <v>550</v>
      </c>
      <c r="D78">
        <v>0</v>
      </c>
      <c r="E78">
        <v>0</v>
      </c>
      <c r="F78">
        <v>550</v>
      </c>
      <c r="G78">
        <v>1348.9768065999999</v>
      </c>
      <c r="H78">
        <v>1344.4541016000001</v>
      </c>
      <c r="I78">
        <v>1314.2982178</v>
      </c>
      <c r="J78">
        <v>1305.1766356999999</v>
      </c>
      <c r="K78">
        <v>80</v>
      </c>
      <c r="L78">
        <v>71.419715881000002</v>
      </c>
      <c r="M78">
        <v>60</v>
      </c>
      <c r="N78">
        <v>14.998933792000001</v>
      </c>
    </row>
    <row r="79" spans="1:14" x14ac:dyDescent="0.25">
      <c r="A79">
        <v>6.5194470000000004</v>
      </c>
      <c r="B79" s="1">
        <f>DATE(2010,5,7) + TIME(12,28,0)</f>
        <v>40305.519444444442</v>
      </c>
      <c r="C79">
        <v>550</v>
      </c>
      <c r="D79">
        <v>0</v>
      </c>
      <c r="E79">
        <v>0</v>
      </c>
      <c r="F79">
        <v>550</v>
      </c>
      <c r="G79">
        <v>1348.9801024999999</v>
      </c>
      <c r="H79">
        <v>1344.4608154</v>
      </c>
      <c r="I79">
        <v>1314.2999268000001</v>
      </c>
      <c r="J79">
        <v>1305.1772461</v>
      </c>
      <c r="K79">
        <v>80</v>
      </c>
      <c r="L79">
        <v>71.727920531999999</v>
      </c>
      <c r="M79">
        <v>60</v>
      </c>
      <c r="N79">
        <v>14.998938559999999</v>
      </c>
    </row>
    <row r="80" spans="1:14" x14ac:dyDescent="0.25">
      <c r="A80">
        <v>6.6206420000000001</v>
      </c>
      <c r="B80" s="1">
        <f>DATE(2010,5,7) + TIME(14,53,43)</f>
        <v>40305.620636574073</v>
      </c>
      <c r="C80">
        <v>550</v>
      </c>
      <c r="D80">
        <v>0</v>
      </c>
      <c r="E80">
        <v>0</v>
      </c>
      <c r="F80">
        <v>550</v>
      </c>
      <c r="G80">
        <v>1348.9831543</v>
      </c>
      <c r="H80">
        <v>1344.4669189000001</v>
      </c>
      <c r="I80">
        <v>1314.3015137</v>
      </c>
      <c r="J80">
        <v>1305.1779785000001</v>
      </c>
      <c r="K80">
        <v>80</v>
      </c>
      <c r="L80">
        <v>72.025314331000004</v>
      </c>
      <c r="M80">
        <v>60</v>
      </c>
      <c r="N80">
        <v>14.998942375</v>
      </c>
    </row>
    <row r="81" spans="1:14" x14ac:dyDescent="0.25">
      <c r="A81">
        <v>6.7218369999999998</v>
      </c>
      <c r="B81" s="1">
        <f>DATE(2010,5,7) + TIME(17,19,26)</f>
        <v>40305.721828703703</v>
      </c>
      <c r="C81">
        <v>550</v>
      </c>
      <c r="D81">
        <v>0</v>
      </c>
      <c r="E81">
        <v>0</v>
      </c>
      <c r="F81">
        <v>550</v>
      </c>
      <c r="G81">
        <v>1348.9859618999999</v>
      </c>
      <c r="H81">
        <v>1344.4726562000001</v>
      </c>
      <c r="I81">
        <v>1314.3031006000001</v>
      </c>
      <c r="J81">
        <v>1305.1785889</v>
      </c>
      <c r="K81">
        <v>80</v>
      </c>
      <c r="L81">
        <v>72.312217712000006</v>
      </c>
      <c r="M81">
        <v>60</v>
      </c>
      <c r="N81">
        <v>14.99894619</v>
      </c>
    </row>
    <row r="82" spans="1:14" x14ac:dyDescent="0.25">
      <c r="A82">
        <v>6.8230320000000004</v>
      </c>
      <c r="B82" s="1">
        <f>DATE(2010,5,7) + TIME(19,45,9)</f>
        <v>40305.823020833333</v>
      </c>
      <c r="C82">
        <v>550</v>
      </c>
      <c r="D82">
        <v>0</v>
      </c>
      <c r="E82">
        <v>0</v>
      </c>
      <c r="F82">
        <v>550</v>
      </c>
      <c r="G82">
        <v>1348.9886475000001</v>
      </c>
      <c r="H82">
        <v>1344.4779053</v>
      </c>
      <c r="I82">
        <v>1314.3046875</v>
      </c>
      <c r="J82">
        <v>1305.1791992000001</v>
      </c>
      <c r="K82">
        <v>80</v>
      </c>
      <c r="L82">
        <v>72.588943481000001</v>
      </c>
      <c r="M82">
        <v>60</v>
      </c>
      <c r="N82">
        <v>14.998950958</v>
      </c>
    </row>
    <row r="83" spans="1:14" x14ac:dyDescent="0.25">
      <c r="A83">
        <v>6.9242270000000001</v>
      </c>
      <c r="B83" s="1">
        <f>DATE(2010,5,7) + TIME(22,10,53)</f>
        <v>40305.924224537041</v>
      </c>
      <c r="C83">
        <v>550</v>
      </c>
      <c r="D83">
        <v>0</v>
      </c>
      <c r="E83">
        <v>0</v>
      </c>
      <c r="F83">
        <v>550</v>
      </c>
      <c r="G83">
        <v>1348.9909668</v>
      </c>
      <c r="H83">
        <v>1344.4825439000001</v>
      </c>
      <c r="I83">
        <v>1314.3061522999999</v>
      </c>
      <c r="J83">
        <v>1305.1798096</v>
      </c>
      <c r="K83">
        <v>80</v>
      </c>
      <c r="L83">
        <v>72.855812072999996</v>
      </c>
      <c r="M83">
        <v>60</v>
      </c>
      <c r="N83">
        <v>14.998954772999999</v>
      </c>
    </row>
    <row r="84" spans="1:14" x14ac:dyDescent="0.25">
      <c r="A84">
        <v>7.1266170000000004</v>
      </c>
      <c r="B84" s="1">
        <f>DATE(2010,5,8) + TIME(3,2,19)</f>
        <v>40306.126608796294</v>
      </c>
      <c r="C84">
        <v>550</v>
      </c>
      <c r="D84">
        <v>0</v>
      </c>
      <c r="E84">
        <v>0</v>
      </c>
      <c r="F84">
        <v>550</v>
      </c>
      <c r="G84">
        <v>1348.9770507999999</v>
      </c>
      <c r="H84">
        <v>1344.4853516000001</v>
      </c>
      <c r="I84">
        <v>1314.3079834</v>
      </c>
      <c r="J84">
        <v>1305.1805420000001</v>
      </c>
      <c r="K84">
        <v>80</v>
      </c>
      <c r="L84">
        <v>73.351081848000007</v>
      </c>
      <c r="M84">
        <v>60</v>
      </c>
      <c r="N84">
        <v>14.998962402</v>
      </c>
    </row>
    <row r="85" spans="1:14" x14ac:dyDescent="0.25">
      <c r="A85">
        <v>7.3294699999999997</v>
      </c>
      <c r="B85" s="1">
        <f>DATE(2010,5,8) + TIME(7,54,26)</f>
        <v>40306.329467592594</v>
      </c>
      <c r="C85">
        <v>550</v>
      </c>
      <c r="D85">
        <v>0</v>
      </c>
      <c r="E85">
        <v>0</v>
      </c>
      <c r="F85">
        <v>550</v>
      </c>
      <c r="G85">
        <v>1348.9812012</v>
      </c>
      <c r="H85">
        <v>1344.4918213000001</v>
      </c>
      <c r="I85">
        <v>1314.3109131000001</v>
      </c>
      <c r="J85">
        <v>1305.1817627</v>
      </c>
      <c r="K85">
        <v>80</v>
      </c>
      <c r="L85">
        <v>73.812889099000003</v>
      </c>
      <c r="M85">
        <v>60</v>
      </c>
      <c r="N85">
        <v>14.998970032000001</v>
      </c>
    </row>
    <row r="86" spans="1:14" x14ac:dyDescent="0.25">
      <c r="A86">
        <v>7.534497</v>
      </c>
      <c r="B86" s="1">
        <f>DATE(2010,5,8) + TIME(12,49,40)</f>
        <v>40306.534490740742</v>
      </c>
      <c r="C86">
        <v>550</v>
      </c>
      <c r="D86">
        <v>0</v>
      </c>
      <c r="E86">
        <v>0</v>
      </c>
      <c r="F86">
        <v>550</v>
      </c>
      <c r="G86">
        <v>1348.9840088000001</v>
      </c>
      <c r="H86">
        <v>1344.4968262</v>
      </c>
      <c r="I86">
        <v>1314.3138428</v>
      </c>
      <c r="J86">
        <v>1305.1829834</v>
      </c>
      <c r="K86">
        <v>80</v>
      </c>
      <c r="L86">
        <v>74.246482849000003</v>
      </c>
      <c r="M86">
        <v>60</v>
      </c>
      <c r="N86">
        <v>14.998977661</v>
      </c>
    </row>
    <row r="87" spans="1:14" x14ac:dyDescent="0.25">
      <c r="A87">
        <v>7.7419979999999997</v>
      </c>
      <c r="B87" s="1">
        <f>DATE(2010,5,8) + TIME(17,48,28)</f>
        <v>40306.741990740738</v>
      </c>
      <c r="C87">
        <v>550</v>
      </c>
      <c r="D87">
        <v>0</v>
      </c>
      <c r="E87">
        <v>0</v>
      </c>
      <c r="F87">
        <v>550</v>
      </c>
      <c r="G87">
        <v>1348.9858397999999</v>
      </c>
      <c r="H87">
        <v>1344.5001221</v>
      </c>
      <c r="I87">
        <v>1314.3167725000001</v>
      </c>
      <c r="J87">
        <v>1305.1842041</v>
      </c>
      <c r="K87">
        <v>80</v>
      </c>
      <c r="L87">
        <v>74.653526306000003</v>
      </c>
      <c r="M87">
        <v>60</v>
      </c>
      <c r="N87">
        <v>14.998985291</v>
      </c>
    </row>
    <row r="88" spans="1:14" x14ac:dyDescent="0.25">
      <c r="A88">
        <v>7.9523010000000003</v>
      </c>
      <c r="B88" s="1">
        <f>DATE(2010,5,8) + TIME(22,51,18)</f>
        <v>40306.952291666668</v>
      </c>
      <c r="C88">
        <v>550</v>
      </c>
      <c r="D88">
        <v>0</v>
      </c>
      <c r="E88">
        <v>0</v>
      </c>
      <c r="F88">
        <v>550</v>
      </c>
      <c r="G88">
        <v>1348.9866943</v>
      </c>
      <c r="H88">
        <v>1344.5019531</v>
      </c>
      <c r="I88">
        <v>1314.3197021000001</v>
      </c>
      <c r="J88">
        <v>1305.1855469</v>
      </c>
      <c r="K88">
        <v>80</v>
      </c>
      <c r="L88">
        <v>75.035568237000007</v>
      </c>
      <c r="M88">
        <v>60</v>
      </c>
      <c r="N88">
        <v>14.998991966</v>
      </c>
    </row>
    <row r="89" spans="1:14" x14ac:dyDescent="0.25">
      <c r="A89">
        <v>8.1657430000000009</v>
      </c>
      <c r="B89" s="1">
        <f>DATE(2010,5,9) + TIME(3,58,40)</f>
        <v>40307.16574074074</v>
      </c>
      <c r="C89">
        <v>550</v>
      </c>
      <c r="D89">
        <v>0</v>
      </c>
      <c r="E89">
        <v>0</v>
      </c>
      <c r="F89">
        <v>550</v>
      </c>
      <c r="G89">
        <v>1348.9865723</v>
      </c>
      <c r="H89">
        <v>1344.5024414</v>
      </c>
      <c r="I89">
        <v>1314.3226318</v>
      </c>
      <c r="J89">
        <v>1305.1867675999999</v>
      </c>
      <c r="K89">
        <v>80</v>
      </c>
      <c r="L89">
        <v>75.393829346000004</v>
      </c>
      <c r="M89">
        <v>60</v>
      </c>
      <c r="N89">
        <v>14.998999596000001</v>
      </c>
    </row>
    <row r="90" spans="1:14" x14ac:dyDescent="0.25">
      <c r="A90">
        <v>8.3826750000000008</v>
      </c>
      <c r="B90" s="1">
        <f>DATE(2010,5,9) + TIME(9,11,3)</f>
        <v>40307.382673611108</v>
      </c>
      <c r="C90">
        <v>550</v>
      </c>
      <c r="D90">
        <v>0</v>
      </c>
      <c r="E90">
        <v>0</v>
      </c>
      <c r="F90">
        <v>550</v>
      </c>
      <c r="G90">
        <v>1348.9853516000001</v>
      </c>
      <c r="H90">
        <v>1344.5013428</v>
      </c>
      <c r="I90">
        <v>1314.3254394999999</v>
      </c>
      <c r="J90">
        <v>1305.1881103999999</v>
      </c>
      <c r="K90">
        <v>80</v>
      </c>
      <c r="L90">
        <v>75.729881286999998</v>
      </c>
      <c r="M90">
        <v>60</v>
      </c>
      <c r="N90">
        <v>14.999006271000001</v>
      </c>
    </row>
    <row r="91" spans="1:14" x14ac:dyDescent="0.25">
      <c r="A91">
        <v>8.6034659999999992</v>
      </c>
      <c r="B91" s="1">
        <f>DATE(2010,5,9) + TIME(14,28,59)</f>
        <v>40307.603460648148</v>
      </c>
      <c r="C91">
        <v>550</v>
      </c>
      <c r="D91">
        <v>0</v>
      </c>
      <c r="E91">
        <v>0</v>
      </c>
      <c r="F91">
        <v>550</v>
      </c>
      <c r="G91">
        <v>1348.9831543</v>
      </c>
      <c r="H91">
        <v>1344.4989014</v>
      </c>
      <c r="I91">
        <v>1314.3282471</v>
      </c>
      <c r="J91">
        <v>1305.1894531</v>
      </c>
      <c r="K91">
        <v>80</v>
      </c>
      <c r="L91">
        <v>76.044952393000003</v>
      </c>
      <c r="M91">
        <v>60</v>
      </c>
      <c r="N91">
        <v>14.999013901</v>
      </c>
    </row>
    <row r="92" spans="1:14" x14ac:dyDescent="0.25">
      <c r="A92">
        <v>8.8285070000000001</v>
      </c>
      <c r="B92" s="1">
        <f>DATE(2010,5,9) + TIME(19,53,3)</f>
        <v>40307.828506944446</v>
      </c>
      <c r="C92">
        <v>550</v>
      </c>
      <c r="D92">
        <v>0</v>
      </c>
      <c r="E92">
        <v>0</v>
      </c>
      <c r="F92">
        <v>550</v>
      </c>
      <c r="G92">
        <v>1348.9798584</v>
      </c>
      <c r="H92">
        <v>1344.4951172000001</v>
      </c>
      <c r="I92">
        <v>1314.3310547000001</v>
      </c>
      <c r="J92">
        <v>1305.1907959</v>
      </c>
      <c r="K92">
        <v>80</v>
      </c>
      <c r="L92">
        <v>76.340194702000005</v>
      </c>
      <c r="M92">
        <v>60</v>
      </c>
      <c r="N92">
        <v>14.999020575999999</v>
      </c>
    </row>
    <row r="93" spans="1:14" x14ac:dyDescent="0.25">
      <c r="A93">
        <v>9.0582119999999993</v>
      </c>
      <c r="B93" s="1">
        <f>DATE(2010,5,10) + TIME(1,23,49)</f>
        <v>40308.058206018519</v>
      </c>
      <c r="C93">
        <v>550</v>
      </c>
      <c r="D93">
        <v>0</v>
      </c>
      <c r="E93">
        <v>0</v>
      </c>
      <c r="F93">
        <v>550</v>
      </c>
      <c r="G93">
        <v>1348.9755858999999</v>
      </c>
      <c r="H93">
        <v>1344.4898682</v>
      </c>
      <c r="I93">
        <v>1314.3339844</v>
      </c>
      <c r="J93">
        <v>1305.1921387</v>
      </c>
      <c r="K93">
        <v>80</v>
      </c>
      <c r="L93">
        <v>76.616661071999999</v>
      </c>
      <c r="M93">
        <v>60</v>
      </c>
      <c r="N93">
        <v>14.999028206</v>
      </c>
    </row>
    <row r="94" spans="1:14" x14ac:dyDescent="0.25">
      <c r="A94">
        <v>9.2930250000000001</v>
      </c>
      <c r="B94" s="1">
        <f>DATE(2010,5,10) + TIME(7,1,57)</f>
        <v>40308.293020833335</v>
      </c>
      <c r="C94">
        <v>550</v>
      </c>
      <c r="D94">
        <v>0</v>
      </c>
      <c r="E94">
        <v>0</v>
      </c>
      <c r="F94">
        <v>550</v>
      </c>
      <c r="G94">
        <v>1348.9702147999999</v>
      </c>
      <c r="H94">
        <v>1344.4832764</v>
      </c>
      <c r="I94">
        <v>1314.3367920000001</v>
      </c>
      <c r="J94">
        <v>1305.1936035000001</v>
      </c>
      <c r="K94">
        <v>80</v>
      </c>
      <c r="L94">
        <v>76.875350952000005</v>
      </c>
      <c r="M94">
        <v>60</v>
      </c>
      <c r="N94">
        <v>14.999034882</v>
      </c>
    </row>
    <row r="95" spans="1:14" x14ac:dyDescent="0.25">
      <c r="A95">
        <v>9.5334719999999997</v>
      </c>
      <c r="B95" s="1">
        <f>DATE(2010,5,10) + TIME(12,48,11)</f>
        <v>40308.533460648148</v>
      </c>
      <c r="C95">
        <v>550</v>
      </c>
      <c r="D95">
        <v>0</v>
      </c>
      <c r="E95">
        <v>0</v>
      </c>
      <c r="F95">
        <v>550</v>
      </c>
      <c r="G95">
        <v>1348.9637451000001</v>
      </c>
      <c r="H95">
        <v>1344.4754639</v>
      </c>
      <c r="I95">
        <v>1314.3395995999999</v>
      </c>
      <c r="J95">
        <v>1305.1950684000001</v>
      </c>
      <c r="K95">
        <v>80</v>
      </c>
      <c r="L95">
        <v>77.117233275999993</v>
      </c>
      <c r="M95">
        <v>60</v>
      </c>
      <c r="N95">
        <v>14.999041557</v>
      </c>
    </row>
    <row r="96" spans="1:14" x14ac:dyDescent="0.25">
      <c r="A96">
        <v>9.7800879999999992</v>
      </c>
      <c r="B96" s="1">
        <f>DATE(2010,5,10) + TIME(18,43,19)</f>
        <v>40308.780081018522</v>
      </c>
      <c r="C96">
        <v>550</v>
      </c>
      <c r="D96">
        <v>0</v>
      </c>
      <c r="E96">
        <v>0</v>
      </c>
      <c r="F96">
        <v>550</v>
      </c>
      <c r="G96">
        <v>1348.9562988</v>
      </c>
      <c r="H96">
        <v>1344.4663086</v>
      </c>
      <c r="I96">
        <v>1314.3424072</v>
      </c>
      <c r="J96">
        <v>1305.1965332</v>
      </c>
      <c r="K96">
        <v>80</v>
      </c>
      <c r="L96">
        <v>77.343193053999997</v>
      </c>
      <c r="M96">
        <v>60</v>
      </c>
      <c r="N96">
        <v>14.999048233</v>
      </c>
    </row>
    <row r="97" spans="1:14" x14ac:dyDescent="0.25">
      <c r="A97">
        <v>10.033377</v>
      </c>
      <c r="B97" s="1">
        <f>DATE(2010,5,11) + TIME(0,48,3)</f>
        <v>40309.033368055556</v>
      </c>
      <c r="C97">
        <v>550</v>
      </c>
      <c r="D97">
        <v>0</v>
      </c>
      <c r="E97">
        <v>0</v>
      </c>
      <c r="F97">
        <v>550</v>
      </c>
      <c r="G97">
        <v>1348.9475098</v>
      </c>
      <c r="H97">
        <v>1344.4556885</v>
      </c>
      <c r="I97">
        <v>1314.3452147999999</v>
      </c>
      <c r="J97">
        <v>1305.1979980000001</v>
      </c>
      <c r="K97">
        <v>80</v>
      </c>
      <c r="L97">
        <v>77.553977966000005</v>
      </c>
      <c r="M97">
        <v>60</v>
      </c>
      <c r="N97">
        <v>14.999054909</v>
      </c>
    </row>
    <row r="98" spans="1:14" x14ac:dyDescent="0.25">
      <c r="A98">
        <v>10.29396</v>
      </c>
      <c r="B98" s="1">
        <f>DATE(2010,5,11) + TIME(7,3,18)</f>
        <v>40309.293958333335</v>
      </c>
      <c r="C98">
        <v>550</v>
      </c>
      <c r="D98">
        <v>0</v>
      </c>
      <c r="E98">
        <v>0</v>
      </c>
      <c r="F98">
        <v>550</v>
      </c>
      <c r="G98">
        <v>1348.9377440999999</v>
      </c>
      <c r="H98">
        <v>1344.4438477000001</v>
      </c>
      <c r="I98">
        <v>1314.3481445</v>
      </c>
      <c r="J98">
        <v>1305.1995850000001</v>
      </c>
      <c r="K98">
        <v>80</v>
      </c>
      <c r="L98">
        <v>77.750373839999995</v>
      </c>
      <c r="M98">
        <v>60</v>
      </c>
      <c r="N98">
        <v>14.999062538</v>
      </c>
    </row>
    <row r="99" spans="1:14" x14ac:dyDescent="0.25">
      <c r="A99">
        <v>10.562512999999999</v>
      </c>
      <c r="B99" s="1">
        <f>DATE(2010,5,11) + TIME(13,30,1)</f>
        <v>40309.562511574077</v>
      </c>
      <c r="C99">
        <v>550</v>
      </c>
      <c r="D99">
        <v>0</v>
      </c>
      <c r="E99">
        <v>0</v>
      </c>
      <c r="F99">
        <v>550</v>
      </c>
      <c r="G99">
        <v>1348.9267577999999</v>
      </c>
      <c r="H99">
        <v>1344.4306641000001</v>
      </c>
      <c r="I99">
        <v>1314.3510742000001</v>
      </c>
      <c r="J99">
        <v>1305.2010498</v>
      </c>
      <c r="K99">
        <v>80</v>
      </c>
      <c r="L99">
        <v>77.933105468999997</v>
      </c>
      <c r="M99">
        <v>60</v>
      </c>
      <c r="N99">
        <v>14.999069214</v>
      </c>
    </row>
    <row r="100" spans="1:14" x14ac:dyDescent="0.25">
      <c r="A100">
        <v>10.839808</v>
      </c>
      <c r="B100" s="1">
        <f>DATE(2010,5,11) + TIME(20,9,19)</f>
        <v>40309.839803240742</v>
      </c>
      <c r="C100">
        <v>550</v>
      </c>
      <c r="D100">
        <v>0</v>
      </c>
      <c r="E100">
        <v>0</v>
      </c>
      <c r="F100">
        <v>550</v>
      </c>
      <c r="G100">
        <v>1348.9145507999999</v>
      </c>
      <c r="H100">
        <v>1344.4161377</v>
      </c>
      <c r="I100">
        <v>1314.3540039</v>
      </c>
      <c r="J100">
        <v>1305.2027588000001</v>
      </c>
      <c r="K100">
        <v>80</v>
      </c>
      <c r="L100">
        <v>78.102882385000001</v>
      </c>
      <c r="M100">
        <v>60</v>
      </c>
      <c r="N100">
        <v>14.99907589</v>
      </c>
    </row>
    <row r="101" spans="1:14" x14ac:dyDescent="0.25">
      <c r="A101">
        <v>11.125356999999999</v>
      </c>
      <c r="B101" s="1">
        <f>DATE(2010,5,12) + TIME(3,0,30)</f>
        <v>40310.125347222223</v>
      </c>
      <c r="C101">
        <v>550</v>
      </c>
      <c r="D101">
        <v>0</v>
      </c>
      <c r="E101">
        <v>0</v>
      </c>
      <c r="F101">
        <v>550</v>
      </c>
      <c r="G101">
        <v>1348.9012451000001</v>
      </c>
      <c r="H101">
        <v>1344.4001464999999</v>
      </c>
      <c r="I101">
        <v>1314.3569336</v>
      </c>
      <c r="J101">
        <v>1305.2044678</v>
      </c>
      <c r="K101">
        <v>80</v>
      </c>
      <c r="L101">
        <v>78.259704589999998</v>
      </c>
      <c r="M101">
        <v>60</v>
      </c>
      <c r="N101">
        <v>14.999082565</v>
      </c>
    </row>
    <row r="102" spans="1:14" x14ac:dyDescent="0.25">
      <c r="A102">
        <v>11.419953</v>
      </c>
      <c r="B102" s="1">
        <f>DATE(2010,5,12) + TIME(10,4,43)</f>
        <v>40310.419942129629</v>
      </c>
      <c r="C102">
        <v>550</v>
      </c>
      <c r="D102">
        <v>0</v>
      </c>
      <c r="E102">
        <v>0</v>
      </c>
      <c r="F102">
        <v>550</v>
      </c>
      <c r="G102">
        <v>1348.8865966999999</v>
      </c>
      <c r="H102">
        <v>1344.3830565999999</v>
      </c>
      <c r="I102">
        <v>1314.3598632999999</v>
      </c>
      <c r="J102">
        <v>1305.2061768000001</v>
      </c>
      <c r="K102">
        <v>80</v>
      </c>
      <c r="L102">
        <v>78.404342650999993</v>
      </c>
      <c r="M102">
        <v>60</v>
      </c>
      <c r="N102">
        <v>14.999090195000001</v>
      </c>
    </row>
    <row r="103" spans="1:14" x14ac:dyDescent="0.25">
      <c r="A103">
        <v>11.723777999999999</v>
      </c>
      <c r="B103" s="1">
        <f>DATE(2010,5,12) + TIME(17,22,14)</f>
        <v>40310.723773148151</v>
      </c>
      <c r="C103">
        <v>550</v>
      </c>
      <c r="D103">
        <v>0</v>
      </c>
      <c r="E103">
        <v>0</v>
      </c>
      <c r="F103">
        <v>550</v>
      </c>
      <c r="G103">
        <v>1348.8708495999999</v>
      </c>
      <c r="H103">
        <v>1344.3645019999999</v>
      </c>
      <c r="I103">
        <v>1314.3629149999999</v>
      </c>
      <c r="J103">
        <v>1305.2078856999999</v>
      </c>
      <c r="K103">
        <v>80</v>
      </c>
      <c r="L103">
        <v>78.537254333000007</v>
      </c>
      <c r="M103">
        <v>60</v>
      </c>
      <c r="N103">
        <v>14.999096870000001</v>
      </c>
    </row>
    <row r="104" spans="1:14" x14ac:dyDescent="0.25">
      <c r="A104">
        <v>12.036688</v>
      </c>
      <c r="B104" s="1">
        <f>DATE(2010,5,13) + TIME(0,52,49)</f>
        <v>40311.036678240744</v>
      </c>
      <c r="C104">
        <v>550</v>
      </c>
      <c r="D104">
        <v>0</v>
      </c>
      <c r="E104">
        <v>0</v>
      </c>
      <c r="F104">
        <v>550</v>
      </c>
      <c r="G104">
        <v>1348.8538818</v>
      </c>
      <c r="H104">
        <v>1344.3447266000001</v>
      </c>
      <c r="I104">
        <v>1314.3659668</v>
      </c>
      <c r="J104">
        <v>1305.2097168</v>
      </c>
      <c r="K104">
        <v>80</v>
      </c>
      <c r="L104">
        <v>78.658836364999999</v>
      </c>
      <c r="M104">
        <v>60</v>
      </c>
      <c r="N104">
        <v>14.999103546000001</v>
      </c>
    </row>
    <row r="105" spans="1:14" x14ac:dyDescent="0.25">
      <c r="A105">
        <v>12.359514000000001</v>
      </c>
      <c r="B105" s="1">
        <f>DATE(2010,5,13) + TIME(8,37,42)</f>
        <v>40311.359513888892</v>
      </c>
      <c r="C105">
        <v>550</v>
      </c>
      <c r="D105">
        <v>0</v>
      </c>
      <c r="E105">
        <v>0</v>
      </c>
      <c r="F105">
        <v>550</v>
      </c>
      <c r="G105">
        <v>1348.8358154</v>
      </c>
      <c r="H105">
        <v>1344.3237305</v>
      </c>
      <c r="I105">
        <v>1314.3691406</v>
      </c>
      <c r="J105">
        <v>1305.2115478999999</v>
      </c>
      <c r="K105">
        <v>80</v>
      </c>
      <c r="L105">
        <v>78.769859314000001</v>
      </c>
      <c r="M105">
        <v>60</v>
      </c>
      <c r="N105">
        <v>14.999111176</v>
      </c>
    </row>
    <row r="106" spans="1:14" x14ac:dyDescent="0.25">
      <c r="A106">
        <v>12.693165</v>
      </c>
      <c r="B106" s="1">
        <f>DATE(2010,5,13) + TIME(16,38,9)</f>
        <v>40311.693159722221</v>
      </c>
      <c r="C106">
        <v>550</v>
      </c>
      <c r="D106">
        <v>0</v>
      </c>
      <c r="E106">
        <v>0</v>
      </c>
      <c r="F106">
        <v>550</v>
      </c>
      <c r="G106">
        <v>1348.8164062000001</v>
      </c>
      <c r="H106">
        <v>1344.3015137</v>
      </c>
      <c r="I106">
        <v>1314.3723144999999</v>
      </c>
      <c r="J106">
        <v>1305.213501</v>
      </c>
      <c r="K106">
        <v>80</v>
      </c>
      <c r="L106">
        <v>78.871063231999997</v>
      </c>
      <c r="M106">
        <v>60</v>
      </c>
      <c r="N106">
        <v>14.999117850999999</v>
      </c>
    </row>
    <row r="107" spans="1:14" x14ac:dyDescent="0.25">
      <c r="A107">
        <v>13.038655</v>
      </c>
      <c r="B107" s="1">
        <f>DATE(2010,5,14) + TIME(0,55,39)</f>
        <v>40312.038645833331</v>
      </c>
      <c r="C107">
        <v>550</v>
      </c>
      <c r="D107">
        <v>0</v>
      </c>
      <c r="E107">
        <v>0</v>
      </c>
      <c r="F107">
        <v>550</v>
      </c>
      <c r="G107">
        <v>1348.7958983999999</v>
      </c>
      <c r="H107">
        <v>1344.2780762</v>
      </c>
      <c r="I107">
        <v>1314.3754882999999</v>
      </c>
      <c r="J107">
        <v>1305.2155762</v>
      </c>
      <c r="K107">
        <v>80</v>
      </c>
      <c r="L107">
        <v>78.963127135999997</v>
      </c>
      <c r="M107">
        <v>60</v>
      </c>
      <c r="N107">
        <v>14.999125481</v>
      </c>
    </row>
    <row r="108" spans="1:14" x14ac:dyDescent="0.25">
      <c r="A108">
        <v>13.397122</v>
      </c>
      <c r="B108" s="1">
        <f>DATE(2010,5,14) + TIME(9,31,51)</f>
        <v>40312.397118055553</v>
      </c>
      <c r="C108">
        <v>550</v>
      </c>
      <c r="D108">
        <v>0</v>
      </c>
      <c r="E108">
        <v>0</v>
      </c>
      <c r="F108">
        <v>550</v>
      </c>
      <c r="G108">
        <v>1348.7740478999999</v>
      </c>
      <c r="H108">
        <v>1344.253418</v>
      </c>
      <c r="I108">
        <v>1314.3787841999999</v>
      </c>
      <c r="J108">
        <v>1305.2175293</v>
      </c>
      <c r="K108">
        <v>80</v>
      </c>
      <c r="L108">
        <v>79.046707153</v>
      </c>
      <c r="M108">
        <v>60</v>
      </c>
      <c r="N108">
        <v>14.999132156</v>
      </c>
    </row>
    <row r="109" spans="1:14" x14ac:dyDescent="0.25">
      <c r="A109">
        <v>13.580059</v>
      </c>
      <c r="B109" s="1">
        <f>DATE(2010,5,14) + TIME(13,55,17)</f>
        <v>40312.580057870371</v>
      </c>
      <c r="C109">
        <v>550</v>
      </c>
      <c r="D109">
        <v>0</v>
      </c>
      <c r="E109">
        <v>0</v>
      </c>
      <c r="F109">
        <v>550</v>
      </c>
      <c r="G109">
        <v>1348.7543945</v>
      </c>
      <c r="H109">
        <v>1344.2276611</v>
      </c>
      <c r="I109">
        <v>1314.3819579999999</v>
      </c>
      <c r="J109">
        <v>1305.2196045000001</v>
      </c>
      <c r="K109">
        <v>80</v>
      </c>
      <c r="L109">
        <v>79.086517334000007</v>
      </c>
      <c r="M109">
        <v>60</v>
      </c>
      <c r="N109">
        <v>14.999135970999999</v>
      </c>
    </row>
    <row r="110" spans="1:14" x14ac:dyDescent="0.25">
      <c r="A110">
        <v>13.762995999999999</v>
      </c>
      <c r="B110" s="1">
        <f>DATE(2010,5,14) + TIME(18,18,42)</f>
        <v>40312.762986111113</v>
      </c>
      <c r="C110">
        <v>550</v>
      </c>
      <c r="D110">
        <v>0</v>
      </c>
      <c r="E110">
        <v>0</v>
      </c>
      <c r="F110">
        <v>550</v>
      </c>
      <c r="G110">
        <v>1348.7424315999999</v>
      </c>
      <c r="H110">
        <v>1344.2144774999999</v>
      </c>
      <c r="I110">
        <v>1314.3836670000001</v>
      </c>
      <c r="J110">
        <v>1305.2207031</v>
      </c>
      <c r="K110">
        <v>80</v>
      </c>
      <c r="L110">
        <v>79.123634338000002</v>
      </c>
      <c r="M110">
        <v>60</v>
      </c>
      <c r="N110">
        <v>14.999139786000001</v>
      </c>
    </row>
    <row r="111" spans="1:14" x14ac:dyDescent="0.25">
      <c r="A111">
        <v>13.945933</v>
      </c>
      <c r="B111" s="1">
        <f>DATE(2010,5,14) + TIME(22,42,8)</f>
        <v>40312.945925925924</v>
      </c>
      <c r="C111">
        <v>550</v>
      </c>
      <c r="D111">
        <v>0</v>
      </c>
      <c r="E111">
        <v>0</v>
      </c>
      <c r="F111">
        <v>550</v>
      </c>
      <c r="G111">
        <v>1348.7304687999999</v>
      </c>
      <c r="H111">
        <v>1344.2011719</v>
      </c>
      <c r="I111">
        <v>1314.385376</v>
      </c>
      <c r="J111">
        <v>1305.2216797000001</v>
      </c>
      <c r="K111">
        <v>80</v>
      </c>
      <c r="L111">
        <v>79.158226013000004</v>
      </c>
      <c r="M111">
        <v>60</v>
      </c>
      <c r="N111">
        <v>14.9991436</v>
      </c>
    </row>
    <row r="112" spans="1:14" x14ac:dyDescent="0.25">
      <c r="A112">
        <v>14.311807</v>
      </c>
      <c r="B112" s="1">
        <f>DATE(2010,5,15) + TIME(7,29,0)</f>
        <v>40313.311805555553</v>
      </c>
      <c r="C112">
        <v>550</v>
      </c>
      <c r="D112">
        <v>0</v>
      </c>
      <c r="E112">
        <v>0</v>
      </c>
      <c r="F112">
        <v>550</v>
      </c>
      <c r="G112">
        <v>1348.7156981999999</v>
      </c>
      <c r="H112">
        <v>1344.1878661999999</v>
      </c>
      <c r="I112">
        <v>1314.3870850000001</v>
      </c>
      <c r="J112">
        <v>1305.2229004000001</v>
      </c>
      <c r="K112">
        <v>80</v>
      </c>
      <c r="L112">
        <v>79.218612671000002</v>
      </c>
      <c r="M112">
        <v>60</v>
      </c>
      <c r="N112">
        <v>14.999150276</v>
      </c>
    </row>
    <row r="113" spans="1:14" x14ac:dyDescent="0.25">
      <c r="A113">
        <v>14.677788</v>
      </c>
      <c r="B113" s="1">
        <f>DATE(2010,5,15) + TIME(16,16,0)</f>
        <v>40313.677777777775</v>
      </c>
      <c r="C113">
        <v>550</v>
      </c>
      <c r="D113">
        <v>0</v>
      </c>
      <c r="E113">
        <v>0</v>
      </c>
      <c r="F113">
        <v>550</v>
      </c>
      <c r="G113">
        <v>1348.6915283000001</v>
      </c>
      <c r="H113">
        <v>1344.1610106999999</v>
      </c>
      <c r="I113">
        <v>1314.3903809000001</v>
      </c>
      <c r="J113">
        <v>1305.2250977000001</v>
      </c>
      <c r="K113">
        <v>80</v>
      </c>
      <c r="L113">
        <v>79.271446228000002</v>
      </c>
      <c r="M113">
        <v>60</v>
      </c>
      <c r="N113">
        <v>14.999156952</v>
      </c>
    </row>
    <row r="114" spans="1:14" x14ac:dyDescent="0.25">
      <c r="A114">
        <v>15.044969</v>
      </c>
      <c r="B114" s="1">
        <f>DATE(2010,5,16) + TIME(1,4,45)</f>
        <v>40314.044965277775</v>
      </c>
      <c r="C114">
        <v>550</v>
      </c>
      <c r="D114">
        <v>0</v>
      </c>
      <c r="E114">
        <v>0</v>
      </c>
      <c r="F114">
        <v>550</v>
      </c>
      <c r="G114">
        <v>1348.6671143000001</v>
      </c>
      <c r="H114">
        <v>1344.1340332</v>
      </c>
      <c r="I114">
        <v>1314.3936768000001</v>
      </c>
      <c r="J114">
        <v>1305.2272949000001</v>
      </c>
      <c r="K114">
        <v>80</v>
      </c>
      <c r="L114">
        <v>79.317848205999994</v>
      </c>
      <c r="M114">
        <v>60</v>
      </c>
      <c r="N114">
        <v>14.999163628</v>
      </c>
    </row>
    <row r="115" spans="1:14" x14ac:dyDescent="0.25">
      <c r="A115">
        <v>15.413969</v>
      </c>
      <c r="B115" s="1">
        <f>DATE(2010,5,16) + TIME(9,56,6)</f>
        <v>40314.413958333331</v>
      </c>
      <c r="C115">
        <v>550</v>
      </c>
      <c r="D115">
        <v>0</v>
      </c>
      <c r="E115">
        <v>0</v>
      </c>
      <c r="F115">
        <v>550</v>
      </c>
      <c r="G115">
        <v>1348.6423339999999</v>
      </c>
      <c r="H115">
        <v>1344.1070557</v>
      </c>
      <c r="I115">
        <v>1314.3968506000001</v>
      </c>
      <c r="J115">
        <v>1305.2294922000001</v>
      </c>
      <c r="K115">
        <v>80</v>
      </c>
      <c r="L115">
        <v>79.358680724999999</v>
      </c>
      <c r="M115">
        <v>60</v>
      </c>
      <c r="N115">
        <v>14.999169350000001</v>
      </c>
    </row>
    <row r="116" spans="1:14" x14ac:dyDescent="0.25">
      <c r="A116">
        <v>15.785354999999999</v>
      </c>
      <c r="B116" s="1">
        <f>DATE(2010,5,16) + TIME(18,50,54)</f>
        <v>40314.78534722222</v>
      </c>
      <c r="C116">
        <v>550</v>
      </c>
      <c r="D116">
        <v>0</v>
      </c>
      <c r="E116">
        <v>0</v>
      </c>
      <c r="F116">
        <v>550</v>
      </c>
      <c r="G116">
        <v>1348.6174315999999</v>
      </c>
      <c r="H116">
        <v>1344.0798339999999</v>
      </c>
      <c r="I116">
        <v>1314.4001464999999</v>
      </c>
      <c r="J116">
        <v>1305.2315673999999</v>
      </c>
      <c r="K116">
        <v>80</v>
      </c>
      <c r="L116">
        <v>79.394676208000007</v>
      </c>
      <c r="M116">
        <v>60</v>
      </c>
      <c r="N116">
        <v>14.999176025000001</v>
      </c>
    </row>
    <row r="117" spans="1:14" x14ac:dyDescent="0.25">
      <c r="A117">
        <v>16.159708999999999</v>
      </c>
      <c r="B117" s="1">
        <f>DATE(2010,5,17) + TIME(3,49,58)</f>
        <v>40315.159699074073</v>
      </c>
      <c r="C117">
        <v>550</v>
      </c>
      <c r="D117">
        <v>0</v>
      </c>
      <c r="E117">
        <v>0</v>
      </c>
      <c r="F117">
        <v>550</v>
      </c>
      <c r="G117">
        <v>1348.5922852000001</v>
      </c>
      <c r="H117">
        <v>1344.0527344</v>
      </c>
      <c r="I117">
        <v>1314.4033202999999</v>
      </c>
      <c r="J117">
        <v>1305.2337646000001</v>
      </c>
      <c r="K117">
        <v>80</v>
      </c>
      <c r="L117">
        <v>79.426467896000005</v>
      </c>
      <c r="M117">
        <v>60</v>
      </c>
      <c r="N117">
        <v>14.999182701000001</v>
      </c>
    </row>
    <row r="118" spans="1:14" x14ac:dyDescent="0.25">
      <c r="A118">
        <v>16.537665000000001</v>
      </c>
      <c r="B118" s="1">
        <f>DATE(2010,5,17) + TIME(12,54,14)</f>
        <v>40315.537662037037</v>
      </c>
      <c r="C118">
        <v>550</v>
      </c>
      <c r="D118">
        <v>0</v>
      </c>
      <c r="E118">
        <v>0</v>
      </c>
      <c r="F118">
        <v>550</v>
      </c>
      <c r="G118">
        <v>1348.5668945</v>
      </c>
      <c r="H118">
        <v>1344.0255127</v>
      </c>
      <c r="I118">
        <v>1314.4064940999999</v>
      </c>
      <c r="J118">
        <v>1305.2359618999999</v>
      </c>
      <c r="K118">
        <v>80</v>
      </c>
      <c r="L118">
        <v>79.454597473000007</v>
      </c>
      <c r="M118">
        <v>60</v>
      </c>
      <c r="N118">
        <v>14.999188423</v>
      </c>
    </row>
    <row r="119" spans="1:14" x14ac:dyDescent="0.25">
      <c r="A119">
        <v>16.919816999999998</v>
      </c>
      <c r="B119" s="1">
        <f>DATE(2010,5,17) + TIME(22,4,32)</f>
        <v>40315.919814814813</v>
      </c>
      <c r="C119">
        <v>550</v>
      </c>
      <c r="D119">
        <v>0</v>
      </c>
      <c r="E119">
        <v>0</v>
      </c>
      <c r="F119">
        <v>550</v>
      </c>
      <c r="G119">
        <v>1348.5412598</v>
      </c>
      <c r="H119">
        <v>1343.9981689000001</v>
      </c>
      <c r="I119">
        <v>1314.409668</v>
      </c>
      <c r="J119">
        <v>1305.2382812000001</v>
      </c>
      <c r="K119">
        <v>80</v>
      </c>
      <c r="L119">
        <v>79.479530334000003</v>
      </c>
      <c r="M119">
        <v>60</v>
      </c>
      <c r="N119">
        <v>14.999195099</v>
      </c>
    </row>
    <row r="120" spans="1:14" x14ac:dyDescent="0.25">
      <c r="A120">
        <v>17.306771999999999</v>
      </c>
      <c r="B120" s="1">
        <f>DATE(2010,5,18) + TIME(7,21,45)</f>
        <v>40316.306770833333</v>
      </c>
      <c r="C120">
        <v>550</v>
      </c>
      <c r="D120">
        <v>0</v>
      </c>
      <c r="E120">
        <v>0</v>
      </c>
      <c r="F120">
        <v>550</v>
      </c>
      <c r="G120">
        <v>1348.5155029</v>
      </c>
      <c r="H120">
        <v>1343.9707031</v>
      </c>
      <c r="I120">
        <v>1314.4129639</v>
      </c>
      <c r="J120">
        <v>1305.2404785000001</v>
      </c>
      <c r="K120">
        <v>80</v>
      </c>
      <c r="L120">
        <v>79.501663207999997</v>
      </c>
      <c r="M120">
        <v>60</v>
      </c>
      <c r="N120">
        <v>14.999200821000001</v>
      </c>
    </row>
    <row r="121" spans="1:14" x14ac:dyDescent="0.25">
      <c r="A121">
        <v>17.699152999999999</v>
      </c>
      <c r="B121" s="1">
        <f>DATE(2010,5,18) + TIME(16,46,46)</f>
        <v>40316.699143518519</v>
      </c>
      <c r="C121">
        <v>550</v>
      </c>
      <c r="D121">
        <v>0</v>
      </c>
      <c r="E121">
        <v>0</v>
      </c>
      <c r="F121">
        <v>550</v>
      </c>
      <c r="G121">
        <v>1348.4895019999999</v>
      </c>
      <c r="H121">
        <v>1343.9432373</v>
      </c>
      <c r="I121">
        <v>1314.4162598</v>
      </c>
      <c r="J121">
        <v>1305.2427978999999</v>
      </c>
      <c r="K121">
        <v>80</v>
      </c>
      <c r="L121">
        <v>79.521339416999993</v>
      </c>
      <c r="M121">
        <v>60</v>
      </c>
      <c r="N121">
        <v>14.999206543</v>
      </c>
    </row>
    <row r="122" spans="1:14" x14ac:dyDescent="0.25">
      <c r="A122">
        <v>18.097607</v>
      </c>
      <c r="B122" s="1">
        <f>DATE(2010,5,19) + TIME(2,20,33)</f>
        <v>40317.097604166665</v>
      </c>
      <c r="C122">
        <v>550</v>
      </c>
      <c r="D122">
        <v>0</v>
      </c>
      <c r="E122">
        <v>0</v>
      </c>
      <c r="F122">
        <v>550</v>
      </c>
      <c r="G122">
        <v>1348.4632568</v>
      </c>
      <c r="H122">
        <v>1343.9156493999999</v>
      </c>
      <c r="I122">
        <v>1314.4194336</v>
      </c>
      <c r="J122">
        <v>1305.2451172000001</v>
      </c>
      <c r="K122">
        <v>80</v>
      </c>
      <c r="L122">
        <v>79.538864136000001</v>
      </c>
      <c r="M122">
        <v>60</v>
      </c>
      <c r="N122">
        <v>14.999213219</v>
      </c>
    </row>
    <row r="123" spans="1:14" x14ac:dyDescent="0.25">
      <c r="A123">
        <v>18.502813</v>
      </c>
      <c r="B123" s="1">
        <f>DATE(2010,5,19) + TIME(12,4,3)</f>
        <v>40317.502812500003</v>
      </c>
      <c r="C123">
        <v>550</v>
      </c>
      <c r="D123">
        <v>0</v>
      </c>
      <c r="E123">
        <v>0</v>
      </c>
      <c r="F123">
        <v>550</v>
      </c>
      <c r="G123">
        <v>1348.4367675999999</v>
      </c>
      <c r="H123">
        <v>1343.8879394999999</v>
      </c>
      <c r="I123">
        <v>1314.4228516000001</v>
      </c>
      <c r="J123">
        <v>1305.2474365</v>
      </c>
      <c r="K123">
        <v>80</v>
      </c>
      <c r="L123">
        <v>79.554496764999996</v>
      </c>
      <c r="M123">
        <v>60</v>
      </c>
      <c r="N123">
        <v>14.999218941000001</v>
      </c>
    </row>
    <row r="124" spans="1:14" x14ac:dyDescent="0.25">
      <c r="A124">
        <v>18.915486999999999</v>
      </c>
      <c r="B124" s="1">
        <f>DATE(2010,5,19) + TIME(21,58,18)</f>
        <v>40317.915486111109</v>
      </c>
      <c r="C124">
        <v>550</v>
      </c>
      <c r="D124">
        <v>0</v>
      </c>
      <c r="E124">
        <v>0</v>
      </c>
      <c r="F124">
        <v>550</v>
      </c>
      <c r="G124">
        <v>1348.4100341999999</v>
      </c>
      <c r="H124">
        <v>1343.8601074000001</v>
      </c>
      <c r="I124">
        <v>1314.4261475000001</v>
      </c>
      <c r="J124">
        <v>1305.2497559000001</v>
      </c>
      <c r="K124">
        <v>80</v>
      </c>
      <c r="L124">
        <v>79.568466186999999</v>
      </c>
      <c r="M124">
        <v>60</v>
      </c>
      <c r="N124">
        <v>14.999224663</v>
      </c>
    </row>
    <row r="125" spans="1:14" x14ac:dyDescent="0.25">
      <c r="A125">
        <v>19.336393999999999</v>
      </c>
      <c r="B125" s="1">
        <f>DATE(2010,5,20) + TIME(8,4,24)</f>
        <v>40318.336388888885</v>
      </c>
      <c r="C125">
        <v>550</v>
      </c>
      <c r="D125">
        <v>0</v>
      </c>
      <c r="E125">
        <v>0</v>
      </c>
      <c r="F125">
        <v>550</v>
      </c>
      <c r="G125">
        <v>1348.3830565999999</v>
      </c>
      <c r="H125">
        <v>1343.8320312000001</v>
      </c>
      <c r="I125">
        <v>1314.4295654</v>
      </c>
      <c r="J125">
        <v>1305.2521973</v>
      </c>
      <c r="K125">
        <v>80</v>
      </c>
      <c r="L125">
        <v>79.580970764</v>
      </c>
      <c r="M125">
        <v>60</v>
      </c>
      <c r="N125">
        <v>14.999231339</v>
      </c>
    </row>
    <row r="126" spans="1:14" x14ac:dyDescent="0.25">
      <c r="A126">
        <v>19.766413</v>
      </c>
      <c r="B126" s="1">
        <f>DATE(2010,5,20) + TIME(18,23,38)</f>
        <v>40318.766412037039</v>
      </c>
      <c r="C126">
        <v>550</v>
      </c>
      <c r="D126">
        <v>0</v>
      </c>
      <c r="E126">
        <v>0</v>
      </c>
      <c r="F126">
        <v>550</v>
      </c>
      <c r="G126">
        <v>1348.3558350000001</v>
      </c>
      <c r="H126">
        <v>1343.8039550999999</v>
      </c>
      <c r="I126">
        <v>1314.4329834</v>
      </c>
      <c r="J126">
        <v>1305.2547606999999</v>
      </c>
      <c r="K126">
        <v>80</v>
      </c>
      <c r="L126">
        <v>79.592178344999994</v>
      </c>
      <c r="M126">
        <v>60</v>
      </c>
      <c r="N126">
        <v>14.999237061000001</v>
      </c>
    </row>
    <row r="127" spans="1:14" x14ac:dyDescent="0.25">
      <c r="A127">
        <v>20.206513999999999</v>
      </c>
      <c r="B127" s="1">
        <f>DATE(2010,5,21) + TIME(4,57,22)</f>
        <v>40319.206504629627</v>
      </c>
      <c r="C127">
        <v>550</v>
      </c>
      <c r="D127">
        <v>0</v>
      </c>
      <c r="E127">
        <v>0</v>
      </c>
      <c r="F127">
        <v>550</v>
      </c>
      <c r="G127">
        <v>1348.3282471</v>
      </c>
      <c r="H127">
        <v>1343.7755127</v>
      </c>
      <c r="I127">
        <v>1314.4365233999999</v>
      </c>
      <c r="J127">
        <v>1305.2573242000001</v>
      </c>
      <c r="K127">
        <v>80</v>
      </c>
      <c r="L127">
        <v>79.602249146000005</v>
      </c>
      <c r="M127">
        <v>60</v>
      </c>
      <c r="N127">
        <v>14.999242783</v>
      </c>
    </row>
    <row r="128" spans="1:14" x14ac:dyDescent="0.25">
      <c r="A128">
        <v>20.654343000000001</v>
      </c>
      <c r="B128" s="1">
        <f>DATE(2010,5,21) + TIME(15,42,15)</f>
        <v>40319.654340277775</v>
      </c>
      <c r="C128">
        <v>550</v>
      </c>
      <c r="D128">
        <v>0</v>
      </c>
      <c r="E128">
        <v>0</v>
      </c>
      <c r="F128">
        <v>550</v>
      </c>
      <c r="G128">
        <v>1348.300293</v>
      </c>
      <c r="H128">
        <v>1343.7469481999999</v>
      </c>
      <c r="I128">
        <v>1314.4400635</v>
      </c>
      <c r="J128">
        <v>1305.2598877</v>
      </c>
      <c r="K128">
        <v>80</v>
      </c>
      <c r="L128">
        <v>79.611259459999999</v>
      </c>
      <c r="M128">
        <v>60</v>
      </c>
      <c r="N128">
        <v>14.999249458</v>
      </c>
    </row>
    <row r="129" spans="1:14" x14ac:dyDescent="0.25">
      <c r="A129">
        <v>21.110742999999999</v>
      </c>
      <c r="B129" s="1">
        <f>DATE(2010,5,22) + TIME(2,39,28)</f>
        <v>40320.11074074074</v>
      </c>
      <c r="C129">
        <v>550</v>
      </c>
      <c r="D129">
        <v>0</v>
      </c>
      <c r="E129">
        <v>0</v>
      </c>
      <c r="F129">
        <v>550</v>
      </c>
      <c r="G129">
        <v>1348.2722168</v>
      </c>
      <c r="H129">
        <v>1343.7182617000001</v>
      </c>
      <c r="I129">
        <v>1314.4437256000001</v>
      </c>
      <c r="J129">
        <v>1305.2625731999999</v>
      </c>
      <c r="K129">
        <v>80</v>
      </c>
      <c r="L129">
        <v>79.619338988999999</v>
      </c>
      <c r="M129">
        <v>60</v>
      </c>
      <c r="N129">
        <v>14.99925518</v>
      </c>
    </row>
    <row r="130" spans="1:14" x14ac:dyDescent="0.25">
      <c r="A130">
        <v>21.576588999999998</v>
      </c>
      <c r="B130" s="1">
        <f>DATE(2010,5,22) + TIME(13,50,17)</f>
        <v>40320.576585648145</v>
      </c>
      <c r="C130">
        <v>550</v>
      </c>
      <c r="D130">
        <v>0</v>
      </c>
      <c r="E130">
        <v>0</v>
      </c>
      <c r="F130">
        <v>550</v>
      </c>
      <c r="G130">
        <v>1348.2438964999999</v>
      </c>
      <c r="H130">
        <v>1343.6894531</v>
      </c>
      <c r="I130">
        <v>1314.4475098</v>
      </c>
      <c r="J130">
        <v>1305.2652588000001</v>
      </c>
      <c r="K130">
        <v>80</v>
      </c>
      <c r="L130">
        <v>79.626609802000004</v>
      </c>
      <c r="M130">
        <v>60</v>
      </c>
      <c r="N130">
        <v>14.999260902</v>
      </c>
    </row>
    <row r="131" spans="1:14" x14ac:dyDescent="0.25">
      <c r="A131">
        <v>22.052636</v>
      </c>
      <c r="B131" s="1">
        <f>DATE(2010,5,23) + TIME(1,15,47)</f>
        <v>40321.052627314813</v>
      </c>
      <c r="C131">
        <v>550</v>
      </c>
      <c r="D131">
        <v>0</v>
      </c>
      <c r="E131">
        <v>0</v>
      </c>
      <c r="F131">
        <v>550</v>
      </c>
      <c r="G131">
        <v>1348.2154541</v>
      </c>
      <c r="H131">
        <v>1343.6605225000001</v>
      </c>
      <c r="I131">
        <v>1314.4512939000001</v>
      </c>
      <c r="J131">
        <v>1305.2679443</v>
      </c>
      <c r="K131">
        <v>80</v>
      </c>
      <c r="L131">
        <v>79.633163452000005</v>
      </c>
      <c r="M131">
        <v>60</v>
      </c>
      <c r="N131">
        <v>14.999267578</v>
      </c>
    </row>
    <row r="132" spans="1:14" x14ac:dyDescent="0.25">
      <c r="A132">
        <v>22.539791000000001</v>
      </c>
      <c r="B132" s="1">
        <f>DATE(2010,5,23) + TIME(12,57,17)</f>
        <v>40321.539780092593</v>
      </c>
      <c r="C132">
        <v>550</v>
      </c>
      <c r="D132">
        <v>0</v>
      </c>
      <c r="E132">
        <v>0</v>
      </c>
      <c r="F132">
        <v>550</v>
      </c>
      <c r="G132">
        <v>1348.1866454999999</v>
      </c>
      <c r="H132">
        <v>1343.6314697</v>
      </c>
      <c r="I132">
        <v>1314.4550781</v>
      </c>
      <c r="J132">
        <v>1305.2707519999999</v>
      </c>
      <c r="K132">
        <v>80</v>
      </c>
      <c r="L132">
        <v>79.639091492000006</v>
      </c>
      <c r="M132">
        <v>60</v>
      </c>
      <c r="N132">
        <v>14.9992733</v>
      </c>
    </row>
    <row r="133" spans="1:14" x14ac:dyDescent="0.25">
      <c r="A133">
        <v>23.039014999999999</v>
      </c>
      <c r="B133" s="1">
        <f>DATE(2010,5,24) + TIME(0,56,10)</f>
        <v>40322.039004629631</v>
      </c>
      <c r="C133">
        <v>550</v>
      </c>
      <c r="D133">
        <v>0</v>
      </c>
      <c r="E133">
        <v>0</v>
      </c>
      <c r="F133">
        <v>550</v>
      </c>
      <c r="G133">
        <v>1348.1577147999999</v>
      </c>
      <c r="H133">
        <v>1343.6022949000001</v>
      </c>
      <c r="I133">
        <v>1314.4589844</v>
      </c>
      <c r="J133">
        <v>1305.2736815999999</v>
      </c>
      <c r="K133">
        <v>80</v>
      </c>
      <c r="L133">
        <v>79.644462584999999</v>
      </c>
      <c r="M133">
        <v>60</v>
      </c>
      <c r="N133">
        <v>14.999279022</v>
      </c>
    </row>
    <row r="134" spans="1:14" x14ac:dyDescent="0.25">
      <c r="A134">
        <v>23.551431999999998</v>
      </c>
      <c r="B134" s="1">
        <f>DATE(2010,5,24) + TIME(13,14,3)</f>
        <v>40322.551423611112</v>
      </c>
      <c r="C134">
        <v>550</v>
      </c>
      <c r="D134">
        <v>0</v>
      </c>
      <c r="E134">
        <v>0</v>
      </c>
      <c r="F134">
        <v>550</v>
      </c>
      <c r="G134">
        <v>1348.128418</v>
      </c>
      <c r="H134">
        <v>1343.572876</v>
      </c>
      <c r="I134">
        <v>1314.4631348</v>
      </c>
      <c r="J134">
        <v>1305.2767334</v>
      </c>
      <c r="K134">
        <v>80</v>
      </c>
      <c r="L134">
        <v>79.649353027000004</v>
      </c>
      <c r="M134">
        <v>60</v>
      </c>
      <c r="N134">
        <v>14.999285698</v>
      </c>
    </row>
    <row r="135" spans="1:14" x14ac:dyDescent="0.25">
      <c r="A135">
        <v>24.078278000000001</v>
      </c>
      <c r="B135" s="1">
        <f>DATE(2010,5,25) + TIME(1,52,43)</f>
        <v>40323.078275462962</v>
      </c>
      <c r="C135">
        <v>550</v>
      </c>
      <c r="D135">
        <v>0</v>
      </c>
      <c r="E135">
        <v>0</v>
      </c>
      <c r="F135">
        <v>550</v>
      </c>
      <c r="G135">
        <v>1348.0987548999999</v>
      </c>
      <c r="H135">
        <v>1343.5433350000001</v>
      </c>
      <c r="I135">
        <v>1314.4671631000001</v>
      </c>
      <c r="J135">
        <v>1305.2797852000001</v>
      </c>
      <c r="K135">
        <v>80</v>
      </c>
      <c r="L135">
        <v>79.653808593999997</v>
      </c>
      <c r="M135">
        <v>60</v>
      </c>
      <c r="N135">
        <v>14.999292373999999</v>
      </c>
    </row>
    <row r="136" spans="1:14" x14ac:dyDescent="0.25">
      <c r="A136">
        <v>24.620923999999999</v>
      </c>
      <c r="B136" s="1">
        <f>DATE(2010,5,25) + TIME(14,54,7)</f>
        <v>40323.62091435185</v>
      </c>
      <c r="C136">
        <v>550</v>
      </c>
      <c r="D136">
        <v>0</v>
      </c>
      <c r="E136">
        <v>0</v>
      </c>
      <c r="F136">
        <v>550</v>
      </c>
      <c r="G136">
        <v>1348.0687256000001</v>
      </c>
      <c r="H136">
        <v>1343.5134277</v>
      </c>
      <c r="I136">
        <v>1314.4714355000001</v>
      </c>
      <c r="J136">
        <v>1305.2828368999999</v>
      </c>
      <c r="K136">
        <v>80</v>
      </c>
      <c r="L136">
        <v>79.657890320000007</v>
      </c>
      <c r="M136">
        <v>60</v>
      </c>
      <c r="N136">
        <v>14.999298096</v>
      </c>
    </row>
    <row r="137" spans="1:14" x14ac:dyDescent="0.25">
      <c r="A137">
        <v>25.173985999999999</v>
      </c>
      <c r="B137" s="1">
        <f>DATE(2010,5,26) + TIME(4,10,32)</f>
        <v>40324.173981481479</v>
      </c>
      <c r="C137">
        <v>550</v>
      </c>
      <c r="D137">
        <v>0</v>
      </c>
      <c r="E137">
        <v>0</v>
      </c>
      <c r="F137">
        <v>550</v>
      </c>
      <c r="G137">
        <v>1348.0383300999999</v>
      </c>
      <c r="H137">
        <v>1343.4831543</v>
      </c>
      <c r="I137">
        <v>1314.4758300999999</v>
      </c>
      <c r="J137">
        <v>1305.2861327999999</v>
      </c>
      <c r="K137">
        <v>80</v>
      </c>
      <c r="L137">
        <v>79.661598205999994</v>
      </c>
      <c r="M137">
        <v>60</v>
      </c>
      <c r="N137">
        <v>14.999304771</v>
      </c>
    </row>
    <row r="138" spans="1:14" x14ac:dyDescent="0.25">
      <c r="A138">
        <v>25.727499000000002</v>
      </c>
      <c r="B138" s="1">
        <f>DATE(2010,5,26) + TIME(17,27,35)</f>
        <v>40324.727488425924</v>
      </c>
      <c r="C138">
        <v>550</v>
      </c>
      <c r="D138">
        <v>0</v>
      </c>
      <c r="E138">
        <v>0</v>
      </c>
      <c r="F138">
        <v>550</v>
      </c>
      <c r="G138">
        <v>1348.0078125</v>
      </c>
      <c r="H138">
        <v>1343.4530029</v>
      </c>
      <c r="I138">
        <v>1314.4803466999999</v>
      </c>
      <c r="J138">
        <v>1305.2894286999999</v>
      </c>
      <c r="K138">
        <v>80</v>
      </c>
      <c r="L138">
        <v>79.664909363000007</v>
      </c>
      <c r="M138">
        <v>60</v>
      </c>
      <c r="N138">
        <v>14.999310492999999</v>
      </c>
    </row>
    <row r="139" spans="1:14" x14ac:dyDescent="0.25">
      <c r="A139">
        <v>26.282454999999999</v>
      </c>
      <c r="B139" s="1">
        <f>DATE(2010,5,27) + TIME(6,46,44)</f>
        <v>40325.282453703701</v>
      </c>
      <c r="C139">
        <v>550</v>
      </c>
      <c r="D139">
        <v>0</v>
      </c>
      <c r="E139">
        <v>0</v>
      </c>
      <c r="F139">
        <v>550</v>
      </c>
      <c r="G139">
        <v>1347.9777832</v>
      </c>
      <c r="H139">
        <v>1343.4233397999999</v>
      </c>
      <c r="I139">
        <v>1314.4847411999999</v>
      </c>
      <c r="J139">
        <v>1305.2927245999999</v>
      </c>
      <c r="K139">
        <v>80</v>
      </c>
      <c r="L139">
        <v>79.667900084999999</v>
      </c>
      <c r="M139">
        <v>60</v>
      </c>
      <c r="N139">
        <v>14.999317168999999</v>
      </c>
    </row>
    <row r="140" spans="1:14" x14ac:dyDescent="0.25">
      <c r="A140">
        <v>26.839807</v>
      </c>
      <c r="B140" s="1">
        <f>DATE(2010,5,27) + TIME(20,9,19)</f>
        <v>40325.839803240742</v>
      </c>
      <c r="C140">
        <v>550</v>
      </c>
      <c r="D140">
        <v>0</v>
      </c>
      <c r="E140">
        <v>0</v>
      </c>
      <c r="F140">
        <v>550</v>
      </c>
      <c r="G140">
        <v>1347.9482422000001</v>
      </c>
      <c r="H140">
        <v>1343.3941649999999</v>
      </c>
      <c r="I140">
        <v>1314.4892577999999</v>
      </c>
      <c r="J140">
        <v>1305.2960204999999</v>
      </c>
      <c r="K140">
        <v>80</v>
      </c>
      <c r="L140">
        <v>79.670600891000007</v>
      </c>
      <c r="M140">
        <v>60</v>
      </c>
      <c r="N140">
        <v>14.999322891</v>
      </c>
    </row>
    <row r="141" spans="1:14" x14ac:dyDescent="0.25">
      <c r="A141">
        <v>27.400435000000002</v>
      </c>
      <c r="B141" s="1">
        <f>DATE(2010,5,28) + TIME(9,36,37)</f>
        <v>40326.40042824074</v>
      </c>
      <c r="C141">
        <v>550</v>
      </c>
      <c r="D141">
        <v>0</v>
      </c>
      <c r="E141">
        <v>0</v>
      </c>
      <c r="F141">
        <v>550</v>
      </c>
      <c r="G141">
        <v>1347.9189452999999</v>
      </c>
      <c r="H141">
        <v>1343.3654785000001</v>
      </c>
      <c r="I141">
        <v>1314.4937743999999</v>
      </c>
      <c r="J141">
        <v>1305.2994385</v>
      </c>
      <c r="K141">
        <v>80</v>
      </c>
      <c r="L141">
        <v>79.673057556000003</v>
      </c>
      <c r="M141">
        <v>60</v>
      </c>
      <c r="N141">
        <v>14.999329567</v>
      </c>
    </row>
    <row r="142" spans="1:14" x14ac:dyDescent="0.25">
      <c r="A142">
        <v>27.96538</v>
      </c>
      <c r="B142" s="1">
        <f>DATE(2010,5,28) + TIME(23,10,8)</f>
        <v>40326.965370370373</v>
      </c>
      <c r="C142">
        <v>550</v>
      </c>
      <c r="D142">
        <v>0</v>
      </c>
      <c r="E142">
        <v>0</v>
      </c>
      <c r="F142">
        <v>550</v>
      </c>
      <c r="G142">
        <v>1347.8900146000001</v>
      </c>
      <c r="H142">
        <v>1343.3371582</v>
      </c>
      <c r="I142">
        <v>1314.4982910000001</v>
      </c>
      <c r="J142">
        <v>1305.3028564000001</v>
      </c>
      <c r="K142">
        <v>80</v>
      </c>
      <c r="L142">
        <v>79.675300598000007</v>
      </c>
      <c r="M142">
        <v>60</v>
      </c>
      <c r="N142">
        <v>14.999335288999999</v>
      </c>
    </row>
    <row r="143" spans="1:14" x14ac:dyDescent="0.25">
      <c r="A143">
        <v>28.535588000000001</v>
      </c>
      <c r="B143" s="1">
        <f>DATE(2010,5,29) + TIME(12,51,14)</f>
        <v>40327.535578703704</v>
      </c>
      <c r="C143">
        <v>550</v>
      </c>
      <c r="D143">
        <v>0</v>
      </c>
      <c r="E143">
        <v>0</v>
      </c>
      <c r="F143">
        <v>550</v>
      </c>
      <c r="G143">
        <v>1347.8613281</v>
      </c>
      <c r="H143">
        <v>1343.3092041</v>
      </c>
      <c r="I143">
        <v>1314.5028076000001</v>
      </c>
      <c r="J143">
        <v>1305.3062743999999</v>
      </c>
      <c r="K143">
        <v>80</v>
      </c>
      <c r="L143">
        <v>79.677368164000001</v>
      </c>
      <c r="M143">
        <v>60</v>
      </c>
      <c r="N143">
        <v>14.999341964999999</v>
      </c>
    </row>
    <row r="144" spans="1:14" x14ac:dyDescent="0.25">
      <c r="A144">
        <v>29.112023000000001</v>
      </c>
      <c r="B144" s="1">
        <f>DATE(2010,5,30) + TIME(2,41,18)</f>
        <v>40328.112013888887</v>
      </c>
      <c r="C144">
        <v>550</v>
      </c>
      <c r="D144">
        <v>0</v>
      </c>
      <c r="E144">
        <v>0</v>
      </c>
      <c r="F144">
        <v>550</v>
      </c>
      <c r="G144">
        <v>1347.8327637</v>
      </c>
      <c r="H144">
        <v>1343.2814940999999</v>
      </c>
      <c r="I144">
        <v>1314.5074463000001</v>
      </c>
      <c r="J144">
        <v>1305.3096923999999</v>
      </c>
      <c r="K144">
        <v>80</v>
      </c>
      <c r="L144">
        <v>79.679267882999994</v>
      </c>
      <c r="M144">
        <v>60</v>
      </c>
      <c r="N144">
        <v>14.999347687</v>
      </c>
    </row>
    <row r="145" spans="1:14" x14ac:dyDescent="0.25">
      <c r="A145">
        <v>29.695665000000002</v>
      </c>
      <c r="B145" s="1">
        <f>DATE(2010,5,30) + TIME(16,41,45)</f>
        <v>40328.695659722223</v>
      </c>
      <c r="C145">
        <v>550</v>
      </c>
      <c r="D145">
        <v>0</v>
      </c>
      <c r="E145">
        <v>0</v>
      </c>
      <c r="F145">
        <v>550</v>
      </c>
      <c r="G145">
        <v>1347.8044434000001</v>
      </c>
      <c r="H145">
        <v>1343.2540283000001</v>
      </c>
      <c r="I145">
        <v>1314.512207</v>
      </c>
      <c r="J145">
        <v>1305.3132324000001</v>
      </c>
      <c r="K145">
        <v>80</v>
      </c>
      <c r="L145">
        <v>79.681022643999995</v>
      </c>
      <c r="M145">
        <v>60</v>
      </c>
      <c r="N145">
        <v>14.999353408999999</v>
      </c>
    </row>
    <row r="146" spans="1:14" x14ac:dyDescent="0.25">
      <c r="A146">
        <v>30.287542999999999</v>
      </c>
      <c r="B146" s="1">
        <f>DATE(2010,5,31) + TIME(6,54,3)</f>
        <v>40329.287534722222</v>
      </c>
      <c r="C146">
        <v>550</v>
      </c>
      <c r="D146">
        <v>0</v>
      </c>
      <c r="E146">
        <v>0</v>
      </c>
      <c r="F146">
        <v>550</v>
      </c>
      <c r="G146">
        <v>1347.7761230000001</v>
      </c>
      <c r="H146">
        <v>1343.2266846</v>
      </c>
      <c r="I146">
        <v>1314.5169678</v>
      </c>
      <c r="J146">
        <v>1305.3167725000001</v>
      </c>
      <c r="K146">
        <v>80</v>
      </c>
      <c r="L146">
        <v>79.682655334000003</v>
      </c>
      <c r="M146">
        <v>60</v>
      </c>
      <c r="N146">
        <v>14.999360084999999</v>
      </c>
    </row>
    <row r="147" spans="1:14" x14ac:dyDescent="0.25">
      <c r="A147">
        <v>30.888715999999999</v>
      </c>
      <c r="B147" s="1">
        <f>DATE(2010,5,31) + TIME(21,19,45)</f>
        <v>40329.888715277775</v>
      </c>
      <c r="C147">
        <v>550</v>
      </c>
      <c r="D147">
        <v>0</v>
      </c>
      <c r="E147">
        <v>0</v>
      </c>
      <c r="F147">
        <v>550</v>
      </c>
      <c r="G147">
        <v>1347.7480469</v>
      </c>
      <c r="H147">
        <v>1343.1994629000001</v>
      </c>
      <c r="I147">
        <v>1314.5217285000001</v>
      </c>
      <c r="J147">
        <v>1305.3203125</v>
      </c>
      <c r="K147">
        <v>80</v>
      </c>
      <c r="L147">
        <v>79.684173584000007</v>
      </c>
      <c r="M147">
        <v>60</v>
      </c>
      <c r="N147">
        <v>14.999365807</v>
      </c>
    </row>
    <row r="148" spans="1:14" x14ac:dyDescent="0.25">
      <c r="A148">
        <v>31</v>
      </c>
      <c r="B148" s="1">
        <f>DATE(2010,6,1) + TIME(0,0,0)</f>
        <v>40330</v>
      </c>
      <c r="C148">
        <v>550</v>
      </c>
      <c r="D148">
        <v>0</v>
      </c>
      <c r="E148">
        <v>0</v>
      </c>
      <c r="F148">
        <v>550</v>
      </c>
      <c r="G148">
        <v>1347.7199707</v>
      </c>
      <c r="H148">
        <v>1343.1723632999999</v>
      </c>
      <c r="I148">
        <v>1314.5263672000001</v>
      </c>
      <c r="J148">
        <v>1305.3237305</v>
      </c>
      <c r="K148">
        <v>80</v>
      </c>
      <c r="L148">
        <v>79.684440613000007</v>
      </c>
      <c r="M148">
        <v>60</v>
      </c>
      <c r="N148">
        <v>14.999367714</v>
      </c>
    </row>
    <row r="149" spans="1:14" x14ac:dyDescent="0.25">
      <c r="A149">
        <v>31.611594</v>
      </c>
      <c r="B149" s="1">
        <f>DATE(2010,6,1) + TIME(14,40,41)</f>
        <v>40330.611585648148</v>
      </c>
      <c r="C149">
        <v>550</v>
      </c>
      <c r="D149">
        <v>0</v>
      </c>
      <c r="E149">
        <v>0</v>
      </c>
      <c r="F149">
        <v>550</v>
      </c>
      <c r="G149">
        <v>1347.7145995999999</v>
      </c>
      <c r="H149">
        <v>1343.1673584</v>
      </c>
      <c r="I149">
        <v>1314.5275879000001</v>
      </c>
      <c r="J149">
        <v>1305.324707</v>
      </c>
      <c r="K149">
        <v>80</v>
      </c>
      <c r="L149">
        <v>79.685844420999999</v>
      </c>
      <c r="M149">
        <v>60</v>
      </c>
      <c r="N149">
        <v>14.999373436000001</v>
      </c>
    </row>
    <row r="150" spans="1:14" x14ac:dyDescent="0.25">
      <c r="A150">
        <v>32.232447000000001</v>
      </c>
      <c r="B150" s="1">
        <f>DATE(2010,6,2) + TIME(5,34,43)</f>
        <v>40331.232442129629</v>
      </c>
      <c r="C150">
        <v>550</v>
      </c>
      <c r="D150">
        <v>0</v>
      </c>
      <c r="E150">
        <v>0</v>
      </c>
      <c r="F150">
        <v>550</v>
      </c>
      <c r="G150">
        <v>1347.6865233999999</v>
      </c>
      <c r="H150">
        <v>1343.1405029</v>
      </c>
      <c r="I150">
        <v>1314.5327147999999</v>
      </c>
      <c r="J150">
        <v>1305.3284911999999</v>
      </c>
      <c r="K150">
        <v>80</v>
      </c>
      <c r="L150">
        <v>79.687149047999995</v>
      </c>
      <c r="M150">
        <v>60</v>
      </c>
      <c r="N150">
        <v>14.999380112000001</v>
      </c>
    </row>
    <row r="151" spans="1:14" x14ac:dyDescent="0.25">
      <c r="A151">
        <v>32.860571999999998</v>
      </c>
      <c r="B151" s="1">
        <f>DATE(2010,6,2) + TIME(20,39,13)</f>
        <v>40331.860567129632</v>
      </c>
      <c r="C151">
        <v>550</v>
      </c>
      <c r="D151">
        <v>0</v>
      </c>
      <c r="E151">
        <v>0</v>
      </c>
      <c r="F151">
        <v>550</v>
      </c>
      <c r="G151">
        <v>1347.6584473</v>
      </c>
      <c r="H151">
        <v>1343.1136475000001</v>
      </c>
      <c r="I151">
        <v>1314.5377197</v>
      </c>
      <c r="J151">
        <v>1305.3322754000001</v>
      </c>
      <c r="K151">
        <v>80</v>
      </c>
      <c r="L151">
        <v>79.688362122000001</v>
      </c>
      <c r="M151">
        <v>60</v>
      </c>
      <c r="N151">
        <v>14.999385834</v>
      </c>
    </row>
    <row r="152" spans="1:14" x14ac:dyDescent="0.25">
      <c r="A152">
        <v>33.496972999999997</v>
      </c>
      <c r="B152" s="1">
        <f>DATE(2010,6,3) + TIME(11,55,38)</f>
        <v>40332.496967592589</v>
      </c>
      <c r="C152">
        <v>550</v>
      </c>
      <c r="D152">
        <v>0</v>
      </c>
      <c r="E152">
        <v>0</v>
      </c>
      <c r="F152">
        <v>550</v>
      </c>
      <c r="G152">
        <v>1347.6306152</v>
      </c>
      <c r="H152">
        <v>1343.0870361</v>
      </c>
      <c r="I152">
        <v>1314.5429687999999</v>
      </c>
      <c r="J152">
        <v>1305.3361815999999</v>
      </c>
      <c r="K152">
        <v>80</v>
      </c>
      <c r="L152">
        <v>79.689498900999993</v>
      </c>
      <c r="M152">
        <v>60</v>
      </c>
      <c r="N152">
        <v>14.999392509</v>
      </c>
    </row>
    <row r="153" spans="1:14" x14ac:dyDescent="0.25">
      <c r="A153">
        <v>34.142660999999997</v>
      </c>
      <c r="B153" s="1">
        <f>DATE(2010,6,4) + TIME(3,25,25)</f>
        <v>40333.142650462964</v>
      </c>
      <c r="C153">
        <v>550</v>
      </c>
      <c r="D153">
        <v>0</v>
      </c>
      <c r="E153">
        <v>0</v>
      </c>
      <c r="F153">
        <v>550</v>
      </c>
      <c r="G153">
        <v>1347.6026611</v>
      </c>
      <c r="H153">
        <v>1343.0605469</v>
      </c>
      <c r="I153">
        <v>1314.5482178</v>
      </c>
      <c r="J153">
        <v>1305.3400879000001</v>
      </c>
      <c r="K153">
        <v>80</v>
      </c>
      <c r="L153">
        <v>79.690567017000006</v>
      </c>
      <c r="M153">
        <v>60</v>
      </c>
      <c r="N153">
        <v>14.999399185</v>
      </c>
    </row>
    <row r="154" spans="1:14" x14ac:dyDescent="0.25">
      <c r="A154">
        <v>34.798698999999999</v>
      </c>
      <c r="B154" s="1">
        <f>DATE(2010,6,4) + TIME(19,10,7)</f>
        <v>40333.798692129632</v>
      </c>
      <c r="C154">
        <v>550</v>
      </c>
      <c r="D154">
        <v>0</v>
      </c>
      <c r="E154">
        <v>0</v>
      </c>
      <c r="F154">
        <v>550</v>
      </c>
      <c r="G154">
        <v>1347.5749512</v>
      </c>
      <c r="H154">
        <v>1343.0341797000001</v>
      </c>
      <c r="I154">
        <v>1314.5535889</v>
      </c>
      <c r="J154">
        <v>1305.3441161999999</v>
      </c>
      <c r="K154">
        <v>80</v>
      </c>
      <c r="L154">
        <v>79.691574097</v>
      </c>
      <c r="M154">
        <v>60</v>
      </c>
      <c r="N154">
        <v>14.999405861</v>
      </c>
    </row>
    <row r="155" spans="1:14" x14ac:dyDescent="0.25">
      <c r="A155">
        <v>35.466439000000001</v>
      </c>
      <c r="B155" s="1">
        <f>DATE(2010,6,5) + TIME(11,11,40)</f>
        <v>40334.466435185182</v>
      </c>
      <c r="C155">
        <v>550</v>
      </c>
      <c r="D155">
        <v>0</v>
      </c>
      <c r="E155">
        <v>0</v>
      </c>
      <c r="F155">
        <v>550</v>
      </c>
      <c r="G155">
        <v>1347.5471190999999</v>
      </c>
      <c r="H155">
        <v>1343.0079346</v>
      </c>
      <c r="I155">
        <v>1314.559082</v>
      </c>
      <c r="J155">
        <v>1305.3482666</v>
      </c>
      <c r="K155">
        <v>80</v>
      </c>
      <c r="L155">
        <v>79.692520142000006</v>
      </c>
      <c r="M155">
        <v>60</v>
      </c>
      <c r="N155">
        <v>14.999412537</v>
      </c>
    </row>
    <row r="156" spans="1:14" x14ac:dyDescent="0.25">
      <c r="A156">
        <v>36.146939000000003</v>
      </c>
      <c r="B156" s="1">
        <f>DATE(2010,6,6) + TIME(3,31,35)</f>
        <v>40335.146932870368</v>
      </c>
      <c r="C156">
        <v>550</v>
      </c>
      <c r="D156">
        <v>0</v>
      </c>
      <c r="E156">
        <v>0</v>
      </c>
      <c r="F156">
        <v>550</v>
      </c>
      <c r="G156">
        <v>1347.5194091999999</v>
      </c>
      <c r="H156">
        <v>1342.9816894999999</v>
      </c>
      <c r="I156">
        <v>1314.5646973</v>
      </c>
      <c r="J156">
        <v>1305.3524170000001</v>
      </c>
      <c r="K156">
        <v>80</v>
      </c>
      <c r="L156">
        <v>79.693420410000002</v>
      </c>
      <c r="M156">
        <v>60</v>
      </c>
      <c r="N156">
        <v>14.999420166</v>
      </c>
    </row>
    <row r="157" spans="1:14" x14ac:dyDescent="0.25">
      <c r="A157">
        <v>36.841200999999998</v>
      </c>
      <c r="B157" s="1">
        <f>DATE(2010,6,6) + TIME(20,11,19)</f>
        <v>40335.841192129628</v>
      </c>
      <c r="C157">
        <v>550</v>
      </c>
      <c r="D157">
        <v>0</v>
      </c>
      <c r="E157">
        <v>0</v>
      </c>
      <c r="F157">
        <v>550</v>
      </c>
      <c r="G157">
        <v>1347.4914550999999</v>
      </c>
      <c r="H157">
        <v>1342.9554443</v>
      </c>
      <c r="I157">
        <v>1314.5704346</v>
      </c>
      <c r="J157">
        <v>1305.3566894999999</v>
      </c>
      <c r="K157">
        <v>80</v>
      </c>
      <c r="L157">
        <v>79.694267272999994</v>
      </c>
      <c r="M157">
        <v>60</v>
      </c>
      <c r="N157">
        <v>14.999426842</v>
      </c>
    </row>
    <row r="158" spans="1:14" x14ac:dyDescent="0.25">
      <c r="A158">
        <v>37.550590999999997</v>
      </c>
      <c r="B158" s="1">
        <f>DATE(2010,6,7) + TIME(13,12,51)</f>
        <v>40336.55059027778</v>
      </c>
      <c r="C158">
        <v>550</v>
      </c>
      <c r="D158">
        <v>0</v>
      </c>
      <c r="E158">
        <v>0</v>
      </c>
      <c r="F158">
        <v>550</v>
      </c>
      <c r="G158">
        <v>1347.463501</v>
      </c>
      <c r="H158">
        <v>1342.9290771000001</v>
      </c>
      <c r="I158">
        <v>1314.5762939000001</v>
      </c>
      <c r="J158">
        <v>1305.3610839999999</v>
      </c>
      <c r="K158">
        <v>80</v>
      </c>
      <c r="L158">
        <v>79.695075989000003</v>
      </c>
      <c r="M158">
        <v>60</v>
      </c>
      <c r="N158">
        <v>14.999435425</v>
      </c>
    </row>
    <row r="159" spans="1:14" x14ac:dyDescent="0.25">
      <c r="A159">
        <v>38.276609999999998</v>
      </c>
      <c r="B159" s="1">
        <f>DATE(2010,6,8) + TIME(6,38,19)</f>
        <v>40337.276608796295</v>
      </c>
      <c r="C159">
        <v>550</v>
      </c>
      <c r="D159">
        <v>0</v>
      </c>
      <c r="E159">
        <v>0</v>
      </c>
      <c r="F159">
        <v>550</v>
      </c>
      <c r="G159">
        <v>1347.4354248</v>
      </c>
      <c r="H159">
        <v>1342.902832</v>
      </c>
      <c r="I159">
        <v>1314.5822754000001</v>
      </c>
      <c r="J159">
        <v>1305.3656006000001</v>
      </c>
      <c r="K159">
        <v>80</v>
      </c>
      <c r="L159">
        <v>79.695854186999995</v>
      </c>
      <c r="M159">
        <v>60</v>
      </c>
      <c r="N159">
        <v>14.999443054</v>
      </c>
    </row>
    <row r="160" spans="1:14" x14ac:dyDescent="0.25">
      <c r="A160">
        <v>39.020907999999999</v>
      </c>
      <c r="B160" s="1">
        <f>DATE(2010,6,9) + TIME(0,30,6)</f>
        <v>40338.020902777775</v>
      </c>
      <c r="C160">
        <v>550</v>
      </c>
      <c r="D160">
        <v>0</v>
      </c>
      <c r="E160">
        <v>0</v>
      </c>
      <c r="F160">
        <v>550</v>
      </c>
      <c r="G160">
        <v>1347.4071045000001</v>
      </c>
      <c r="H160">
        <v>1342.8763428</v>
      </c>
      <c r="I160">
        <v>1314.588501</v>
      </c>
      <c r="J160">
        <v>1305.3702393000001</v>
      </c>
      <c r="K160">
        <v>80</v>
      </c>
      <c r="L160">
        <v>79.696586608999993</v>
      </c>
      <c r="M160">
        <v>60</v>
      </c>
      <c r="N160">
        <v>14.999452591000001</v>
      </c>
    </row>
    <row r="161" spans="1:14" x14ac:dyDescent="0.25">
      <c r="A161">
        <v>39.77984</v>
      </c>
      <c r="B161" s="1">
        <f>DATE(2010,6,9) + TIME(18,42,58)</f>
        <v>40338.77983796296</v>
      </c>
      <c r="C161">
        <v>550</v>
      </c>
      <c r="D161">
        <v>0</v>
      </c>
      <c r="E161">
        <v>0</v>
      </c>
      <c r="F161">
        <v>550</v>
      </c>
      <c r="G161">
        <v>1347.3785399999999</v>
      </c>
      <c r="H161">
        <v>1342.8497314000001</v>
      </c>
      <c r="I161">
        <v>1314.5948486</v>
      </c>
      <c r="J161">
        <v>1305.375</v>
      </c>
      <c r="K161">
        <v>80</v>
      </c>
      <c r="L161">
        <v>79.697288513000004</v>
      </c>
      <c r="M161">
        <v>60</v>
      </c>
      <c r="N161">
        <v>14.999462127999999</v>
      </c>
    </row>
    <row r="162" spans="1:14" x14ac:dyDescent="0.25">
      <c r="A162">
        <v>40.541297</v>
      </c>
      <c r="B162" s="1">
        <f>DATE(2010,6,10) + TIME(12,59,28)</f>
        <v>40339.541296296295</v>
      </c>
      <c r="C162">
        <v>550</v>
      </c>
      <c r="D162">
        <v>0</v>
      </c>
      <c r="E162">
        <v>0</v>
      </c>
      <c r="F162">
        <v>550</v>
      </c>
      <c r="G162">
        <v>1347.3498535000001</v>
      </c>
      <c r="H162">
        <v>1342.8229980000001</v>
      </c>
      <c r="I162">
        <v>1314.6014404</v>
      </c>
      <c r="J162">
        <v>1305.3798827999999</v>
      </c>
      <c r="K162">
        <v>80</v>
      </c>
      <c r="L162">
        <v>79.697944641000007</v>
      </c>
      <c r="M162">
        <v>60</v>
      </c>
      <c r="N162">
        <v>14.999472618</v>
      </c>
    </row>
    <row r="163" spans="1:14" x14ac:dyDescent="0.25">
      <c r="A163">
        <v>41.306547000000002</v>
      </c>
      <c r="B163" s="1">
        <f>DATE(2010,6,11) + TIME(7,21,25)</f>
        <v>40340.306539351855</v>
      </c>
      <c r="C163">
        <v>550</v>
      </c>
      <c r="D163">
        <v>0</v>
      </c>
      <c r="E163">
        <v>0</v>
      </c>
      <c r="F163">
        <v>550</v>
      </c>
      <c r="G163">
        <v>1347.3216553</v>
      </c>
      <c r="H163">
        <v>1342.796875</v>
      </c>
      <c r="I163">
        <v>1314.6080322</v>
      </c>
      <c r="J163">
        <v>1305.3847656</v>
      </c>
      <c r="K163">
        <v>80</v>
      </c>
      <c r="L163">
        <v>79.698570251000007</v>
      </c>
      <c r="M163">
        <v>60</v>
      </c>
      <c r="N163">
        <v>14.999483109</v>
      </c>
    </row>
    <row r="164" spans="1:14" x14ac:dyDescent="0.25">
      <c r="A164">
        <v>42.077106999999998</v>
      </c>
      <c r="B164" s="1">
        <f>DATE(2010,6,12) + TIME(1,51,2)</f>
        <v>40341.077106481483</v>
      </c>
      <c r="C164">
        <v>550</v>
      </c>
      <c r="D164">
        <v>0</v>
      </c>
      <c r="E164">
        <v>0</v>
      </c>
      <c r="F164">
        <v>550</v>
      </c>
      <c r="G164">
        <v>1347.2937012</v>
      </c>
      <c r="H164">
        <v>1342.7709961</v>
      </c>
      <c r="I164">
        <v>1314.614624</v>
      </c>
      <c r="J164">
        <v>1305.3897704999999</v>
      </c>
      <c r="K164">
        <v>80</v>
      </c>
      <c r="L164">
        <v>79.699157714999998</v>
      </c>
      <c r="M164">
        <v>60</v>
      </c>
      <c r="N164">
        <v>14.999495506000001</v>
      </c>
    </row>
    <row r="165" spans="1:14" x14ac:dyDescent="0.25">
      <c r="A165">
        <v>42.854385999999998</v>
      </c>
      <c r="B165" s="1">
        <f>DATE(2010,6,12) + TIME(20,30,18)</f>
        <v>40341.854375000003</v>
      </c>
      <c r="C165">
        <v>550</v>
      </c>
      <c r="D165">
        <v>0</v>
      </c>
      <c r="E165">
        <v>0</v>
      </c>
      <c r="F165">
        <v>550</v>
      </c>
      <c r="G165">
        <v>1347.2659911999999</v>
      </c>
      <c r="H165">
        <v>1342.7453613</v>
      </c>
      <c r="I165">
        <v>1314.6214600000001</v>
      </c>
      <c r="J165">
        <v>1305.3947754000001</v>
      </c>
      <c r="K165">
        <v>80</v>
      </c>
      <c r="L165">
        <v>79.699714661000002</v>
      </c>
      <c r="M165">
        <v>60</v>
      </c>
      <c r="N165">
        <v>14.999509810999999</v>
      </c>
    </row>
    <row r="166" spans="1:14" x14ac:dyDescent="0.25">
      <c r="A166">
        <v>43.639795999999997</v>
      </c>
      <c r="B166" s="1">
        <f>DATE(2010,6,13) + TIME(15,21,18)</f>
        <v>40342.639791666668</v>
      </c>
      <c r="C166">
        <v>550</v>
      </c>
      <c r="D166">
        <v>0</v>
      </c>
      <c r="E166">
        <v>0</v>
      </c>
      <c r="F166">
        <v>550</v>
      </c>
      <c r="G166">
        <v>1347.2385254000001</v>
      </c>
      <c r="H166">
        <v>1342.7200928</v>
      </c>
      <c r="I166">
        <v>1314.6281738</v>
      </c>
      <c r="J166">
        <v>1305.3999022999999</v>
      </c>
      <c r="K166">
        <v>80</v>
      </c>
      <c r="L166">
        <v>79.700241089000002</v>
      </c>
      <c r="M166">
        <v>60</v>
      </c>
      <c r="N166">
        <v>14.999525070000001</v>
      </c>
    </row>
    <row r="167" spans="1:14" x14ac:dyDescent="0.25">
      <c r="A167">
        <v>44.434781000000001</v>
      </c>
      <c r="B167" s="1">
        <f>DATE(2010,6,14) + TIME(10,26,5)</f>
        <v>40343.43478009259</v>
      </c>
      <c r="C167">
        <v>550</v>
      </c>
      <c r="D167">
        <v>0</v>
      </c>
      <c r="E167">
        <v>0</v>
      </c>
      <c r="F167">
        <v>550</v>
      </c>
      <c r="G167">
        <v>1347.2111815999999</v>
      </c>
      <c r="H167">
        <v>1342.6949463000001</v>
      </c>
      <c r="I167">
        <v>1314.6351318</v>
      </c>
      <c r="J167">
        <v>1305.4050293</v>
      </c>
      <c r="K167">
        <v>80</v>
      </c>
      <c r="L167">
        <v>79.700752257999994</v>
      </c>
      <c r="M167">
        <v>60</v>
      </c>
      <c r="N167">
        <v>14.999542236</v>
      </c>
    </row>
    <row r="168" spans="1:14" x14ac:dyDescent="0.25">
      <c r="A168">
        <v>45.240828</v>
      </c>
      <c r="B168" s="1">
        <f>DATE(2010,6,15) + TIME(5,46,47)</f>
        <v>40344.24082175926</v>
      </c>
      <c r="C168">
        <v>550</v>
      </c>
      <c r="D168">
        <v>0</v>
      </c>
      <c r="E168">
        <v>0</v>
      </c>
      <c r="F168">
        <v>550</v>
      </c>
      <c r="G168">
        <v>1347.1839600000001</v>
      </c>
      <c r="H168">
        <v>1342.6699219</v>
      </c>
      <c r="I168">
        <v>1314.6422118999999</v>
      </c>
      <c r="J168">
        <v>1305.4102783000001</v>
      </c>
      <c r="K168">
        <v>80</v>
      </c>
      <c r="L168">
        <v>79.701248168999996</v>
      </c>
      <c r="M168">
        <v>60</v>
      </c>
      <c r="N168">
        <v>14.999562263</v>
      </c>
    </row>
    <row r="169" spans="1:14" x14ac:dyDescent="0.25">
      <c r="A169">
        <v>46.053032999999999</v>
      </c>
      <c r="B169" s="1">
        <f>DATE(2010,6,16) + TIME(1,16,22)</f>
        <v>40345.053032407406</v>
      </c>
      <c r="C169">
        <v>550</v>
      </c>
      <c r="D169">
        <v>0</v>
      </c>
      <c r="E169">
        <v>0</v>
      </c>
      <c r="F169">
        <v>550</v>
      </c>
      <c r="G169">
        <v>1347.1568603999999</v>
      </c>
      <c r="H169">
        <v>1342.6450195</v>
      </c>
      <c r="I169">
        <v>1314.6494141000001</v>
      </c>
      <c r="J169">
        <v>1305.4156493999999</v>
      </c>
      <c r="K169">
        <v>80</v>
      </c>
      <c r="L169">
        <v>79.701713561999995</v>
      </c>
      <c r="M169">
        <v>60</v>
      </c>
      <c r="N169">
        <v>14.999584198000001</v>
      </c>
    </row>
    <row r="170" spans="1:14" x14ac:dyDescent="0.25">
      <c r="A170">
        <v>46.870552000000004</v>
      </c>
      <c r="B170" s="1">
        <f>DATE(2010,6,16) + TIME(20,53,35)</f>
        <v>40345.87054398148</v>
      </c>
      <c r="C170">
        <v>550</v>
      </c>
      <c r="D170">
        <v>0</v>
      </c>
      <c r="E170">
        <v>0</v>
      </c>
      <c r="F170">
        <v>550</v>
      </c>
      <c r="G170">
        <v>1347.1298827999999</v>
      </c>
      <c r="H170">
        <v>1342.6204834</v>
      </c>
      <c r="I170">
        <v>1314.6567382999999</v>
      </c>
      <c r="J170">
        <v>1305.4210204999999</v>
      </c>
      <c r="K170">
        <v>80</v>
      </c>
      <c r="L170">
        <v>79.702163696</v>
      </c>
      <c r="M170">
        <v>60</v>
      </c>
      <c r="N170">
        <v>14.999610901</v>
      </c>
    </row>
    <row r="171" spans="1:14" x14ac:dyDescent="0.25">
      <c r="A171">
        <v>47.694647000000003</v>
      </c>
      <c r="B171" s="1">
        <f>DATE(2010,6,17) + TIME(16,40,17)</f>
        <v>40346.694641203707</v>
      </c>
      <c r="C171">
        <v>550</v>
      </c>
      <c r="D171">
        <v>0</v>
      </c>
      <c r="E171">
        <v>0</v>
      </c>
      <c r="F171">
        <v>550</v>
      </c>
      <c r="G171">
        <v>1347.1031493999999</v>
      </c>
      <c r="H171">
        <v>1342.5960693</v>
      </c>
      <c r="I171">
        <v>1314.6641846</v>
      </c>
      <c r="J171">
        <v>1305.4265137</v>
      </c>
      <c r="K171">
        <v>80</v>
      </c>
      <c r="L171">
        <v>79.702598571999999</v>
      </c>
      <c r="M171">
        <v>60</v>
      </c>
      <c r="N171">
        <v>14.999640465000001</v>
      </c>
    </row>
    <row r="172" spans="1:14" x14ac:dyDescent="0.25">
      <c r="A172">
        <v>48.526584999999997</v>
      </c>
      <c r="B172" s="1">
        <f>DATE(2010,6,18) + TIME(12,38,16)</f>
        <v>40347.526574074072</v>
      </c>
      <c r="C172">
        <v>550</v>
      </c>
      <c r="D172">
        <v>0</v>
      </c>
      <c r="E172">
        <v>0</v>
      </c>
      <c r="F172">
        <v>550</v>
      </c>
      <c r="G172">
        <v>1347.0766602000001</v>
      </c>
      <c r="H172">
        <v>1342.5718993999999</v>
      </c>
      <c r="I172">
        <v>1314.6716309000001</v>
      </c>
      <c r="J172">
        <v>1305.4321289</v>
      </c>
      <c r="K172">
        <v>80</v>
      </c>
      <c r="L172">
        <v>79.703025818</v>
      </c>
      <c r="M172">
        <v>60</v>
      </c>
      <c r="N172">
        <v>14.999675751</v>
      </c>
    </row>
    <row r="173" spans="1:14" x14ac:dyDescent="0.25">
      <c r="A173">
        <v>49.367666999999997</v>
      </c>
      <c r="B173" s="1">
        <f>DATE(2010,6,19) + TIME(8,49,26)</f>
        <v>40348.367662037039</v>
      </c>
      <c r="C173">
        <v>550</v>
      </c>
      <c r="D173">
        <v>0</v>
      </c>
      <c r="E173">
        <v>0</v>
      </c>
      <c r="F173">
        <v>550</v>
      </c>
      <c r="G173">
        <v>1347.050293</v>
      </c>
      <c r="H173">
        <v>1342.5479736</v>
      </c>
      <c r="I173">
        <v>1314.6793213000001</v>
      </c>
      <c r="J173">
        <v>1305.4377440999999</v>
      </c>
      <c r="K173">
        <v>80</v>
      </c>
      <c r="L173">
        <v>79.703430175999998</v>
      </c>
      <c r="M173">
        <v>60</v>
      </c>
      <c r="N173">
        <v>14.999716759</v>
      </c>
    </row>
    <row r="174" spans="1:14" x14ac:dyDescent="0.25">
      <c r="A174">
        <v>50.219225000000002</v>
      </c>
      <c r="B174" s="1">
        <f>DATE(2010,6,20) + TIME(5,15,41)</f>
        <v>40349.219224537039</v>
      </c>
      <c r="C174">
        <v>550</v>
      </c>
      <c r="D174">
        <v>0</v>
      </c>
      <c r="E174">
        <v>0</v>
      </c>
      <c r="F174">
        <v>550</v>
      </c>
      <c r="G174">
        <v>1347.0240478999999</v>
      </c>
      <c r="H174">
        <v>1342.5241699000001</v>
      </c>
      <c r="I174">
        <v>1314.6871338000001</v>
      </c>
      <c r="J174">
        <v>1305.4436035000001</v>
      </c>
      <c r="K174">
        <v>80</v>
      </c>
      <c r="L174">
        <v>79.703826903999996</v>
      </c>
      <c r="M174">
        <v>60</v>
      </c>
      <c r="N174">
        <v>14.999764442</v>
      </c>
    </row>
    <row r="175" spans="1:14" x14ac:dyDescent="0.25">
      <c r="A175">
        <v>51.082644999999999</v>
      </c>
      <c r="B175" s="1">
        <f>DATE(2010,6,21) + TIME(1,59,0)</f>
        <v>40350.082638888889</v>
      </c>
      <c r="C175">
        <v>550</v>
      </c>
      <c r="D175">
        <v>0</v>
      </c>
      <c r="E175">
        <v>0</v>
      </c>
      <c r="F175">
        <v>550</v>
      </c>
      <c r="G175">
        <v>1346.9979248</v>
      </c>
      <c r="H175">
        <v>1342.5004882999999</v>
      </c>
      <c r="I175">
        <v>1314.6951904</v>
      </c>
      <c r="J175">
        <v>1305.4494629000001</v>
      </c>
      <c r="K175">
        <v>80</v>
      </c>
      <c r="L175">
        <v>79.704216002999999</v>
      </c>
      <c r="M175">
        <v>60</v>
      </c>
      <c r="N175">
        <v>14.999820709</v>
      </c>
    </row>
    <row r="176" spans="1:14" x14ac:dyDescent="0.25">
      <c r="A176">
        <v>51.959381</v>
      </c>
      <c r="B176" s="1">
        <f>DATE(2010,6,21) + TIME(23,1,30)</f>
        <v>40350.959374999999</v>
      </c>
      <c r="C176">
        <v>550</v>
      </c>
      <c r="D176">
        <v>0</v>
      </c>
      <c r="E176">
        <v>0</v>
      </c>
      <c r="F176">
        <v>550</v>
      </c>
      <c r="G176">
        <v>1346.9718018000001</v>
      </c>
      <c r="H176">
        <v>1342.4769286999999</v>
      </c>
      <c r="I176">
        <v>1314.7032471</v>
      </c>
      <c r="J176">
        <v>1305.4554443</v>
      </c>
      <c r="K176">
        <v>80</v>
      </c>
      <c r="L176">
        <v>79.704605103000006</v>
      </c>
      <c r="M176">
        <v>60</v>
      </c>
      <c r="N176">
        <v>14.999887466000001</v>
      </c>
    </row>
    <row r="177" spans="1:14" x14ac:dyDescent="0.25">
      <c r="A177">
        <v>52.851357</v>
      </c>
      <c r="B177" s="1">
        <f>DATE(2010,6,22) + TIME(20,25,57)</f>
        <v>40351.851354166669</v>
      </c>
      <c r="C177">
        <v>550</v>
      </c>
      <c r="D177">
        <v>0</v>
      </c>
      <c r="E177">
        <v>0</v>
      </c>
      <c r="F177">
        <v>550</v>
      </c>
      <c r="G177">
        <v>1346.9456786999999</v>
      </c>
      <c r="H177">
        <v>1342.4532471</v>
      </c>
      <c r="I177">
        <v>1314.7116699000001</v>
      </c>
      <c r="J177">
        <v>1305.4615478999999</v>
      </c>
      <c r="K177">
        <v>80</v>
      </c>
      <c r="L177">
        <v>79.704978943</v>
      </c>
      <c r="M177">
        <v>60</v>
      </c>
      <c r="N177">
        <v>14.999966621</v>
      </c>
    </row>
    <row r="178" spans="1:14" x14ac:dyDescent="0.25">
      <c r="A178">
        <v>53.759442</v>
      </c>
      <c r="B178" s="1">
        <f>DATE(2010,6,23) + TIME(18,13,35)</f>
        <v>40352.759432870371</v>
      </c>
      <c r="C178">
        <v>550</v>
      </c>
      <c r="D178">
        <v>0</v>
      </c>
      <c r="E178">
        <v>0</v>
      </c>
      <c r="F178">
        <v>550</v>
      </c>
      <c r="G178">
        <v>1346.9194336</v>
      </c>
      <c r="H178">
        <v>1342.4296875</v>
      </c>
      <c r="I178">
        <v>1314.7202147999999</v>
      </c>
      <c r="J178">
        <v>1305.4678954999999</v>
      </c>
      <c r="K178">
        <v>80</v>
      </c>
      <c r="L178">
        <v>79.705352782999995</v>
      </c>
      <c r="M178">
        <v>60</v>
      </c>
      <c r="N178">
        <v>15.000059128</v>
      </c>
    </row>
    <row r="179" spans="1:14" x14ac:dyDescent="0.25">
      <c r="A179">
        <v>54.685394000000002</v>
      </c>
      <c r="B179" s="1">
        <f>DATE(2010,6,24) + TIME(16,26,58)</f>
        <v>40353.685393518521</v>
      </c>
      <c r="C179">
        <v>550</v>
      </c>
      <c r="D179">
        <v>0</v>
      </c>
      <c r="E179">
        <v>0</v>
      </c>
      <c r="F179">
        <v>550</v>
      </c>
      <c r="G179">
        <v>1346.8931885</v>
      </c>
      <c r="H179">
        <v>1342.4061279</v>
      </c>
      <c r="I179">
        <v>1314.7290039</v>
      </c>
      <c r="J179">
        <v>1305.4743652</v>
      </c>
      <c r="K179">
        <v>80</v>
      </c>
      <c r="L179">
        <v>79.705726623999993</v>
      </c>
      <c r="M179">
        <v>60</v>
      </c>
      <c r="N179">
        <v>15.000170708000001</v>
      </c>
    </row>
    <row r="180" spans="1:14" x14ac:dyDescent="0.25">
      <c r="A180">
        <v>55.631086000000003</v>
      </c>
      <c r="B180" s="1">
        <f>DATE(2010,6,25) + TIME(15,8,45)</f>
        <v>40354.631076388891</v>
      </c>
      <c r="C180">
        <v>550</v>
      </c>
      <c r="D180">
        <v>0</v>
      </c>
      <c r="E180">
        <v>0</v>
      </c>
      <c r="F180">
        <v>550</v>
      </c>
      <c r="G180">
        <v>1346.8666992000001</v>
      </c>
      <c r="H180">
        <v>1342.3824463000001</v>
      </c>
      <c r="I180">
        <v>1314.7380370999999</v>
      </c>
      <c r="J180">
        <v>1305.4810791</v>
      </c>
      <c r="K180">
        <v>80</v>
      </c>
      <c r="L180">
        <v>79.706092834000003</v>
      </c>
      <c r="M180">
        <v>60</v>
      </c>
      <c r="N180">
        <v>15.000303268</v>
      </c>
    </row>
    <row r="181" spans="1:14" x14ac:dyDescent="0.25">
      <c r="A181">
        <v>56.598655999999998</v>
      </c>
      <c r="B181" s="1">
        <f>DATE(2010,6,26) + TIME(14,22,3)</f>
        <v>40355.598645833335</v>
      </c>
      <c r="C181">
        <v>550</v>
      </c>
      <c r="D181">
        <v>0</v>
      </c>
      <c r="E181">
        <v>0</v>
      </c>
      <c r="F181">
        <v>550</v>
      </c>
      <c r="G181">
        <v>1346.8402100000001</v>
      </c>
      <c r="H181">
        <v>1342.3586425999999</v>
      </c>
      <c r="I181">
        <v>1314.7474365</v>
      </c>
      <c r="J181">
        <v>1305.4879149999999</v>
      </c>
      <c r="K181">
        <v>80</v>
      </c>
      <c r="L181">
        <v>79.706466675000001</v>
      </c>
      <c r="M181">
        <v>60</v>
      </c>
      <c r="N181">
        <v>15.000461577999999</v>
      </c>
    </row>
    <row r="182" spans="1:14" x14ac:dyDescent="0.25">
      <c r="A182">
        <v>57.579948999999999</v>
      </c>
      <c r="B182" s="1">
        <f>DATE(2010,6,27) + TIME(13,55,7)</f>
        <v>40356.579942129632</v>
      </c>
      <c r="C182">
        <v>550</v>
      </c>
      <c r="D182">
        <v>0</v>
      </c>
      <c r="E182">
        <v>0</v>
      </c>
      <c r="F182">
        <v>550</v>
      </c>
      <c r="G182">
        <v>1346.8133545000001</v>
      </c>
      <c r="H182">
        <v>1342.3345947</v>
      </c>
      <c r="I182">
        <v>1314.7570800999999</v>
      </c>
      <c r="J182">
        <v>1305.4949951000001</v>
      </c>
      <c r="K182">
        <v>80</v>
      </c>
      <c r="L182">
        <v>79.706832886000001</v>
      </c>
      <c r="M182">
        <v>60</v>
      </c>
      <c r="N182">
        <v>15.000649451999999</v>
      </c>
    </row>
    <row r="183" spans="1:14" x14ac:dyDescent="0.25">
      <c r="A183">
        <v>58.567841000000001</v>
      </c>
      <c r="B183" s="1">
        <f>DATE(2010,6,28) + TIME(13,37,41)</f>
        <v>40357.567835648151</v>
      </c>
      <c r="C183">
        <v>550</v>
      </c>
      <c r="D183">
        <v>0</v>
      </c>
      <c r="E183">
        <v>0</v>
      </c>
      <c r="F183">
        <v>550</v>
      </c>
      <c r="G183">
        <v>1346.7866211</v>
      </c>
      <c r="H183">
        <v>1342.3107910000001</v>
      </c>
      <c r="I183">
        <v>1314.7669678</v>
      </c>
      <c r="J183">
        <v>1305.5021973</v>
      </c>
      <c r="K183">
        <v>80</v>
      </c>
      <c r="L183">
        <v>79.707191467000001</v>
      </c>
      <c r="M183">
        <v>60</v>
      </c>
      <c r="N183">
        <v>15.000872612</v>
      </c>
    </row>
    <row r="184" spans="1:14" x14ac:dyDescent="0.25">
      <c r="A184">
        <v>59.564349</v>
      </c>
      <c r="B184" s="1">
        <f>DATE(2010,6,29) + TIME(13,32,39)</f>
        <v>40358.564340277779</v>
      </c>
      <c r="C184">
        <v>550</v>
      </c>
      <c r="D184">
        <v>0</v>
      </c>
      <c r="E184">
        <v>0</v>
      </c>
      <c r="F184">
        <v>550</v>
      </c>
      <c r="G184">
        <v>1346.7600098</v>
      </c>
      <c r="H184">
        <v>1342.2871094</v>
      </c>
      <c r="I184">
        <v>1314.7769774999999</v>
      </c>
      <c r="J184">
        <v>1305.5096435999999</v>
      </c>
      <c r="K184">
        <v>80</v>
      </c>
      <c r="L184">
        <v>79.707550049000005</v>
      </c>
      <c r="M184">
        <v>60</v>
      </c>
      <c r="N184">
        <v>15.001135826000001</v>
      </c>
    </row>
    <row r="185" spans="1:14" x14ac:dyDescent="0.25">
      <c r="A185">
        <v>60.571418999999999</v>
      </c>
      <c r="B185" s="1">
        <f>DATE(2010,6,30) + TIME(13,42,50)</f>
        <v>40359.571412037039</v>
      </c>
      <c r="C185">
        <v>550</v>
      </c>
      <c r="D185">
        <v>0</v>
      </c>
      <c r="E185">
        <v>0</v>
      </c>
      <c r="F185">
        <v>550</v>
      </c>
      <c r="G185">
        <v>1346.7336425999999</v>
      </c>
      <c r="H185">
        <v>1342.2636719</v>
      </c>
      <c r="I185">
        <v>1314.7872314000001</v>
      </c>
      <c r="J185">
        <v>1305.5170897999999</v>
      </c>
      <c r="K185">
        <v>80</v>
      </c>
      <c r="L185">
        <v>79.707901000999996</v>
      </c>
      <c r="M185">
        <v>60</v>
      </c>
      <c r="N185">
        <v>15.001446723999999</v>
      </c>
    </row>
    <row r="186" spans="1:14" x14ac:dyDescent="0.25">
      <c r="A186">
        <v>61</v>
      </c>
      <c r="B186" s="1">
        <f>DATE(2010,7,1) + TIME(0,0,0)</f>
        <v>40360</v>
      </c>
      <c r="C186">
        <v>550</v>
      </c>
      <c r="D186">
        <v>0</v>
      </c>
      <c r="E186">
        <v>0</v>
      </c>
      <c r="F186">
        <v>550</v>
      </c>
      <c r="G186">
        <v>1346.7071533000001</v>
      </c>
      <c r="H186">
        <v>1342.2399902</v>
      </c>
      <c r="I186">
        <v>1314.7974853999999</v>
      </c>
      <c r="J186">
        <v>1305.5245361</v>
      </c>
      <c r="K186">
        <v>80</v>
      </c>
      <c r="L186">
        <v>79.708030700999998</v>
      </c>
      <c r="M186">
        <v>60</v>
      </c>
      <c r="N186">
        <v>15.001623154000001</v>
      </c>
    </row>
    <row r="187" spans="1:14" x14ac:dyDescent="0.25">
      <c r="A187">
        <v>62.011400999999999</v>
      </c>
      <c r="B187" s="1">
        <f>DATE(2010,7,2) + TIME(0,16,25)</f>
        <v>40361.011400462965</v>
      </c>
      <c r="C187">
        <v>550</v>
      </c>
      <c r="D187">
        <v>0</v>
      </c>
      <c r="E187">
        <v>0</v>
      </c>
      <c r="F187">
        <v>550</v>
      </c>
      <c r="G187">
        <v>1346.6962891000001</v>
      </c>
      <c r="H187">
        <v>1342.2303466999999</v>
      </c>
      <c r="I187">
        <v>1314.8022461</v>
      </c>
      <c r="J187">
        <v>1305.5281981999999</v>
      </c>
      <c r="K187">
        <v>80</v>
      </c>
      <c r="L187">
        <v>79.708381653000004</v>
      </c>
      <c r="M187">
        <v>60</v>
      </c>
      <c r="N187">
        <v>15.002008438000001</v>
      </c>
    </row>
    <row r="188" spans="1:14" x14ac:dyDescent="0.25">
      <c r="A188">
        <v>63.026291000000001</v>
      </c>
      <c r="B188" s="1">
        <f>DATE(2010,7,3) + TIME(0,37,51)</f>
        <v>40362.026284722226</v>
      </c>
      <c r="C188">
        <v>550</v>
      </c>
      <c r="D188">
        <v>0</v>
      </c>
      <c r="E188">
        <v>0</v>
      </c>
      <c r="F188">
        <v>550</v>
      </c>
      <c r="G188">
        <v>1346.6704102000001</v>
      </c>
      <c r="H188">
        <v>1342.2075195</v>
      </c>
      <c r="I188">
        <v>1314.8129882999999</v>
      </c>
      <c r="J188">
        <v>1305.5360106999999</v>
      </c>
      <c r="K188">
        <v>80</v>
      </c>
      <c r="L188">
        <v>79.708732604999994</v>
      </c>
      <c r="M188">
        <v>60</v>
      </c>
      <c r="N188">
        <v>15.002461433000001</v>
      </c>
    </row>
    <row r="189" spans="1:14" x14ac:dyDescent="0.25">
      <c r="A189">
        <v>64.045496999999997</v>
      </c>
      <c r="B189" s="1">
        <f>DATE(2010,7,4) + TIME(1,5,30)</f>
        <v>40363.045486111114</v>
      </c>
      <c r="C189">
        <v>550</v>
      </c>
      <c r="D189">
        <v>0</v>
      </c>
      <c r="E189">
        <v>0</v>
      </c>
      <c r="F189">
        <v>550</v>
      </c>
      <c r="G189">
        <v>1346.6447754000001</v>
      </c>
      <c r="H189">
        <v>1342.1848144999999</v>
      </c>
      <c r="I189">
        <v>1314.8239745999999</v>
      </c>
      <c r="J189">
        <v>1305.5439452999999</v>
      </c>
      <c r="K189">
        <v>80</v>
      </c>
      <c r="L189">
        <v>79.709075928000004</v>
      </c>
      <c r="M189">
        <v>60</v>
      </c>
      <c r="N189">
        <v>15.002991676000001</v>
      </c>
    </row>
    <row r="190" spans="1:14" x14ac:dyDescent="0.25">
      <c r="A190">
        <v>65.070644999999999</v>
      </c>
      <c r="B190" s="1">
        <f>DATE(2010,7,5) + TIME(1,41,43)</f>
        <v>40364.070636574077</v>
      </c>
      <c r="C190">
        <v>550</v>
      </c>
      <c r="D190">
        <v>0</v>
      </c>
      <c r="E190">
        <v>0</v>
      </c>
      <c r="F190">
        <v>550</v>
      </c>
      <c r="G190">
        <v>1346.6195068</v>
      </c>
      <c r="H190">
        <v>1342.1624756000001</v>
      </c>
      <c r="I190">
        <v>1314.8349608999999</v>
      </c>
      <c r="J190">
        <v>1305.5520019999999</v>
      </c>
      <c r="K190">
        <v>80</v>
      </c>
      <c r="L190">
        <v>79.709411621000001</v>
      </c>
      <c r="M190">
        <v>60</v>
      </c>
      <c r="N190">
        <v>15.003610610999999</v>
      </c>
    </row>
    <row r="191" spans="1:14" x14ac:dyDescent="0.25">
      <c r="A191">
        <v>66.103348999999994</v>
      </c>
      <c r="B191" s="1">
        <f>DATE(2010,7,6) + TIME(2,28,49)</f>
        <v>40365.103344907409</v>
      </c>
      <c r="C191">
        <v>550</v>
      </c>
      <c r="D191">
        <v>0</v>
      </c>
      <c r="E191">
        <v>0</v>
      </c>
      <c r="F191">
        <v>550</v>
      </c>
      <c r="G191">
        <v>1346.5942382999999</v>
      </c>
      <c r="H191">
        <v>1342.1402588000001</v>
      </c>
      <c r="I191">
        <v>1314.8463135</v>
      </c>
      <c r="J191">
        <v>1305.5603027</v>
      </c>
      <c r="K191">
        <v>80</v>
      </c>
      <c r="L191">
        <v>79.709747313999998</v>
      </c>
      <c r="M191">
        <v>60</v>
      </c>
      <c r="N191">
        <v>15.004331589</v>
      </c>
    </row>
    <row r="192" spans="1:14" x14ac:dyDescent="0.25">
      <c r="A192">
        <v>67.145236999999995</v>
      </c>
      <c r="B192" s="1">
        <f>DATE(2010,7,7) + TIME(3,29,8)</f>
        <v>40366.145231481481</v>
      </c>
      <c r="C192">
        <v>550</v>
      </c>
      <c r="D192">
        <v>0</v>
      </c>
      <c r="E192">
        <v>0</v>
      </c>
      <c r="F192">
        <v>550</v>
      </c>
      <c r="G192">
        <v>1346.5693358999999</v>
      </c>
      <c r="H192">
        <v>1342.1182861</v>
      </c>
      <c r="I192">
        <v>1314.8577881000001</v>
      </c>
      <c r="J192">
        <v>1305.5686035000001</v>
      </c>
      <c r="K192">
        <v>80</v>
      </c>
      <c r="L192">
        <v>79.710090636999993</v>
      </c>
      <c r="M192">
        <v>60</v>
      </c>
      <c r="N192">
        <v>15.005172729</v>
      </c>
    </row>
    <row r="193" spans="1:14" x14ac:dyDescent="0.25">
      <c r="A193">
        <v>68.197958</v>
      </c>
      <c r="B193" s="1">
        <f>DATE(2010,7,8) + TIME(4,45,3)</f>
        <v>40367.197951388887</v>
      </c>
      <c r="C193">
        <v>550</v>
      </c>
      <c r="D193">
        <v>0</v>
      </c>
      <c r="E193">
        <v>0</v>
      </c>
      <c r="F193">
        <v>550</v>
      </c>
      <c r="G193">
        <v>1346.5444336</v>
      </c>
      <c r="H193">
        <v>1342.0963135</v>
      </c>
      <c r="I193">
        <v>1314.8696289</v>
      </c>
      <c r="J193">
        <v>1305.5772704999999</v>
      </c>
      <c r="K193">
        <v>80</v>
      </c>
      <c r="L193">
        <v>79.710426330999994</v>
      </c>
      <c r="M193">
        <v>60</v>
      </c>
      <c r="N193">
        <v>15.006151199</v>
      </c>
    </row>
    <row r="194" spans="1:14" x14ac:dyDescent="0.25">
      <c r="A194">
        <v>69.263208000000006</v>
      </c>
      <c r="B194" s="1">
        <f>DATE(2010,7,9) + TIME(6,19,1)</f>
        <v>40368.263206018521</v>
      </c>
      <c r="C194">
        <v>550</v>
      </c>
      <c r="D194">
        <v>0</v>
      </c>
      <c r="E194">
        <v>0</v>
      </c>
      <c r="F194">
        <v>550</v>
      </c>
      <c r="G194">
        <v>1346.5195312000001</v>
      </c>
      <c r="H194">
        <v>1342.0745850000001</v>
      </c>
      <c r="I194">
        <v>1314.8817139</v>
      </c>
      <c r="J194">
        <v>1305.5860596</v>
      </c>
      <c r="K194">
        <v>80</v>
      </c>
      <c r="L194">
        <v>79.710762024000005</v>
      </c>
      <c r="M194">
        <v>60</v>
      </c>
      <c r="N194">
        <v>15.00729084</v>
      </c>
    </row>
    <row r="195" spans="1:14" x14ac:dyDescent="0.25">
      <c r="A195">
        <v>70.342753999999999</v>
      </c>
      <c r="B195" s="1">
        <f>DATE(2010,7,10) + TIME(8,13,33)</f>
        <v>40369.342743055553</v>
      </c>
      <c r="C195">
        <v>550</v>
      </c>
      <c r="D195">
        <v>0</v>
      </c>
      <c r="E195">
        <v>0</v>
      </c>
      <c r="F195">
        <v>550</v>
      </c>
      <c r="G195">
        <v>1346.494751</v>
      </c>
      <c r="H195">
        <v>1342.0528564000001</v>
      </c>
      <c r="I195">
        <v>1314.8941649999999</v>
      </c>
      <c r="J195">
        <v>1305.5950928</v>
      </c>
      <c r="K195">
        <v>80</v>
      </c>
      <c r="L195">
        <v>79.711105347</v>
      </c>
      <c r="M195">
        <v>60</v>
      </c>
      <c r="N195">
        <v>15.008618354999999</v>
      </c>
    </row>
    <row r="196" spans="1:14" x14ac:dyDescent="0.25">
      <c r="A196">
        <v>71.438475999999994</v>
      </c>
      <c r="B196" s="1">
        <f>DATE(2010,7,11) + TIME(10,31,24)</f>
        <v>40370.438472222224</v>
      </c>
      <c r="C196">
        <v>550</v>
      </c>
      <c r="D196">
        <v>0</v>
      </c>
      <c r="E196">
        <v>0</v>
      </c>
      <c r="F196">
        <v>550</v>
      </c>
      <c r="G196">
        <v>1346.4699707</v>
      </c>
      <c r="H196">
        <v>1342.0311279</v>
      </c>
      <c r="I196">
        <v>1314.9068603999999</v>
      </c>
      <c r="J196">
        <v>1305.6043701000001</v>
      </c>
      <c r="K196">
        <v>80</v>
      </c>
      <c r="L196">
        <v>79.711448669000006</v>
      </c>
      <c r="M196">
        <v>60</v>
      </c>
      <c r="N196">
        <v>15.010164261</v>
      </c>
    </row>
    <row r="197" spans="1:14" x14ac:dyDescent="0.25">
      <c r="A197">
        <v>72.549552000000006</v>
      </c>
      <c r="B197" s="1">
        <f>DATE(2010,7,12) + TIME(13,11,21)</f>
        <v>40371.54954861111</v>
      </c>
      <c r="C197">
        <v>550</v>
      </c>
      <c r="D197">
        <v>0</v>
      </c>
      <c r="E197">
        <v>0</v>
      </c>
      <c r="F197">
        <v>550</v>
      </c>
      <c r="G197">
        <v>1346.4450684000001</v>
      </c>
      <c r="H197">
        <v>1342.0092772999999</v>
      </c>
      <c r="I197">
        <v>1314.9200439000001</v>
      </c>
      <c r="J197">
        <v>1305.6140137</v>
      </c>
      <c r="K197">
        <v>80</v>
      </c>
      <c r="L197">
        <v>79.711799622000001</v>
      </c>
      <c r="M197">
        <v>60</v>
      </c>
      <c r="N197">
        <v>15.011961937000001</v>
      </c>
    </row>
    <row r="198" spans="1:14" x14ac:dyDescent="0.25">
      <c r="A198">
        <v>73.676265000000001</v>
      </c>
      <c r="B198" s="1">
        <f>DATE(2010,7,13) + TIME(16,13,49)</f>
        <v>40372.676261574074</v>
      </c>
      <c r="C198">
        <v>550</v>
      </c>
      <c r="D198">
        <v>0</v>
      </c>
      <c r="E198">
        <v>0</v>
      </c>
      <c r="F198">
        <v>550</v>
      </c>
      <c r="G198">
        <v>1346.4201660000001</v>
      </c>
      <c r="H198">
        <v>1341.9875488</v>
      </c>
      <c r="I198">
        <v>1314.9335937999999</v>
      </c>
      <c r="J198">
        <v>1305.6239014</v>
      </c>
      <c r="K198">
        <v>80</v>
      </c>
      <c r="L198">
        <v>79.712142943999993</v>
      </c>
      <c r="M198">
        <v>60</v>
      </c>
      <c r="N198">
        <v>15.014051436999999</v>
      </c>
    </row>
    <row r="199" spans="1:14" x14ac:dyDescent="0.25">
      <c r="A199">
        <v>74.820599000000001</v>
      </c>
      <c r="B199" s="1">
        <f>DATE(2010,7,14) + TIME(19,41,39)</f>
        <v>40373.820590277777</v>
      </c>
      <c r="C199">
        <v>550</v>
      </c>
      <c r="D199">
        <v>0</v>
      </c>
      <c r="E199">
        <v>0</v>
      </c>
      <c r="F199">
        <v>550</v>
      </c>
      <c r="G199">
        <v>1346.3952637</v>
      </c>
      <c r="H199">
        <v>1341.9658202999999</v>
      </c>
      <c r="I199">
        <v>1314.9475098</v>
      </c>
      <c r="J199">
        <v>1305.6340332</v>
      </c>
      <c r="K199">
        <v>80</v>
      </c>
      <c r="L199">
        <v>79.712501525999997</v>
      </c>
      <c r="M199">
        <v>60</v>
      </c>
      <c r="N199">
        <v>15.0164814</v>
      </c>
    </row>
    <row r="200" spans="1:14" x14ac:dyDescent="0.25">
      <c r="A200">
        <v>75.985131999999993</v>
      </c>
      <c r="B200" s="1">
        <f>DATE(2010,7,15) + TIME(23,38,35)</f>
        <v>40374.985127314816</v>
      </c>
      <c r="C200">
        <v>550</v>
      </c>
      <c r="D200">
        <v>0</v>
      </c>
      <c r="E200">
        <v>0</v>
      </c>
      <c r="F200">
        <v>550</v>
      </c>
      <c r="G200">
        <v>1346.3702393000001</v>
      </c>
      <c r="H200">
        <v>1341.9440918</v>
      </c>
      <c r="I200">
        <v>1314.9620361</v>
      </c>
      <c r="J200">
        <v>1305.6445312000001</v>
      </c>
      <c r="K200">
        <v>80</v>
      </c>
      <c r="L200">
        <v>79.712860106999997</v>
      </c>
      <c r="M200">
        <v>60</v>
      </c>
      <c r="N200">
        <v>15.019309044</v>
      </c>
    </row>
    <row r="201" spans="1:14" x14ac:dyDescent="0.25">
      <c r="A201">
        <v>77.171598000000003</v>
      </c>
      <c r="B201" s="1">
        <f>DATE(2010,7,17) + TIME(4,7,6)</f>
        <v>40376.171597222223</v>
      </c>
      <c r="C201">
        <v>550</v>
      </c>
      <c r="D201">
        <v>0</v>
      </c>
      <c r="E201">
        <v>0</v>
      </c>
      <c r="F201">
        <v>550</v>
      </c>
      <c r="G201">
        <v>1346.3452147999999</v>
      </c>
      <c r="H201">
        <v>1341.9222411999999</v>
      </c>
      <c r="I201">
        <v>1314.9769286999999</v>
      </c>
      <c r="J201">
        <v>1305.6555175999999</v>
      </c>
      <c r="K201">
        <v>80</v>
      </c>
      <c r="L201">
        <v>79.713218689000001</v>
      </c>
      <c r="M201">
        <v>60</v>
      </c>
      <c r="N201">
        <v>15.022601128</v>
      </c>
    </row>
    <row r="202" spans="1:14" x14ac:dyDescent="0.25">
      <c r="A202">
        <v>77.776435000000006</v>
      </c>
      <c r="B202" s="1">
        <f>DATE(2010,7,17) + TIME(18,38,3)</f>
        <v>40376.776423611111</v>
      </c>
      <c r="C202">
        <v>550</v>
      </c>
      <c r="D202">
        <v>0</v>
      </c>
      <c r="E202">
        <v>0</v>
      </c>
      <c r="F202">
        <v>550</v>
      </c>
      <c r="G202">
        <v>1346.3195800999999</v>
      </c>
      <c r="H202">
        <v>1341.8999022999999</v>
      </c>
      <c r="I202">
        <v>1314.9924315999999</v>
      </c>
      <c r="J202">
        <v>1305.666626</v>
      </c>
      <c r="K202">
        <v>80</v>
      </c>
      <c r="L202">
        <v>79.713378906000003</v>
      </c>
      <c r="M202">
        <v>60</v>
      </c>
      <c r="N202">
        <v>15.024787903</v>
      </c>
    </row>
    <row r="203" spans="1:14" x14ac:dyDescent="0.25">
      <c r="A203">
        <v>78.381271999999996</v>
      </c>
      <c r="B203" s="1">
        <f>DATE(2010,7,18) + TIME(9,9,1)</f>
        <v>40377.381261574075</v>
      </c>
      <c r="C203">
        <v>550</v>
      </c>
      <c r="D203">
        <v>0</v>
      </c>
      <c r="E203">
        <v>0</v>
      </c>
      <c r="F203">
        <v>550</v>
      </c>
      <c r="G203">
        <v>1346.3067627</v>
      </c>
      <c r="H203">
        <v>1341.8886719</v>
      </c>
      <c r="I203">
        <v>1315.0004882999999</v>
      </c>
      <c r="J203">
        <v>1305.6724853999999</v>
      </c>
      <c r="K203">
        <v>80</v>
      </c>
      <c r="L203">
        <v>79.713546753000003</v>
      </c>
      <c r="M203">
        <v>60</v>
      </c>
      <c r="N203">
        <v>15.027096748</v>
      </c>
    </row>
    <row r="204" spans="1:14" x14ac:dyDescent="0.25">
      <c r="A204">
        <v>78.986108999999999</v>
      </c>
      <c r="B204" s="1">
        <f>DATE(2010,7,18) + TIME(23,39,59)</f>
        <v>40377.98609953704</v>
      </c>
      <c r="C204">
        <v>550</v>
      </c>
      <c r="D204">
        <v>0</v>
      </c>
      <c r="E204">
        <v>0</v>
      </c>
      <c r="F204">
        <v>550</v>
      </c>
      <c r="G204">
        <v>1346.2940673999999</v>
      </c>
      <c r="H204">
        <v>1341.8775635</v>
      </c>
      <c r="I204">
        <v>1315.0085449000001</v>
      </c>
      <c r="J204">
        <v>1305.6784668</v>
      </c>
      <c r="K204">
        <v>80</v>
      </c>
      <c r="L204">
        <v>79.713722228999998</v>
      </c>
      <c r="M204">
        <v>60</v>
      </c>
      <c r="N204">
        <v>15.029541969</v>
      </c>
    </row>
    <row r="205" spans="1:14" x14ac:dyDescent="0.25">
      <c r="A205">
        <v>79.590136000000001</v>
      </c>
      <c r="B205" s="1">
        <f>DATE(2010,7,19) + TIME(14,9,47)</f>
        <v>40378.590127314812</v>
      </c>
      <c r="C205">
        <v>550</v>
      </c>
      <c r="D205">
        <v>0</v>
      </c>
      <c r="E205">
        <v>0</v>
      </c>
      <c r="F205">
        <v>550</v>
      </c>
      <c r="G205">
        <v>1346.2813721</v>
      </c>
      <c r="H205">
        <v>1341.8665771000001</v>
      </c>
      <c r="I205">
        <v>1315.0167236</v>
      </c>
      <c r="J205">
        <v>1305.6845702999999</v>
      </c>
      <c r="K205">
        <v>80</v>
      </c>
      <c r="L205">
        <v>79.713890075999998</v>
      </c>
      <c r="M205">
        <v>60</v>
      </c>
      <c r="N205">
        <v>15.032132149000001</v>
      </c>
    </row>
    <row r="206" spans="1:14" x14ac:dyDescent="0.25">
      <c r="A206">
        <v>80.193572000000003</v>
      </c>
      <c r="B206" s="1">
        <f>DATE(2010,7,20) + TIME(4,38,44)</f>
        <v>40379.193564814814</v>
      </c>
      <c r="C206">
        <v>550</v>
      </c>
      <c r="D206">
        <v>0</v>
      </c>
      <c r="E206">
        <v>0</v>
      </c>
      <c r="F206">
        <v>550</v>
      </c>
      <c r="G206">
        <v>1346.2689209</v>
      </c>
      <c r="H206">
        <v>1341.8557129000001</v>
      </c>
      <c r="I206">
        <v>1315.0250243999999</v>
      </c>
      <c r="J206">
        <v>1305.6906738</v>
      </c>
      <c r="K206">
        <v>80</v>
      </c>
      <c r="L206">
        <v>79.714065551999994</v>
      </c>
      <c r="M206">
        <v>60</v>
      </c>
      <c r="N206">
        <v>15.034878730999999</v>
      </c>
    </row>
    <row r="207" spans="1:14" x14ac:dyDescent="0.25">
      <c r="A207">
        <v>80.796698000000006</v>
      </c>
      <c r="B207" s="1">
        <f>DATE(2010,7,20) + TIME(19,7,14)</f>
        <v>40379.796689814815</v>
      </c>
      <c r="C207">
        <v>550</v>
      </c>
      <c r="D207">
        <v>0</v>
      </c>
      <c r="E207">
        <v>0</v>
      </c>
      <c r="F207">
        <v>550</v>
      </c>
      <c r="G207">
        <v>1346.2564697</v>
      </c>
      <c r="H207">
        <v>1341.8448486</v>
      </c>
      <c r="I207">
        <v>1315.0334473</v>
      </c>
      <c r="J207">
        <v>1305.6968993999999</v>
      </c>
      <c r="K207">
        <v>80</v>
      </c>
      <c r="L207">
        <v>79.714241028000004</v>
      </c>
      <c r="M207">
        <v>60</v>
      </c>
      <c r="N207">
        <v>15.037794113</v>
      </c>
    </row>
    <row r="208" spans="1:14" x14ac:dyDescent="0.25">
      <c r="A208">
        <v>81.399437000000006</v>
      </c>
      <c r="B208" s="1">
        <f>DATE(2010,7,21) + TIME(9,35,11)</f>
        <v>40380.39943287037</v>
      </c>
      <c r="C208">
        <v>550</v>
      </c>
      <c r="D208">
        <v>0</v>
      </c>
      <c r="E208">
        <v>0</v>
      </c>
      <c r="F208">
        <v>550</v>
      </c>
      <c r="G208">
        <v>1346.2441406</v>
      </c>
      <c r="H208">
        <v>1341.8341064000001</v>
      </c>
      <c r="I208">
        <v>1315.0418701000001</v>
      </c>
      <c r="J208">
        <v>1305.703125</v>
      </c>
      <c r="K208">
        <v>80</v>
      </c>
      <c r="L208">
        <v>79.714416503999999</v>
      </c>
      <c r="M208">
        <v>60</v>
      </c>
      <c r="N208">
        <v>15.040890694</v>
      </c>
    </row>
    <row r="209" spans="1:14" x14ac:dyDescent="0.25">
      <c r="A209">
        <v>82.002176000000006</v>
      </c>
      <c r="B209" s="1">
        <f>DATE(2010,7,22) + TIME(0,3,8)</f>
        <v>40381.002175925925</v>
      </c>
      <c r="C209">
        <v>550</v>
      </c>
      <c r="D209">
        <v>0</v>
      </c>
      <c r="E209">
        <v>0</v>
      </c>
      <c r="F209">
        <v>550</v>
      </c>
      <c r="G209">
        <v>1346.2318115</v>
      </c>
      <c r="H209">
        <v>1341.8234863</v>
      </c>
      <c r="I209">
        <v>1315.050293</v>
      </c>
      <c r="J209">
        <v>1305.7094727000001</v>
      </c>
      <c r="K209">
        <v>80</v>
      </c>
      <c r="L209">
        <v>79.714599609000004</v>
      </c>
      <c r="M209">
        <v>60</v>
      </c>
      <c r="N209">
        <v>15.04418087</v>
      </c>
    </row>
    <row r="210" spans="1:14" x14ac:dyDescent="0.25">
      <c r="A210">
        <v>82.604916000000003</v>
      </c>
      <c r="B210" s="1">
        <f>DATE(2010,7,22) + TIME(14,31,4)</f>
        <v>40381.604907407411</v>
      </c>
      <c r="C210">
        <v>550</v>
      </c>
      <c r="D210">
        <v>0</v>
      </c>
      <c r="E210">
        <v>0</v>
      </c>
      <c r="F210">
        <v>550</v>
      </c>
      <c r="G210">
        <v>1346.2196045000001</v>
      </c>
      <c r="H210">
        <v>1341.8128661999999</v>
      </c>
      <c r="I210">
        <v>1315.0589600000001</v>
      </c>
      <c r="J210">
        <v>1305.7158202999999</v>
      </c>
      <c r="K210">
        <v>80</v>
      </c>
      <c r="L210">
        <v>79.714775084999999</v>
      </c>
      <c r="M210">
        <v>60</v>
      </c>
      <c r="N210">
        <v>15.047677994000001</v>
      </c>
    </row>
    <row r="211" spans="1:14" x14ac:dyDescent="0.25">
      <c r="A211">
        <v>83.207655000000003</v>
      </c>
      <c r="B211" s="1">
        <f>DATE(2010,7,23) + TIME(4,59,1)</f>
        <v>40382.207650462966</v>
      </c>
      <c r="C211">
        <v>550</v>
      </c>
      <c r="D211">
        <v>0</v>
      </c>
      <c r="E211">
        <v>0</v>
      </c>
      <c r="F211">
        <v>550</v>
      </c>
      <c r="G211">
        <v>1346.2075195</v>
      </c>
      <c r="H211">
        <v>1341.8023682</v>
      </c>
      <c r="I211">
        <v>1315.0676269999999</v>
      </c>
      <c r="J211">
        <v>1305.7222899999999</v>
      </c>
      <c r="K211">
        <v>80</v>
      </c>
      <c r="L211">
        <v>79.714950561999999</v>
      </c>
      <c r="M211">
        <v>60</v>
      </c>
      <c r="N211">
        <v>15.051393509</v>
      </c>
    </row>
    <row r="212" spans="1:14" x14ac:dyDescent="0.25">
      <c r="A212">
        <v>84.413133000000002</v>
      </c>
      <c r="B212" s="1">
        <f>DATE(2010,7,24) + TIME(9,54,54)</f>
        <v>40383.413124999999</v>
      </c>
      <c r="C212">
        <v>550</v>
      </c>
      <c r="D212">
        <v>0</v>
      </c>
      <c r="E212">
        <v>0</v>
      </c>
      <c r="F212">
        <v>550</v>
      </c>
      <c r="G212">
        <v>1346.1956786999999</v>
      </c>
      <c r="H212">
        <v>1341.7922363</v>
      </c>
      <c r="I212">
        <v>1315.0760498</v>
      </c>
      <c r="J212">
        <v>1305.729126</v>
      </c>
      <c r="K212">
        <v>80</v>
      </c>
      <c r="L212">
        <v>79.715354919000006</v>
      </c>
      <c r="M212">
        <v>60</v>
      </c>
      <c r="N212">
        <v>15.058320998999999</v>
      </c>
    </row>
    <row r="213" spans="1:14" x14ac:dyDescent="0.25">
      <c r="A213">
        <v>85.619877000000002</v>
      </c>
      <c r="B213" s="1">
        <f>DATE(2010,7,25) + TIME(14,52,37)</f>
        <v>40384.619872685187</v>
      </c>
      <c r="C213">
        <v>550</v>
      </c>
      <c r="D213">
        <v>0</v>
      </c>
      <c r="E213">
        <v>0</v>
      </c>
      <c r="F213">
        <v>550</v>
      </c>
      <c r="G213">
        <v>1346.171875</v>
      </c>
      <c r="H213">
        <v>1341.7714844</v>
      </c>
      <c r="I213">
        <v>1315.0936279</v>
      </c>
      <c r="J213">
        <v>1305.7423096</v>
      </c>
      <c r="K213">
        <v>80</v>
      </c>
      <c r="L213">
        <v>79.715736389</v>
      </c>
      <c r="M213">
        <v>60</v>
      </c>
      <c r="N213">
        <v>15.066356659</v>
      </c>
    </row>
    <row r="214" spans="1:14" x14ac:dyDescent="0.25">
      <c r="A214">
        <v>86.833151999999998</v>
      </c>
      <c r="B214" s="1">
        <f>DATE(2010,7,26) + TIME(19,59,44)</f>
        <v>40385.833148148151</v>
      </c>
      <c r="C214">
        <v>550</v>
      </c>
      <c r="D214">
        <v>0</v>
      </c>
      <c r="E214">
        <v>0</v>
      </c>
      <c r="F214">
        <v>550</v>
      </c>
      <c r="G214">
        <v>1346.1480713000001</v>
      </c>
      <c r="H214">
        <v>1341.7509766000001</v>
      </c>
      <c r="I214">
        <v>1315.1116943</v>
      </c>
      <c r="J214">
        <v>1305.7558594</v>
      </c>
      <c r="K214">
        <v>80</v>
      </c>
      <c r="L214">
        <v>79.716110228999995</v>
      </c>
      <c r="M214">
        <v>60</v>
      </c>
      <c r="N214">
        <v>15.075601578000001</v>
      </c>
    </row>
    <row r="215" spans="1:14" x14ac:dyDescent="0.25">
      <c r="A215">
        <v>88.054875999999993</v>
      </c>
      <c r="B215" s="1">
        <f>DATE(2010,7,28) + TIME(1,19,1)</f>
        <v>40387.054872685185</v>
      </c>
      <c r="C215">
        <v>550</v>
      </c>
      <c r="D215">
        <v>0</v>
      </c>
      <c r="E215">
        <v>0</v>
      </c>
      <c r="F215">
        <v>550</v>
      </c>
      <c r="G215">
        <v>1346.1245117000001</v>
      </c>
      <c r="H215">
        <v>1341.7305908000001</v>
      </c>
      <c r="I215">
        <v>1315.1301269999999</v>
      </c>
      <c r="J215">
        <v>1305.7697754000001</v>
      </c>
      <c r="K215">
        <v>80</v>
      </c>
      <c r="L215">
        <v>79.716484070000007</v>
      </c>
      <c r="M215">
        <v>60</v>
      </c>
      <c r="N215">
        <v>15.086174011000001</v>
      </c>
    </row>
    <row r="216" spans="1:14" x14ac:dyDescent="0.25">
      <c r="A216">
        <v>89.286972000000006</v>
      </c>
      <c r="B216" s="1">
        <f>DATE(2010,7,29) + TIME(6,53,14)</f>
        <v>40388.28696759259</v>
      </c>
      <c r="C216">
        <v>550</v>
      </c>
      <c r="D216">
        <v>0</v>
      </c>
      <c r="E216">
        <v>0</v>
      </c>
      <c r="F216">
        <v>550</v>
      </c>
      <c r="G216">
        <v>1346.1010742000001</v>
      </c>
      <c r="H216">
        <v>1341.7103271000001</v>
      </c>
      <c r="I216">
        <v>1315.1491699000001</v>
      </c>
      <c r="J216">
        <v>1305.7843018000001</v>
      </c>
      <c r="K216">
        <v>80</v>
      </c>
      <c r="L216">
        <v>79.716857910000002</v>
      </c>
      <c r="M216">
        <v>60</v>
      </c>
      <c r="N216">
        <v>15.098216057</v>
      </c>
    </row>
    <row r="217" spans="1:14" x14ac:dyDescent="0.25">
      <c r="A217">
        <v>90.531298000000007</v>
      </c>
      <c r="B217" s="1">
        <f>DATE(2010,7,30) + TIME(12,45,4)</f>
        <v>40389.5312962963</v>
      </c>
      <c r="C217">
        <v>550</v>
      </c>
      <c r="D217">
        <v>0</v>
      </c>
      <c r="E217">
        <v>0</v>
      </c>
      <c r="F217">
        <v>550</v>
      </c>
      <c r="G217">
        <v>1346.0776367000001</v>
      </c>
      <c r="H217">
        <v>1341.6900635</v>
      </c>
      <c r="I217">
        <v>1315.1685791</v>
      </c>
      <c r="J217">
        <v>1305.7993164</v>
      </c>
      <c r="K217">
        <v>80</v>
      </c>
      <c r="L217">
        <v>79.717231749999996</v>
      </c>
      <c r="M217">
        <v>60</v>
      </c>
      <c r="N217">
        <v>15.111900329999999</v>
      </c>
    </row>
    <row r="218" spans="1:14" x14ac:dyDescent="0.25">
      <c r="A218">
        <v>91.789484000000002</v>
      </c>
      <c r="B218" s="1">
        <f>DATE(2010,7,31) + TIME(18,56,51)</f>
        <v>40390.789479166669</v>
      </c>
      <c r="C218">
        <v>550</v>
      </c>
      <c r="D218">
        <v>0</v>
      </c>
      <c r="E218">
        <v>0</v>
      </c>
      <c r="F218">
        <v>550</v>
      </c>
      <c r="G218">
        <v>1346.0541992000001</v>
      </c>
      <c r="H218">
        <v>1341.6697998</v>
      </c>
      <c r="I218">
        <v>1315.1887207</v>
      </c>
      <c r="J218">
        <v>1305.8149414</v>
      </c>
      <c r="K218">
        <v>80</v>
      </c>
      <c r="L218">
        <v>79.717605590999995</v>
      </c>
      <c r="M218">
        <v>60</v>
      </c>
      <c r="N218">
        <v>15.12742424</v>
      </c>
    </row>
    <row r="219" spans="1:14" x14ac:dyDescent="0.25">
      <c r="A219">
        <v>92</v>
      </c>
      <c r="B219" s="1">
        <f>DATE(2010,8,1) + TIME(0,0,0)</f>
        <v>40391</v>
      </c>
      <c r="C219">
        <v>550</v>
      </c>
      <c r="D219">
        <v>0</v>
      </c>
      <c r="E219">
        <v>0</v>
      </c>
      <c r="F219">
        <v>550</v>
      </c>
      <c r="G219">
        <v>1346.0306396000001</v>
      </c>
      <c r="H219">
        <v>1341.6495361</v>
      </c>
      <c r="I219">
        <v>1315.2104492000001</v>
      </c>
      <c r="J219">
        <v>1305.8298339999999</v>
      </c>
      <c r="K219">
        <v>80</v>
      </c>
      <c r="L219">
        <v>79.717651367000002</v>
      </c>
      <c r="M219">
        <v>60</v>
      </c>
      <c r="N219">
        <v>15.131129265</v>
      </c>
    </row>
    <row r="220" spans="1:14" x14ac:dyDescent="0.25">
      <c r="A220">
        <v>93.274145000000004</v>
      </c>
      <c r="B220" s="1">
        <f>DATE(2010,8,2) + TIME(6,34,46)</f>
        <v>40392.274143518516</v>
      </c>
      <c r="C220">
        <v>550</v>
      </c>
      <c r="D220">
        <v>0</v>
      </c>
      <c r="E220">
        <v>0</v>
      </c>
      <c r="F220">
        <v>550</v>
      </c>
      <c r="G220">
        <v>1346.0267334</v>
      </c>
      <c r="H220">
        <v>1341.6461182</v>
      </c>
      <c r="I220">
        <v>1315.2130127</v>
      </c>
      <c r="J220">
        <v>1305.8341064000001</v>
      </c>
      <c r="K220">
        <v>80</v>
      </c>
      <c r="L220">
        <v>79.718040466000005</v>
      </c>
      <c r="M220">
        <v>60</v>
      </c>
      <c r="N220">
        <v>15.148874283</v>
      </c>
    </row>
    <row r="221" spans="1:14" x14ac:dyDescent="0.25">
      <c r="A221">
        <v>94.569762999999995</v>
      </c>
      <c r="B221" s="1">
        <f>DATE(2010,8,3) + TIME(13,40,27)</f>
        <v>40393.569756944446</v>
      </c>
      <c r="C221">
        <v>550</v>
      </c>
      <c r="D221">
        <v>0</v>
      </c>
      <c r="E221">
        <v>0</v>
      </c>
      <c r="F221">
        <v>550</v>
      </c>
      <c r="G221">
        <v>1346.0032959</v>
      </c>
      <c r="H221">
        <v>1341.6259766000001</v>
      </c>
      <c r="I221">
        <v>1315.2344971</v>
      </c>
      <c r="J221">
        <v>1305.8511963000001</v>
      </c>
      <c r="K221">
        <v>80</v>
      </c>
      <c r="L221">
        <v>79.718429564999994</v>
      </c>
      <c r="M221">
        <v>60</v>
      </c>
      <c r="N221">
        <v>15.169094085999999</v>
      </c>
    </row>
    <row r="222" spans="1:14" x14ac:dyDescent="0.25">
      <c r="A222">
        <v>95.886585999999994</v>
      </c>
      <c r="B222" s="1">
        <f>DATE(2010,8,4) + TIME(21,16,40)</f>
        <v>40394.886574074073</v>
      </c>
      <c r="C222">
        <v>550</v>
      </c>
      <c r="D222">
        <v>0</v>
      </c>
      <c r="E222">
        <v>0</v>
      </c>
      <c r="F222">
        <v>550</v>
      </c>
      <c r="G222">
        <v>1345.9796143000001</v>
      </c>
      <c r="H222">
        <v>1341.6055908000001</v>
      </c>
      <c r="I222">
        <v>1315.2569579999999</v>
      </c>
      <c r="J222">
        <v>1305.8691406</v>
      </c>
      <c r="K222">
        <v>80</v>
      </c>
      <c r="L222">
        <v>79.718826293999996</v>
      </c>
      <c r="M222">
        <v>60</v>
      </c>
      <c r="N222">
        <v>15.192084312</v>
      </c>
    </row>
    <row r="223" spans="1:14" x14ac:dyDescent="0.25">
      <c r="A223">
        <v>96.555661999999998</v>
      </c>
      <c r="B223" s="1">
        <f>DATE(2010,8,5) + TIME(13,20,9)</f>
        <v>40395.555659722224</v>
      </c>
      <c r="C223">
        <v>550</v>
      </c>
      <c r="D223">
        <v>0</v>
      </c>
      <c r="E223">
        <v>0</v>
      </c>
      <c r="F223">
        <v>550</v>
      </c>
      <c r="G223">
        <v>1345.9555664</v>
      </c>
      <c r="H223">
        <v>1341.5847168</v>
      </c>
      <c r="I223">
        <v>1315.28125</v>
      </c>
      <c r="J223">
        <v>1305.887207</v>
      </c>
      <c r="K223">
        <v>80</v>
      </c>
      <c r="L223">
        <v>79.719001770000006</v>
      </c>
      <c r="M223">
        <v>60</v>
      </c>
      <c r="N223">
        <v>15.207149506</v>
      </c>
    </row>
    <row r="224" spans="1:14" x14ac:dyDescent="0.25">
      <c r="A224">
        <v>97.224739</v>
      </c>
      <c r="B224" s="1">
        <f>DATE(2010,8,6) + TIME(5,23,37)</f>
        <v>40396.224733796298</v>
      </c>
      <c r="C224">
        <v>550</v>
      </c>
      <c r="D224">
        <v>0</v>
      </c>
      <c r="E224">
        <v>0</v>
      </c>
      <c r="F224">
        <v>550</v>
      </c>
      <c r="G224">
        <v>1345.9434814000001</v>
      </c>
      <c r="H224">
        <v>1341.5742187999999</v>
      </c>
      <c r="I224">
        <v>1315.2933350000001</v>
      </c>
      <c r="J224">
        <v>1305.8973389</v>
      </c>
      <c r="K224">
        <v>80</v>
      </c>
      <c r="L224">
        <v>79.719177246000001</v>
      </c>
      <c r="M224">
        <v>60</v>
      </c>
      <c r="N224">
        <v>15.222808838000001</v>
      </c>
    </row>
    <row r="225" spans="1:14" x14ac:dyDescent="0.25">
      <c r="A225">
        <v>97.893816000000001</v>
      </c>
      <c r="B225" s="1">
        <f>DATE(2010,8,6) + TIME(21,27,5)</f>
        <v>40396.893807870372</v>
      </c>
      <c r="C225">
        <v>550</v>
      </c>
      <c r="D225">
        <v>0</v>
      </c>
      <c r="E225">
        <v>0</v>
      </c>
      <c r="F225">
        <v>550</v>
      </c>
      <c r="G225">
        <v>1345.9315185999999</v>
      </c>
      <c r="H225">
        <v>1341.5638428</v>
      </c>
      <c r="I225">
        <v>1315.3054199000001</v>
      </c>
      <c r="J225">
        <v>1305.9074707</v>
      </c>
      <c r="K225">
        <v>80</v>
      </c>
      <c r="L225">
        <v>79.719367981000005</v>
      </c>
      <c r="M225">
        <v>60</v>
      </c>
      <c r="N225">
        <v>15.239131927000001</v>
      </c>
    </row>
    <row r="226" spans="1:14" x14ac:dyDescent="0.25">
      <c r="A226">
        <v>98.562893000000003</v>
      </c>
      <c r="B226" s="1">
        <f>DATE(2010,8,7) + TIME(13,30,33)</f>
        <v>40397.562881944446</v>
      </c>
      <c r="C226">
        <v>550</v>
      </c>
      <c r="D226">
        <v>0</v>
      </c>
      <c r="E226">
        <v>0</v>
      </c>
      <c r="F226">
        <v>550</v>
      </c>
      <c r="G226">
        <v>1345.9195557</v>
      </c>
      <c r="H226">
        <v>1341.5535889</v>
      </c>
      <c r="I226">
        <v>1315.317749</v>
      </c>
      <c r="J226">
        <v>1305.9178466999999</v>
      </c>
      <c r="K226">
        <v>80</v>
      </c>
      <c r="L226">
        <v>79.719551085999996</v>
      </c>
      <c r="M226">
        <v>60</v>
      </c>
      <c r="N226">
        <v>15.256178856</v>
      </c>
    </row>
    <row r="227" spans="1:14" x14ac:dyDescent="0.25">
      <c r="A227">
        <v>99.231969000000007</v>
      </c>
      <c r="B227" s="1">
        <f>DATE(2010,8,8) + TIME(5,34,2)</f>
        <v>40398.23196759259</v>
      </c>
      <c r="C227">
        <v>550</v>
      </c>
      <c r="D227">
        <v>0</v>
      </c>
      <c r="E227">
        <v>0</v>
      </c>
      <c r="F227">
        <v>550</v>
      </c>
      <c r="G227">
        <v>1345.9077147999999</v>
      </c>
      <c r="H227">
        <v>1341.5433350000001</v>
      </c>
      <c r="I227">
        <v>1315.3302002</v>
      </c>
      <c r="J227">
        <v>1305.9284668</v>
      </c>
      <c r="K227">
        <v>80</v>
      </c>
      <c r="L227">
        <v>79.719741821</v>
      </c>
      <c r="M227">
        <v>60</v>
      </c>
      <c r="N227">
        <v>15.274011612000001</v>
      </c>
    </row>
    <row r="228" spans="1:14" x14ac:dyDescent="0.25">
      <c r="A228">
        <v>99.901045999999994</v>
      </c>
      <c r="B228" s="1">
        <f>DATE(2010,8,8) + TIME(21,37,30)</f>
        <v>40398.901041666664</v>
      </c>
      <c r="C228">
        <v>550</v>
      </c>
      <c r="D228">
        <v>0</v>
      </c>
      <c r="E228">
        <v>0</v>
      </c>
      <c r="F228">
        <v>550</v>
      </c>
      <c r="G228">
        <v>1345.895874</v>
      </c>
      <c r="H228">
        <v>1341.5330810999999</v>
      </c>
      <c r="I228">
        <v>1315.3427733999999</v>
      </c>
      <c r="J228">
        <v>1305.9392089999999</v>
      </c>
      <c r="K228">
        <v>80</v>
      </c>
      <c r="L228">
        <v>79.719932556000003</v>
      </c>
      <c r="M228">
        <v>60</v>
      </c>
      <c r="N228">
        <v>15.292686462000001</v>
      </c>
    </row>
    <row r="229" spans="1:14" x14ac:dyDescent="0.25">
      <c r="A229">
        <v>100.570123</v>
      </c>
      <c r="B229" s="1">
        <f>DATE(2010,8,9) + TIME(13,40,58)</f>
        <v>40399.570115740738</v>
      </c>
      <c r="C229">
        <v>550</v>
      </c>
      <c r="D229">
        <v>0</v>
      </c>
      <c r="E229">
        <v>0</v>
      </c>
      <c r="F229">
        <v>550</v>
      </c>
      <c r="G229">
        <v>1345.8841553</v>
      </c>
      <c r="H229">
        <v>1341.5229492000001</v>
      </c>
      <c r="I229">
        <v>1315.3554687999999</v>
      </c>
      <c r="J229">
        <v>1305.9501952999999</v>
      </c>
      <c r="K229">
        <v>80</v>
      </c>
      <c r="L229">
        <v>79.720130920000003</v>
      </c>
      <c r="M229">
        <v>60</v>
      </c>
      <c r="N229">
        <v>15.312257767</v>
      </c>
    </row>
    <row r="230" spans="1:14" x14ac:dyDescent="0.25">
      <c r="A230">
        <v>101.2392</v>
      </c>
      <c r="B230" s="1">
        <f>DATE(2010,8,10) + TIME(5,44,26)</f>
        <v>40400.239189814813</v>
      </c>
      <c r="C230">
        <v>550</v>
      </c>
      <c r="D230">
        <v>0</v>
      </c>
      <c r="E230">
        <v>0</v>
      </c>
      <c r="F230">
        <v>550</v>
      </c>
      <c r="G230">
        <v>1345.8724365</v>
      </c>
      <c r="H230">
        <v>1341.5128173999999</v>
      </c>
      <c r="I230">
        <v>1315.3682861</v>
      </c>
      <c r="J230">
        <v>1305.9614257999999</v>
      </c>
      <c r="K230">
        <v>80</v>
      </c>
      <c r="L230">
        <v>79.720321655000006</v>
      </c>
      <c r="M230">
        <v>60</v>
      </c>
      <c r="N230">
        <v>15.332781792</v>
      </c>
    </row>
    <row r="231" spans="1:14" x14ac:dyDescent="0.25">
      <c r="A231">
        <v>101.908276</v>
      </c>
      <c r="B231" s="1">
        <f>DATE(2010,8,10) + TIME(21,47,55)</f>
        <v>40400.908275462964</v>
      </c>
      <c r="C231">
        <v>550</v>
      </c>
      <c r="D231">
        <v>0</v>
      </c>
      <c r="E231">
        <v>0</v>
      </c>
      <c r="F231">
        <v>550</v>
      </c>
      <c r="G231">
        <v>1345.8608397999999</v>
      </c>
      <c r="H231">
        <v>1341.5028076000001</v>
      </c>
      <c r="I231">
        <v>1315.3813477000001</v>
      </c>
      <c r="J231">
        <v>1305.9727783000001</v>
      </c>
      <c r="K231">
        <v>80</v>
      </c>
      <c r="L231">
        <v>79.720520019999995</v>
      </c>
      <c r="M231">
        <v>60</v>
      </c>
      <c r="N231">
        <v>15.354309082</v>
      </c>
    </row>
    <row r="232" spans="1:14" x14ac:dyDescent="0.25">
      <c r="A232">
        <v>102.577353</v>
      </c>
      <c r="B232" s="1">
        <f>DATE(2010,8,11) + TIME(13,51,23)</f>
        <v>40401.577349537038</v>
      </c>
      <c r="C232">
        <v>550</v>
      </c>
      <c r="D232">
        <v>0</v>
      </c>
      <c r="E232">
        <v>0</v>
      </c>
      <c r="F232">
        <v>550</v>
      </c>
      <c r="G232">
        <v>1345.8492432</v>
      </c>
      <c r="H232">
        <v>1341.4927978999999</v>
      </c>
      <c r="I232">
        <v>1315.3944091999999</v>
      </c>
      <c r="J232">
        <v>1305.984375</v>
      </c>
      <c r="K232">
        <v>80</v>
      </c>
      <c r="L232">
        <v>79.720718383999994</v>
      </c>
      <c r="M232">
        <v>60</v>
      </c>
      <c r="N232">
        <v>15.376893043999999</v>
      </c>
    </row>
    <row r="233" spans="1:14" x14ac:dyDescent="0.25">
      <c r="A233">
        <v>103.24643</v>
      </c>
      <c r="B233" s="1">
        <f>DATE(2010,8,12) + TIME(5,54,51)</f>
        <v>40402.246423611112</v>
      </c>
      <c r="C233">
        <v>550</v>
      </c>
      <c r="D233">
        <v>0</v>
      </c>
      <c r="E233">
        <v>0</v>
      </c>
      <c r="F233">
        <v>550</v>
      </c>
      <c r="G233">
        <v>1345.8376464999999</v>
      </c>
      <c r="H233">
        <v>1341.4827881000001</v>
      </c>
      <c r="I233">
        <v>1315.4077147999999</v>
      </c>
      <c r="J233">
        <v>1305.9962158000001</v>
      </c>
      <c r="K233">
        <v>80</v>
      </c>
      <c r="L233">
        <v>79.720916747999993</v>
      </c>
      <c r="M233">
        <v>60</v>
      </c>
      <c r="N233">
        <v>15.400585175</v>
      </c>
    </row>
    <row r="234" spans="1:14" x14ac:dyDescent="0.25">
      <c r="A234">
        <v>103.91550700000001</v>
      </c>
      <c r="B234" s="1">
        <f>DATE(2010,8,12) + TIME(21,58,19)</f>
        <v>40402.915497685186</v>
      </c>
      <c r="C234">
        <v>550</v>
      </c>
      <c r="D234">
        <v>0</v>
      </c>
      <c r="E234">
        <v>0</v>
      </c>
      <c r="F234">
        <v>550</v>
      </c>
      <c r="G234">
        <v>1345.8261719</v>
      </c>
      <c r="H234">
        <v>1341.4727783000001</v>
      </c>
      <c r="I234">
        <v>1315.4211425999999</v>
      </c>
      <c r="J234">
        <v>1306.0083007999999</v>
      </c>
      <c r="K234">
        <v>80</v>
      </c>
      <c r="L234">
        <v>79.721107482999997</v>
      </c>
      <c r="M234">
        <v>60</v>
      </c>
      <c r="N234">
        <v>15.425436974</v>
      </c>
    </row>
    <row r="235" spans="1:14" x14ac:dyDescent="0.25">
      <c r="A235">
        <v>104.58458400000001</v>
      </c>
      <c r="B235" s="1">
        <f>DATE(2010,8,13) + TIME(14,1,48)</f>
        <v>40403.584583333337</v>
      </c>
      <c r="C235">
        <v>550</v>
      </c>
      <c r="D235">
        <v>0</v>
      </c>
      <c r="E235">
        <v>0</v>
      </c>
      <c r="F235">
        <v>550</v>
      </c>
      <c r="G235">
        <v>1345.8146973</v>
      </c>
      <c r="H235">
        <v>1341.4628906</v>
      </c>
      <c r="I235">
        <v>1315.4346923999999</v>
      </c>
      <c r="J235">
        <v>1306.0206298999999</v>
      </c>
      <c r="K235">
        <v>80</v>
      </c>
      <c r="L235">
        <v>79.721305846999996</v>
      </c>
      <c r="M235">
        <v>60</v>
      </c>
      <c r="N235">
        <v>15.451498985000001</v>
      </c>
    </row>
    <row r="236" spans="1:14" x14ac:dyDescent="0.25">
      <c r="A236">
        <v>105.25366</v>
      </c>
      <c r="B236" s="1">
        <f>DATE(2010,8,14) + TIME(6,5,16)</f>
        <v>40404.253657407404</v>
      </c>
      <c r="C236">
        <v>550</v>
      </c>
      <c r="D236">
        <v>0</v>
      </c>
      <c r="E236">
        <v>0</v>
      </c>
      <c r="F236">
        <v>550</v>
      </c>
      <c r="G236">
        <v>1345.8033447</v>
      </c>
      <c r="H236">
        <v>1341.4530029</v>
      </c>
      <c r="I236">
        <v>1315.4483643000001</v>
      </c>
      <c r="J236">
        <v>1306.0330810999999</v>
      </c>
      <c r="K236">
        <v>80</v>
      </c>
      <c r="L236">
        <v>79.721504210999996</v>
      </c>
      <c r="M236">
        <v>60</v>
      </c>
      <c r="N236">
        <v>15.478822707999999</v>
      </c>
    </row>
    <row r="237" spans="1:14" x14ac:dyDescent="0.25">
      <c r="A237">
        <v>105.922737</v>
      </c>
      <c r="B237" s="1">
        <f>DATE(2010,8,14) + TIME(22,8,44)</f>
        <v>40404.922731481478</v>
      </c>
      <c r="C237">
        <v>550</v>
      </c>
      <c r="D237">
        <v>0</v>
      </c>
      <c r="E237">
        <v>0</v>
      </c>
      <c r="F237">
        <v>550</v>
      </c>
      <c r="G237">
        <v>1345.7919922000001</v>
      </c>
      <c r="H237">
        <v>1341.4431152</v>
      </c>
      <c r="I237">
        <v>1315.4621582</v>
      </c>
      <c r="J237">
        <v>1306.0458983999999</v>
      </c>
      <c r="K237">
        <v>80</v>
      </c>
      <c r="L237">
        <v>79.721702575999998</v>
      </c>
      <c r="M237">
        <v>60</v>
      </c>
      <c r="N237">
        <v>15.507458687</v>
      </c>
    </row>
    <row r="238" spans="1:14" x14ac:dyDescent="0.25">
      <c r="A238">
        <v>106.591814</v>
      </c>
      <c r="B238" s="1">
        <f>DATE(2010,8,15) + TIME(14,12,12)</f>
        <v>40405.591805555552</v>
      </c>
      <c r="C238">
        <v>550</v>
      </c>
      <c r="D238">
        <v>0</v>
      </c>
      <c r="E238">
        <v>0</v>
      </c>
      <c r="F238">
        <v>550</v>
      </c>
      <c r="G238">
        <v>1345.7806396000001</v>
      </c>
      <c r="H238">
        <v>1341.4333495999999</v>
      </c>
      <c r="I238">
        <v>1315.4760742000001</v>
      </c>
      <c r="J238">
        <v>1306.0589600000001</v>
      </c>
      <c r="K238">
        <v>80</v>
      </c>
      <c r="L238">
        <v>79.721900939999998</v>
      </c>
      <c r="M238">
        <v>60</v>
      </c>
      <c r="N238">
        <v>15.537459373000001</v>
      </c>
    </row>
    <row r="239" spans="1:14" x14ac:dyDescent="0.25">
      <c r="A239">
        <v>107.929967</v>
      </c>
      <c r="B239" s="1">
        <f>DATE(2010,8,16) + TIME(22,19,9)</f>
        <v>40406.929965277777</v>
      </c>
      <c r="C239">
        <v>550</v>
      </c>
      <c r="D239">
        <v>0</v>
      </c>
      <c r="E239">
        <v>0</v>
      </c>
      <c r="F239">
        <v>550</v>
      </c>
      <c r="G239">
        <v>1345.7696533000001</v>
      </c>
      <c r="H239">
        <v>1341.4238281</v>
      </c>
      <c r="I239">
        <v>1315.4879149999999</v>
      </c>
      <c r="J239">
        <v>1306.0739745999999</v>
      </c>
      <c r="K239">
        <v>80</v>
      </c>
      <c r="L239">
        <v>79.722335814999994</v>
      </c>
      <c r="M239">
        <v>60</v>
      </c>
      <c r="N239">
        <v>15.591814995</v>
      </c>
    </row>
    <row r="240" spans="1:14" x14ac:dyDescent="0.25">
      <c r="A240">
        <v>109.269068</v>
      </c>
      <c r="B240" s="1">
        <f>DATE(2010,8,18) + TIME(6,27,27)</f>
        <v>40408.269062500003</v>
      </c>
      <c r="C240">
        <v>550</v>
      </c>
      <c r="D240">
        <v>0</v>
      </c>
      <c r="E240">
        <v>0</v>
      </c>
      <c r="F240">
        <v>550</v>
      </c>
      <c r="G240">
        <v>1345.7471923999999</v>
      </c>
      <c r="H240">
        <v>1341.4045410000001</v>
      </c>
      <c r="I240">
        <v>1315.5166016000001</v>
      </c>
      <c r="J240">
        <v>1306.1008300999999</v>
      </c>
      <c r="K240">
        <v>80</v>
      </c>
      <c r="L240">
        <v>79.722755432</v>
      </c>
      <c r="M240">
        <v>60</v>
      </c>
      <c r="N240">
        <v>15.653593063000001</v>
      </c>
    </row>
    <row r="241" spans="1:14" x14ac:dyDescent="0.25">
      <c r="A241">
        <v>110.62520499999999</v>
      </c>
      <c r="B241" s="1">
        <f>DATE(2010,8,19) + TIME(15,0,17)</f>
        <v>40409.625196759262</v>
      </c>
      <c r="C241">
        <v>550</v>
      </c>
      <c r="D241">
        <v>0</v>
      </c>
      <c r="E241">
        <v>0</v>
      </c>
      <c r="F241">
        <v>550</v>
      </c>
      <c r="G241">
        <v>1345.7249756000001</v>
      </c>
      <c r="H241">
        <v>1341.3852539</v>
      </c>
      <c r="I241">
        <v>1315.5457764</v>
      </c>
      <c r="J241">
        <v>1306.1289062000001</v>
      </c>
      <c r="K241">
        <v>80</v>
      </c>
      <c r="L241">
        <v>79.723175049000005</v>
      </c>
      <c r="M241">
        <v>60</v>
      </c>
      <c r="N241">
        <v>15.723376274</v>
      </c>
    </row>
    <row r="242" spans="1:14" x14ac:dyDescent="0.25">
      <c r="A242">
        <v>112.000659</v>
      </c>
      <c r="B242" s="1">
        <f>DATE(2010,8,21) + TIME(0,0,56)</f>
        <v>40411.000648148147</v>
      </c>
      <c r="C242">
        <v>550</v>
      </c>
      <c r="D242">
        <v>0</v>
      </c>
      <c r="E242">
        <v>0</v>
      </c>
      <c r="F242">
        <v>550</v>
      </c>
      <c r="G242">
        <v>1345.7026367000001</v>
      </c>
      <c r="H242">
        <v>1341.3658447</v>
      </c>
      <c r="I242">
        <v>1315.5756836</v>
      </c>
      <c r="J242">
        <v>1306.1586914</v>
      </c>
      <c r="K242">
        <v>80</v>
      </c>
      <c r="L242">
        <v>79.723594665999997</v>
      </c>
      <c r="M242">
        <v>60</v>
      </c>
      <c r="N242">
        <v>15.801645279000001</v>
      </c>
    </row>
    <row r="243" spans="1:14" x14ac:dyDescent="0.25">
      <c r="A243">
        <v>113.39796800000001</v>
      </c>
      <c r="B243" s="1">
        <f>DATE(2010,8,22) + TIME(9,33,4)</f>
        <v>40412.397962962961</v>
      </c>
      <c r="C243">
        <v>550</v>
      </c>
      <c r="D243">
        <v>0</v>
      </c>
      <c r="E243">
        <v>0</v>
      </c>
      <c r="F243">
        <v>550</v>
      </c>
      <c r="G243">
        <v>1345.6800536999999</v>
      </c>
      <c r="H243">
        <v>1341.3463135</v>
      </c>
      <c r="I243">
        <v>1315.6064452999999</v>
      </c>
      <c r="J243">
        <v>1306.1901855000001</v>
      </c>
      <c r="K243">
        <v>80</v>
      </c>
      <c r="L243">
        <v>79.724014281999999</v>
      </c>
      <c r="M243">
        <v>60</v>
      </c>
      <c r="N243">
        <v>15.889050484</v>
      </c>
    </row>
    <row r="244" spans="1:14" x14ac:dyDescent="0.25">
      <c r="A244">
        <v>114.819873</v>
      </c>
      <c r="B244" s="1">
        <f>DATE(2010,8,23) + TIME(19,40,37)</f>
        <v>40413.819872685184</v>
      </c>
      <c r="C244">
        <v>550</v>
      </c>
      <c r="D244">
        <v>0</v>
      </c>
      <c r="E244">
        <v>0</v>
      </c>
      <c r="F244">
        <v>550</v>
      </c>
      <c r="G244">
        <v>1345.6573486</v>
      </c>
      <c r="H244">
        <v>1341.3265381000001</v>
      </c>
      <c r="I244">
        <v>1315.6381836</v>
      </c>
      <c r="J244">
        <v>1306.2236327999999</v>
      </c>
      <c r="K244">
        <v>80</v>
      </c>
      <c r="L244">
        <v>79.724441528</v>
      </c>
      <c r="M244">
        <v>60</v>
      </c>
      <c r="N244">
        <v>15.986410141</v>
      </c>
    </row>
    <row r="245" spans="1:14" x14ac:dyDescent="0.25">
      <c r="A245">
        <v>115.54350100000001</v>
      </c>
      <c r="B245" s="1">
        <f>DATE(2010,8,24) + TIME(13,2,38)</f>
        <v>40414.543495370373</v>
      </c>
      <c r="C245">
        <v>550</v>
      </c>
      <c r="D245">
        <v>0</v>
      </c>
      <c r="E245">
        <v>0</v>
      </c>
      <c r="F245">
        <v>550</v>
      </c>
      <c r="G245">
        <v>1345.6340332</v>
      </c>
      <c r="H245">
        <v>1341.3063964999999</v>
      </c>
      <c r="I245">
        <v>1315.675293</v>
      </c>
      <c r="J245">
        <v>1306.2561035000001</v>
      </c>
      <c r="K245">
        <v>80</v>
      </c>
      <c r="L245">
        <v>79.724632263000004</v>
      </c>
      <c r="M245">
        <v>60</v>
      </c>
      <c r="N245">
        <v>16.049621582</v>
      </c>
    </row>
    <row r="246" spans="1:14" x14ac:dyDescent="0.25">
      <c r="A246">
        <v>116.267129</v>
      </c>
      <c r="B246" s="1">
        <f>DATE(2010,8,25) + TIME(6,24,39)</f>
        <v>40415.267118055555</v>
      </c>
      <c r="C246">
        <v>550</v>
      </c>
      <c r="D246">
        <v>0</v>
      </c>
      <c r="E246">
        <v>0</v>
      </c>
      <c r="F246">
        <v>550</v>
      </c>
      <c r="G246">
        <v>1345.6223144999999</v>
      </c>
      <c r="H246">
        <v>1341.2961425999999</v>
      </c>
      <c r="I246">
        <v>1315.6918945</v>
      </c>
      <c r="J246">
        <v>1306.2755127</v>
      </c>
      <c r="K246">
        <v>80</v>
      </c>
      <c r="L246">
        <v>79.724830627000003</v>
      </c>
      <c r="M246">
        <v>60</v>
      </c>
      <c r="N246">
        <v>16.114276885999999</v>
      </c>
    </row>
    <row r="247" spans="1:14" x14ac:dyDescent="0.25">
      <c r="A247">
        <v>116.990757</v>
      </c>
      <c r="B247" s="1">
        <f>DATE(2010,8,25) + TIME(23,46,41)</f>
        <v>40415.990752314814</v>
      </c>
      <c r="C247">
        <v>550</v>
      </c>
      <c r="D247">
        <v>0</v>
      </c>
      <c r="E247">
        <v>0</v>
      </c>
      <c r="F247">
        <v>550</v>
      </c>
      <c r="G247">
        <v>1345.6107178</v>
      </c>
      <c r="H247">
        <v>1341.2860106999999</v>
      </c>
      <c r="I247">
        <v>1315.7086182</v>
      </c>
      <c r="J247">
        <v>1306.2952881000001</v>
      </c>
      <c r="K247">
        <v>80</v>
      </c>
      <c r="L247">
        <v>79.725036621000001</v>
      </c>
      <c r="M247">
        <v>60</v>
      </c>
      <c r="N247">
        <v>16.180618286000001</v>
      </c>
    </row>
    <row r="248" spans="1:14" x14ac:dyDescent="0.25">
      <c r="A248">
        <v>117.714386</v>
      </c>
      <c r="B248" s="1">
        <f>DATE(2010,8,26) + TIME(17,8,42)</f>
        <v>40416.714375000003</v>
      </c>
      <c r="C248">
        <v>550</v>
      </c>
      <c r="D248">
        <v>0</v>
      </c>
      <c r="E248">
        <v>0</v>
      </c>
      <c r="F248">
        <v>550</v>
      </c>
      <c r="G248">
        <v>1345.5992432</v>
      </c>
      <c r="H248">
        <v>1341.2758789</v>
      </c>
      <c r="I248">
        <v>1315.7254639</v>
      </c>
      <c r="J248">
        <v>1306.3154297000001</v>
      </c>
      <c r="K248">
        <v>80</v>
      </c>
      <c r="L248">
        <v>79.725242614999999</v>
      </c>
      <c r="M248">
        <v>60</v>
      </c>
      <c r="N248">
        <v>16.248849869000001</v>
      </c>
    </row>
    <row r="249" spans="1:14" x14ac:dyDescent="0.25">
      <c r="A249">
        <v>118.438014</v>
      </c>
      <c r="B249" s="1">
        <f>DATE(2010,8,27) + TIME(10,30,44)</f>
        <v>40417.438009259262</v>
      </c>
      <c r="C249">
        <v>550</v>
      </c>
      <c r="D249">
        <v>0</v>
      </c>
      <c r="E249">
        <v>0</v>
      </c>
      <c r="F249">
        <v>550</v>
      </c>
      <c r="G249">
        <v>1345.5876464999999</v>
      </c>
      <c r="H249">
        <v>1341.2658690999999</v>
      </c>
      <c r="I249">
        <v>1315.7425536999999</v>
      </c>
      <c r="J249">
        <v>1306.3359375</v>
      </c>
      <c r="K249">
        <v>80</v>
      </c>
      <c r="L249">
        <v>79.725448607999994</v>
      </c>
      <c r="M249">
        <v>60</v>
      </c>
      <c r="N249">
        <v>16.319158554000001</v>
      </c>
    </row>
    <row r="250" spans="1:14" x14ac:dyDescent="0.25">
      <c r="A250">
        <v>119.161642</v>
      </c>
      <c r="B250" s="1">
        <f>DATE(2010,8,28) + TIME(3,52,45)</f>
        <v>40418.161631944444</v>
      </c>
      <c r="C250">
        <v>550</v>
      </c>
      <c r="D250">
        <v>0</v>
      </c>
      <c r="E250">
        <v>0</v>
      </c>
      <c r="F250">
        <v>550</v>
      </c>
      <c r="G250">
        <v>1345.5761719</v>
      </c>
      <c r="H250">
        <v>1341.2557373</v>
      </c>
      <c r="I250">
        <v>1315.7597656</v>
      </c>
      <c r="J250">
        <v>1306.3568115</v>
      </c>
      <c r="K250">
        <v>80</v>
      </c>
      <c r="L250">
        <v>79.725662231000001</v>
      </c>
      <c r="M250">
        <v>60</v>
      </c>
      <c r="N250">
        <v>16.391700745000001</v>
      </c>
    </row>
    <row r="251" spans="1:14" x14ac:dyDescent="0.25">
      <c r="A251">
        <v>119.88527000000001</v>
      </c>
      <c r="B251" s="1">
        <f>DATE(2010,8,28) + TIME(21,14,47)</f>
        <v>40418.885266203702</v>
      </c>
      <c r="C251">
        <v>550</v>
      </c>
      <c r="D251">
        <v>0</v>
      </c>
      <c r="E251">
        <v>0</v>
      </c>
      <c r="F251">
        <v>550</v>
      </c>
      <c r="G251">
        <v>1345.5646973</v>
      </c>
      <c r="H251">
        <v>1341.2457274999999</v>
      </c>
      <c r="I251">
        <v>1315.7770995999999</v>
      </c>
      <c r="J251">
        <v>1306.3781738</v>
      </c>
      <c r="K251">
        <v>80</v>
      </c>
      <c r="L251">
        <v>79.725875853999995</v>
      </c>
      <c r="M251">
        <v>60</v>
      </c>
      <c r="N251">
        <v>16.466619492</v>
      </c>
    </row>
    <row r="252" spans="1:14" x14ac:dyDescent="0.25">
      <c r="A252">
        <v>120.608898</v>
      </c>
      <c r="B252" s="1">
        <f>DATE(2010,8,29) + TIME(14,36,48)</f>
        <v>40419.608888888892</v>
      </c>
      <c r="C252">
        <v>550</v>
      </c>
      <c r="D252">
        <v>0</v>
      </c>
      <c r="E252">
        <v>0</v>
      </c>
      <c r="F252">
        <v>550</v>
      </c>
      <c r="G252">
        <v>1345.5533447</v>
      </c>
      <c r="H252">
        <v>1341.2358397999999</v>
      </c>
      <c r="I252">
        <v>1315.7946777</v>
      </c>
      <c r="J252">
        <v>1306.4000243999999</v>
      </c>
      <c r="K252">
        <v>80</v>
      </c>
      <c r="L252">
        <v>79.726089478000006</v>
      </c>
      <c r="M252">
        <v>60</v>
      </c>
      <c r="N252">
        <v>16.544042587</v>
      </c>
    </row>
    <row r="253" spans="1:14" x14ac:dyDescent="0.25">
      <c r="A253">
        <v>121.332526</v>
      </c>
      <c r="B253" s="1">
        <f>DATE(2010,8,30) + TIME(7,58,50)</f>
        <v>40420.33252314815</v>
      </c>
      <c r="C253">
        <v>550</v>
      </c>
      <c r="D253">
        <v>0</v>
      </c>
      <c r="E253">
        <v>0</v>
      </c>
      <c r="F253">
        <v>550</v>
      </c>
      <c r="G253">
        <v>1345.5418701000001</v>
      </c>
      <c r="H253">
        <v>1341.2258300999999</v>
      </c>
      <c r="I253">
        <v>1315.8122559000001</v>
      </c>
      <c r="J253">
        <v>1306.4222411999999</v>
      </c>
      <c r="K253">
        <v>80</v>
      </c>
      <c r="L253">
        <v>79.726303100999999</v>
      </c>
      <c r="M253">
        <v>60</v>
      </c>
      <c r="N253">
        <v>16.624080658</v>
      </c>
    </row>
    <row r="254" spans="1:14" x14ac:dyDescent="0.25">
      <c r="A254">
        <v>122.05615400000001</v>
      </c>
      <c r="B254" s="1">
        <f>DATE(2010,8,31) + TIME(1,20,51)</f>
        <v>40421.056145833332</v>
      </c>
      <c r="C254">
        <v>550</v>
      </c>
      <c r="D254">
        <v>0</v>
      </c>
      <c r="E254">
        <v>0</v>
      </c>
      <c r="F254">
        <v>550</v>
      </c>
      <c r="G254">
        <v>1345.5306396000001</v>
      </c>
      <c r="H254">
        <v>1341.2159423999999</v>
      </c>
      <c r="I254">
        <v>1315.8299560999999</v>
      </c>
      <c r="J254">
        <v>1306.4450684000001</v>
      </c>
      <c r="K254">
        <v>80</v>
      </c>
      <c r="L254">
        <v>79.726516724000007</v>
      </c>
      <c r="M254">
        <v>60</v>
      </c>
      <c r="N254">
        <v>16.706830977999999</v>
      </c>
    </row>
    <row r="255" spans="1:14" x14ac:dyDescent="0.25">
      <c r="A255">
        <v>123</v>
      </c>
      <c r="B255" s="1">
        <f>DATE(2010,9,1) + TIME(0,0,0)</f>
        <v>40422</v>
      </c>
      <c r="C255">
        <v>550</v>
      </c>
      <c r="D255">
        <v>0</v>
      </c>
      <c r="E255">
        <v>0</v>
      </c>
      <c r="F255">
        <v>550</v>
      </c>
      <c r="G255">
        <v>1345.5194091999999</v>
      </c>
      <c r="H255">
        <v>1341.2060547000001</v>
      </c>
      <c r="I255">
        <v>1315.8455810999999</v>
      </c>
      <c r="J255">
        <v>1306.4694824000001</v>
      </c>
      <c r="K255">
        <v>80</v>
      </c>
      <c r="L255">
        <v>79.726806640999996</v>
      </c>
      <c r="M255">
        <v>60</v>
      </c>
      <c r="N255">
        <v>16.812870025999999</v>
      </c>
    </row>
    <row r="256" spans="1:14" x14ac:dyDescent="0.25">
      <c r="A256">
        <v>123.72362800000001</v>
      </c>
      <c r="B256" s="1">
        <f>DATE(2010,9,1) + TIME(17,22,1)</f>
        <v>40422.723622685182</v>
      </c>
      <c r="C256">
        <v>550</v>
      </c>
      <c r="D256">
        <v>0</v>
      </c>
      <c r="E256">
        <v>0</v>
      </c>
      <c r="F256">
        <v>550</v>
      </c>
      <c r="G256">
        <v>1345.5046387</v>
      </c>
      <c r="H256">
        <v>1341.1931152</v>
      </c>
      <c r="I256">
        <v>1315.8714600000001</v>
      </c>
      <c r="J256">
        <v>1306.4986572</v>
      </c>
      <c r="K256">
        <v>80</v>
      </c>
      <c r="L256">
        <v>79.727020264000004</v>
      </c>
      <c r="M256">
        <v>60</v>
      </c>
      <c r="N256">
        <v>16.903118134</v>
      </c>
    </row>
    <row r="257" spans="1:14" x14ac:dyDescent="0.25">
      <c r="A257">
        <v>125.170884</v>
      </c>
      <c r="B257" s="1">
        <f>DATE(2010,9,3) + TIME(4,6,4)</f>
        <v>40424.17087962963</v>
      </c>
      <c r="C257">
        <v>550</v>
      </c>
      <c r="D257">
        <v>0</v>
      </c>
      <c r="E257">
        <v>0</v>
      </c>
      <c r="F257">
        <v>550</v>
      </c>
      <c r="G257">
        <v>1345.4935303</v>
      </c>
      <c r="H257">
        <v>1341.1834716999999</v>
      </c>
      <c r="I257">
        <v>1315.8833007999999</v>
      </c>
      <c r="J257">
        <v>1306.527832</v>
      </c>
      <c r="K257">
        <v>80</v>
      </c>
      <c r="L257">
        <v>79.727485657000003</v>
      </c>
      <c r="M257">
        <v>60</v>
      </c>
      <c r="N257">
        <v>17.061964034999999</v>
      </c>
    </row>
    <row r="258" spans="1:14" x14ac:dyDescent="0.25">
      <c r="A258">
        <v>126.619989</v>
      </c>
      <c r="B258" s="1">
        <f>DATE(2010,9,4) + TIME(14,52,47)</f>
        <v>40425.619988425926</v>
      </c>
      <c r="C258">
        <v>550</v>
      </c>
      <c r="D258">
        <v>0</v>
      </c>
      <c r="E258">
        <v>0</v>
      </c>
      <c r="F258">
        <v>550</v>
      </c>
      <c r="G258">
        <v>1345.4713135</v>
      </c>
      <c r="H258">
        <v>1341.1639404</v>
      </c>
      <c r="I258">
        <v>1315.9205322</v>
      </c>
      <c r="J258">
        <v>1306.5761719</v>
      </c>
      <c r="K258">
        <v>80</v>
      </c>
      <c r="L258">
        <v>79.727943420000003</v>
      </c>
      <c r="M258">
        <v>60</v>
      </c>
      <c r="N258">
        <v>17.238920212</v>
      </c>
    </row>
    <row r="259" spans="1:14" x14ac:dyDescent="0.25">
      <c r="A259">
        <v>128.08687800000001</v>
      </c>
      <c r="B259" s="1">
        <f>DATE(2010,9,6) + TIME(2,5,6)</f>
        <v>40427.086875000001</v>
      </c>
      <c r="C259">
        <v>550</v>
      </c>
      <c r="D259">
        <v>0</v>
      </c>
      <c r="E259">
        <v>0</v>
      </c>
      <c r="F259">
        <v>550</v>
      </c>
      <c r="G259">
        <v>1345.4490966999999</v>
      </c>
      <c r="H259">
        <v>1341.1444091999999</v>
      </c>
      <c r="I259">
        <v>1315.9576416</v>
      </c>
      <c r="J259">
        <v>1306.6269531</v>
      </c>
      <c r="K259">
        <v>80</v>
      </c>
      <c r="L259">
        <v>79.728393554999997</v>
      </c>
      <c r="M259">
        <v>60</v>
      </c>
      <c r="N259">
        <v>17.434253692999999</v>
      </c>
    </row>
    <row r="260" spans="1:14" x14ac:dyDescent="0.25">
      <c r="A260">
        <v>129.57423399999999</v>
      </c>
      <c r="B260" s="1">
        <f>DATE(2010,9,7) + TIME(13,46,53)</f>
        <v>40428.574224537035</v>
      </c>
      <c r="C260">
        <v>550</v>
      </c>
      <c r="D260">
        <v>0</v>
      </c>
      <c r="E260">
        <v>0</v>
      </c>
      <c r="F260">
        <v>550</v>
      </c>
      <c r="G260">
        <v>1345.4267577999999</v>
      </c>
      <c r="H260">
        <v>1341.1247559000001</v>
      </c>
      <c r="I260">
        <v>1315.9952393000001</v>
      </c>
      <c r="J260">
        <v>1306.6807861</v>
      </c>
      <c r="K260">
        <v>80</v>
      </c>
      <c r="L260">
        <v>79.728843689000001</v>
      </c>
      <c r="M260">
        <v>60</v>
      </c>
      <c r="N260">
        <v>17.648004532000002</v>
      </c>
    </row>
    <row r="261" spans="1:14" x14ac:dyDescent="0.25">
      <c r="A261">
        <v>131.085002</v>
      </c>
      <c r="B261" s="1">
        <f>DATE(2010,9,9) + TIME(2,2,24)</f>
        <v>40430.084999999999</v>
      </c>
      <c r="C261">
        <v>550</v>
      </c>
      <c r="D261">
        <v>0</v>
      </c>
      <c r="E261">
        <v>0</v>
      </c>
      <c r="F261">
        <v>550</v>
      </c>
      <c r="G261">
        <v>1345.4041748</v>
      </c>
      <c r="H261">
        <v>1341.1049805</v>
      </c>
      <c r="I261">
        <v>1316.0334473</v>
      </c>
      <c r="J261">
        <v>1306.737793</v>
      </c>
      <c r="K261">
        <v>80</v>
      </c>
      <c r="L261">
        <v>79.729301453000005</v>
      </c>
      <c r="M261">
        <v>60</v>
      </c>
      <c r="N261">
        <v>17.880554198999999</v>
      </c>
    </row>
    <row r="262" spans="1:14" x14ac:dyDescent="0.25">
      <c r="A262">
        <v>132.62454600000001</v>
      </c>
      <c r="B262" s="1">
        <f>DATE(2010,9,10) + TIME(14,59,20)</f>
        <v>40431.624537037038</v>
      </c>
      <c r="C262">
        <v>550</v>
      </c>
      <c r="D262">
        <v>0</v>
      </c>
      <c r="E262">
        <v>0</v>
      </c>
      <c r="F262">
        <v>550</v>
      </c>
      <c r="G262">
        <v>1345.3814697</v>
      </c>
      <c r="H262">
        <v>1341.0849608999999</v>
      </c>
      <c r="I262">
        <v>1316.0722656</v>
      </c>
      <c r="J262">
        <v>1306.7980957</v>
      </c>
      <c r="K262">
        <v>80</v>
      </c>
      <c r="L262">
        <v>79.729774474999999</v>
      </c>
      <c r="M262">
        <v>60</v>
      </c>
      <c r="N262">
        <v>18.132808685000001</v>
      </c>
    </row>
    <row r="263" spans="1:14" x14ac:dyDescent="0.25">
      <c r="A263">
        <v>133.39710099999999</v>
      </c>
      <c r="B263" s="1">
        <f>DATE(2010,9,11) + TIME(9,31,49)</f>
        <v>40432.397094907406</v>
      </c>
      <c r="C263">
        <v>550</v>
      </c>
      <c r="D263">
        <v>0</v>
      </c>
      <c r="E263">
        <v>0</v>
      </c>
      <c r="F263">
        <v>550</v>
      </c>
      <c r="G263">
        <v>1345.3583983999999</v>
      </c>
      <c r="H263">
        <v>1341.0645752</v>
      </c>
      <c r="I263">
        <v>1316.1220702999999</v>
      </c>
      <c r="J263">
        <v>1306.8536377</v>
      </c>
      <c r="K263">
        <v>80</v>
      </c>
      <c r="L263">
        <v>79.729980468999997</v>
      </c>
      <c r="M263">
        <v>60</v>
      </c>
      <c r="N263">
        <v>18.292612076000001</v>
      </c>
    </row>
    <row r="264" spans="1:14" x14ac:dyDescent="0.25">
      <c r="A264">
        <v>134.169656</v>
      </c>
      <c r="B264" s="1">
        <f>DATE(2010,9,12) + TIME(4,4,18)</f>
        <v>40433.169652777775</v>
      </c>
      <c r="C264">
        <v>550</v>
      </c>
      <c r="D264">
        <v>0</v>
      </c>
      <c r="E264">
        <v>0</v>
      </c>
      <c r="F264">
        <v>550</v>
      </c>
      <c r="G264">
        <v>1345.3468018000001</v>
      </c>
      <c r="H264">
        <v>1341.0543213000001</v>
      </c>
      <c r="I264">
        <v>1316.1408690999999</v>
      </c>
      <c r="J264">
        <v>1306.8885498</v>
      </c>
      <c r="K264">
        <v>80</v>
      </c>
      <c r="L264">
        <v>79.730194092000005</v>
      </c>
      <c r="M264">
        <v>60</v>
      </c>
      <c r="N264">
        <v>18.452596664000001</v>
      </c>
    </row>
    <row r="265" spans="1:14" x14ac:dyDescent="0.25">
      <c r="A265">
        <v>134.94221099999999</v>
      </c>
      <c r="B265" s="1">
        <f>DATE(2010,9,12) + TIME(22,36,47)</f>
        <v>40433.942210648151</v>
      </c>
      <c r="C265">
        <v>550</v>
      </c>
      <c r="D265">
        <v>0</v>
      </c>
      <c r="E265">
        <v>0</v>
      </c>
      <c r="F265">
        <v>550</v>
      </c>
      <c r="G265">
        <v>1345.3353271000001</v>
      </c>
      <c r="H265">
        <v>1341.0441894999999</v>
      </c>
      <c r="I265">
        <v>1316.1599120999999</v>
      </c>
      <c r="J265">
        <v>1306.9238281</v>
      </c>
      <c r="K265">
        <v>80</v>
      </c>
      <c r="L265">
        <v>79.730415343999994</v>
      </c>
      <c r="M265">
        <v>60</v>
      </c>
      <c r="N265">
        <v>18.613380432</v>
      </c>
    </row>
    <row r="266" spans="1:14" x14ac:dyDescent="0.25">
      <c r="A266">
        <v>135.714766</v>
      </c>
      <c r="B266" s="1">
        <f>DATE(2010,9,13) + TIME(17,9,15)</f>
        <v>40434.714756944442</v>
      </c>
      <c r="C266">
        <v>550</v>
      </c>
      <c r="D266">
        <v>0</v>
      </c>
      <c r="E266">
        <v>0</v>
      </c>
      <c r="F266">
        <v>550</v>
      </c>
      <c r="G266">
        <v>1345.3238524999999</v>
      </c>
      <c r="H266">
        <v>1341.0340576000001</v>
      </c>
      <c r="I266">
        <v>1316.1791992000001</v>
      </c>
      <c r="J266">
        <v>1306.9594727000001</v>
      </c>
      <c r="K266">
        <v>80</v>
      </c>
      <c r="L266">
        <v>79.730644225999995</v>
      </c>
      <c r="M266">
        <v>60</v>
      </c>
      <c r="N266">
        <v>18.775445938000001</v>
      </c>
    </row>
    <row r="267" spans="1:14" x14ac:dyDescent="0.25">
      <c r="A267">
        <v>136.48732100000001</v>
      </c>
      <c r="B267" s="1">
        <f>DATE(2010,9,14) + TIME(11,41,44)</f>
        <v>40435.487314814818</v>
      </c>
      <c r="C267">
        <v>550</v>
      </c>
      <c r="D267">
        <v>0</v>
      </c>
      <c r="E267">
        <v>0</v>
      </c>
      <c r="F267">
        <v>550</v>
      </c>
      <c r="G267">
        <v>1345.3125</v>
      </c>
      <c r="H267">
        <v>1341.0239257999999</v>
      </c>
      <c r="I267">
        <v>1316.1987305</v>
      </c>
      <c r="J267">
        <v>1306.9954834</v>
      </c>
      <c r="K267">
        <v>80</v>
      </c>
      <c r="L267">
        <v>79.730865479000002</v>
      </c>
      <c r="M267">
        <v>60</v>
      </c>
      <c r="N267">
        <v>18.939161300999999</v>
      </c>
    </row>
    <row r="268" spans="1:14" x14ac:dyDescent="0.25">
      <c r="A268">
        <v>137.25987599999999</v>
      </c>
      <c r="B268" s="1">
        <f>DATE(2010,9,15) + TIME(6,14,13)</f>
        <v>40436.259872685187</v>
      </c>
      <c r="C268">
        <v>550</v>
      </c>
      <c r="D268">
        <v>0</v>
      </c>
      <c r="E268">
        <v>0</v>
      </c>
      <c r="F268">
        <v>550</v>
      </c>
      <c r="G268">
        <v>1345.3012695</v>
      </c>
      <c r="H268">
        <v>1341.0139160000001</v>
      </c>
      <c r="I268">
        <v>1316.2183838000001</v>
      </c>
      <c r="J268">
        <v>1307.0321045000001</v>
      </c>
      <c r="K268">
        <v>80</v>
      </c>
      <c r="L268">
        <v>79.73109436</v>
      </c>
      <c r="M268">
        <v>60</v>
      </c>
      <c r="N268">
        <v>19.104829788</v>
      </c>
    </row>
    <row r="269" spans="1:14" x14ac:dyDescent="0.25">
      <c r="A269">
        <v>138.03243000000001</v>
      </c>
      <c r="B269" s="1">
        <f>DATE(2010,9,16) + TIME(0,46,41)</f>
        <v>40437.032418981478</v>
      </c>
      <c r="C269">
        <v>550</v>
      </c>
      <c r="D269">
        <v>0</v>
      </c>
      <c r="E269">
        <v>0</v>
      </c>
      <c r="F269">
        <v>550</v>
      </c>
      <c r="G269">
        <v>1345.2899170000001</v>
      </c>
      <c r="H269">
        <v>1341.0039062000001</v>
      </c>
      <c r="I269">
        <v>1316.2381591999999</v>
      </c>
      <c r="J269">
        <v>1307.0692139</v>
      </c>
      <c r="K269">
        <v>80</v>
      </c>
      <c r="L269">
        <v>79.731323242000002</v>
      </c>
      <c r="M269">
        <v>60</v>
      </c>
      <c r="N269">
        <v>19.272678375000002</v>
      </c>
    </row>
    <row r="270" spans="1:14" x14ac:dyDescent="0.25">
      <c r="A270">
        <v>138.80498499999999</v>
      </c>
      <c r="B270" s="1">
        <f>DATE(2010,9,16) + TIME(19,19,10)</f>
        <v>40437.804976851854</v>
      </c>
      <c r="C270">
        <v>550</v>
      </c>
      <c r="D270">
        <v>0</v>
      </c>
      <c r="E270">
        <v>0</v>
      </c>
      <c r="F270">
        <v>550</v>
      </c>
      <c r="G270">
        <v>1345.2786865</v>
      </c>
      <c r="H270">
        <v>1340.9938964999999</v>
      </c>
      <c r="I270">
        <v>1316.2581786999999</v>
      </c>
      <c r="J270">
        <v>1307.1066894999999</v>
      </c>
      <c r="K270">
        <v>80</v>
      </c>
      <c r="L270">
        <v>79.731559752999999</v>
      </c>
      <c r="M270">
        <v>60</v>
      </c>
      <c r="N270">
        <v>19.442880630000001</v>
      </c>
    </row>
    <row r="271" spans="1:14" x14ac:dyDescent="0.25">
      <c r="A271">
        <v>139.57754</v>
      </c>
      <c r="B271" s="1">
        <f>DATE(2010,9,17) + TIME(13,51,39)</f>
        <v>40438.577534722222</v>
      </c>
      <c r="C271">
        <v>550</v>
      </c>
      <c r="D271">
        <v>0</v>
      </c>
      <c r="E271">
        <v>0</v>
      </c>
      <c r="F271">
        <v>550</v>
      </c>
      <c r="G271">
        <v>1345.2674560999999</v>
      </c>
      <c r="H271">
        <v>1340.9840088000001</v>
      </c>
      <c r="I271">
        <v>1316.2781981999999</v>
      </c>
      <c r="J271">
        <v>1307.1447754000001</v>
      </c>
      <c r="K271">
        <v>80</v>
      </c>
      <c r="L271">
        <v>79.731788635000001</v>
      </c>
      <c r="M271">
        <v>60</v>
      </c>
      <c r="N271">
        <v>19.615556717</v>
      </c>
    </row>
    <row r="272" spans="1:14" x14ac:dyDescent="0.25">
      <c r="A272">
        <v>140.35009500000001</v>
      </c>
      <c r="B272" s="1">
        <f>DATE(2010,9,18) + TIME(8,24,8)</f>
        <v>40439.350092592591</v>
      </c>
      <c r="C272">
        <v>550</v>
      </c>
      <c r="D272">
        <v>0</v>
      </c>
      <c r="E272">
        <v>0</v>
      </c>
      <c r="F272">
        <v>550</v>
      </c>
      <c r="G272">
        <v>1345.2563477000001</v>
      </c>
      <c r="H272">
        <v>1340.9741211</v>
      </c>
      <c r="I272">
        <v>1316.2982178</v>
      </c>
      <c r="J272">
        <v>1307.1834716999999</v>
      </c>
      <c r="K272">
        <v>80</v>
      </c>
      <c r="L272">
        <v>79.732017517000003</v>
      </c>
      <c r="M272">
        <v>60</v>
      </c>
      <c r="N272">
        <v>19.790782927999999</v>
      </c>
    </row>
    <row r="273" spans="1:14" x14ac:dyDescent="0.25">
      <c r="A273">
        <v>141.895205</v>
      </c>
      <c r="B273" s="1">
        <f>DATE(2010,9,19) + TIME(21,29,5)</f>
        <v>40440.895196759258</v>
      </c>
      <c r="C273">
        <v>550</v>
      </c>
      <c r="D273">
        <v>0</v>
      </c>
      <c r="E273">
        <v>0</v>
      </c>
      <c r="F273">
        <v>550</v>
      </c>
      <c r="G273">
        <v>1345.2454834</v>
      </c>
      <c r="H273">
        <v>1340.9643555</v>
      </c>
      <c r="I273">
        <v>1316.3082274999999</v>
      </c>
      <c r="J273">
        <v>1307.2320557</v>
      </c>
      <c r="K273">
        <v>80</v>
      </c>
      <c r="L273">
        <v>79.732521057</v>
      </c>
      <c r="M273">
        <v>60</v>
      </c>
      <c r="N273">
        <v>20.090013504000002</v>
      </c>
    </row>
    <row r="274" spans="1:14" x14ac:dyDescent="0.25">
      <c r="A274">
        <v>143.44398699999999</v>
      </c>
      <c r="B274" s="1">
        <f>DATE(2010,9,21) + TIME(10,39,20)</f>
        <v>40442.443981481483</v>
      </c>
      <c r="C274">
        <v>550</v>
      </c>
      <c r="D274">
        <v>0</v>
      </c>
      <c r="E274">
        <v>0</v>
      </c>
      <c r="F274">
        <v>550</v>
      </c>
      <c r="G274">
        <v>1345.2233887</v>
      </c>
      <c r="H274">
        <v>1340.9448242000001</v>
      </c>
      <c r="I274">
        <v>1316.3510742000001</v>
      </c>
      <c r="J274">
        <v>1307.3076172000001</v>
      </c>
      <c r="K274">
        <v>80</v>
      </c>
      <c r="L274">
        <v>79.733001709000007</v>
      </c>
      <c r="M274">
        <v>60</v>
      </c>
      <c r="N274">
        <v>20.416913986000001</v>
      </c>
    </row>
    <row r="275" spans="1:14" x14ac:dyDescent="0.25">
      <c r="A275">
        <v>145.019454</v>
      </c>
      <c r="B275" s="1">
        <f>DATE(2010,9,23) + TIME(0,28,0)</f>
        <v>40444.019444444442</v>
      </c>
      <c r="C275">
        <v>550</v>
      </c>
      <c r="D275">
        <v>0</v>
      </c>
      <c r="E275">
        <v>0</v>
      </c>
      <c r="F275">
        <v>550</v>
      </c>
      <c r="G275">
        <v>1345.2015381000001</v>
      </c>
      <c r="H275">
        <v>1340.9254149999999</v>
      </c>
      <c r="I275">
        <v>1316.3931885</v>
      </c>
      <c r="J275">
        <v>1307.3867187999999</v>
      </c>
      <c r="K275">
        <v>80</v>
      </c>
      <c r="L275">
        <v>79.733489989999995</v>
      </c>
      <c r="M275">
        <v>60</v>
      </c>
      <c r="N275">
        <v>20.769714355000001</v>
      </c>
    </row>
    <row r="276" spans="1:14" x14ac:dyDescent="0.25">
      <c r="A276">
        <v>146.62551199999999</v>
      </c>
      <c r="B276" s="1">
        <f>DATE(2010,9,24) + TIME(15,0,44)</f>
        <v>40445.625509259262</v>
      </c>
      <c r="C276">
        <v>550</v>
      </c>
      <c r="D276">
        <v>0</v>
      </c>
      <c r="E276">
        <v>0</v>
      </c>
      <c r="F276">
        <v>550</v>
      </c>
      <c r="G276">
        <v>1345.1794434000001</v>
      </c>
      <c r="H276">
        <v>1340.9057617000001</v>
      </c>
      <c r="I276">
        <v>1316.4357910000001</v>
      </c>
      <c r="J276">
        <v>1307.4699707</v>
      </c>
      <c r="K276">
        <v>80</v>
      </c>
      <c r="L276">
        <v>79.733978270999998</v>
      </c>
      <c r="M276">
        <v>60</v>
      </c>
      <c r="N276">
        <v>21.14632988</v>
      </c>
    </row>
    <row r="277" spans="1:14" x14ac:dyDescent="0.25">
      <c r="A277">
        <v>148.265615</v>
      </c>
      <c r="B277" s="1">
        <f>DATE(2010,9,26) + TIME(6,22,29)</f>
        <v>40447.265613425923</v>
      </c>
      <c r="C277">
        <v>550</v>
      </c>
      <c r="D277">
        <v>0</v>
      </c>
      <c r="E277">
        <v>0</v>
      </c>
      <c r="F277">
        <v>550</v>
      </c>
      <c r="G277">
        <v>1345.1571045000001</v>
      </c>
      <c r="H277">
        <v>1340.8859863</v>
      </c>
      <c r="I277">
        <v>1316.479126</v>
      </c>
      <c r="J277">
        <v>1307.557251</v>
      </c>
      <c r="K277">
        <v>80</v>
      </c>
      <c r="L277">
        <v>79.734474182</v>
      </c>
      <c r="M277">
        <v>60</v>
      </c>
      <c r="N277">
        <v>21.545331955000002</v>
      </c>
    </row>
    <row r="278" spans="1:14" x14ac:dyDescent="0.25">
      <c r="A278">
        <v>149.94345300000001</v>
      </c>
      <c r="B278" s="1">
        <f>DATE(2010,9,27) + TIME(22,38,34)</f>
        <v>40448.943449074075</v>
      </c>
      <c r="C278">
        <v>550</v>
      </c>
      <c r="D278">
        <v>0</v>
      </c>
      <c r="E278">
        <v>0</v>
      </c>
      <c r="F278">
        <v>550</v>
      </c>
      <c r="G278">
        <v>1345.1345214999999</v>
      </c>
      <c r="H278">
        <v>1340.8659668</v>
      </c>
      <c r="I278">
        <v>1316.5234375</v>
      </c>
      <c r="J278">
        <v>1307.6488036999999</v>
      </c>
      <c r="K278">
        <v>80</v>
      </c>
      <c r="L278">
        <v>79.734977721999996</v>
      </c>
      <c r="M278">
        <v>60</v>
      </c>
      <c r="N278">
        <v>21.965797424000002</v>
      </c>
    </row>
    <row r="279" spans="1:14" x14ac:dyDescent="0.25">
      <c r="A279">
        <v>151.65704400000001</v>
      </c>
      <c r="B279" s="1">
        <f>DATE(2010,9,29) + TIME(15,46,8)</f>
        <v>40450.657037037039</v>
      </c>
      <c r="C279">
        <v>550</v>
      </c>
      <c r="D279">
        <v>0</v>
      </c>
      <c r="E279">
        <v>0</v>
      </c>
      <c r="F279">
        <v>550</v>
      </c>
      <c r="G279">
        <v>1345.1116943</v>
      </c>
      <c r="H279">
        <v>1340.8457031</v>
      </c>
      <c r="I279">
        <v>1316.5689697</v>
      </c>
      <c r="J279">
        <v>1307.7445068</v>
      </c>
      <c r="K279">
        <v>80</v>
      </c>
      <c r="L279">
        <v>79.735488892000006</v>
      </c>
      <c r="M279">
        <v>60</v>
      </c>
      <c r="N279">
        <v>22.406181334999999</v>
      </c>
    </row>
    <row r="280" spans="1:14" x14ac:dyDescent="0.25">
      <c r="A280">
        <v>153</v>
      </c>
      <c r="B280" s="1">
        <f>DATE(2010,10,1) + TIME(0,0,0)</f>
        <v>40452</v>
      </c>
      <c r="C280">
        <v>550</v>
      </c>
      <c r="D280">
        <v>0</v>
      </c>
      <c r="E280">
        <v>0</v>
      </c>
      <c r="F280">
        <v>550</v>
      </c>
      <c r="G280">
        <v>1345.0886230000001</v>
      </c>
      <c r="H280">
        <v>1340.8251952999999</v>
      </c>
      <c r="I280">
        <v>1316.6209716999999</v>
      </c>
      <c r="J280">
        <v>1307.8378906</v>
      </c>
      <c r="K280">
        <v>80</v>
      </c>
      <c r="L280">
        <v>79.735870360999996</v>
      </c>
      <c r="M280">
        <v>60</v>
      </c>
      <c r="N280">
        <v>22.790060043</v>
      </c>
    </row>
    <row r="281" spans="1:14" x14ac:dyDescent="0.25">
      <c r="A281">
        <v>154.720168</v>
      </c>
      <c r="B281" s="1">
        <f>DATE(2010,10,2) + TIME(17,17,2)</f>
        <v>40453.72016203704</v>
      </c>
      <c r="C281">
        <v>550</v>
      </c>
      <c r="D281">
        <v>0</v>
      </c>
      <c r="E281">
        <v>0</v>
      </c>
      <c r="F281">
        <v>550</v>
      </c>
      <c r="G281">
        <v>1345.0706786999999</v>
      </c>
      <c r="H281">
        <v>1340.8092041</v>
      </c>
      <c r="I281">
        <v>1316.6524658000001</v>
      </c>
      <c r="J281">
        <v>1307.9256591999999</v>
      </c>
      <c r="K281">
        <v>80</v>
      </c>
      <c r="L281">
        <v>79.736389160000002</v>
      </c>
      <c r="M281">
        <v>60</v>
      </c>
      <c r="N281">
        <v>23.241424560999999</v>
      </c>
    </row>
    <row r="282" spans="1:14" x14ac:dyDescent="0.25">
      <c r="A282">
        <v>156.47212999999999</v>
      </c>
      <c r="B282" s="1">
        <f>DATE(2010,10,4) + TIME(11,19,52)</f>
        <v>40455.472129629627</v>
      </c>
      <c r="C282">
        <v>550</v>
      </c>
      <c r="D282">
        <v>0</v>
      </c>
      <c r="E282">
        <v>0</v>
      </c>
      <c r="F282">
        <v>550</v>
      </c>
      <c r="G282">
        <v>1345.0479736</v>
      </c>
      <c r="H282">
        <v>1340.7891846</v>
      </c>
      <c r="I282">
        <v>1316.7005615</v>
      </c>
      <c r="J282">
        <v>1308.0288086</v>
      </c>
      <c r="K282">
        <v>80</v>
      </c>
      <c r="L282">
        <v>79.736907959000007</v>
      </c>
      <c r="M282">
        <v>60</v>
      </c>
      <c r="N282">
        <v>23.70999527</v>
      </c>
    </row>
    <row r="283" spans="1:14" x14ac:dyDescent="0.25">
      <c r="A283">
        <v>158.249763</v>
      </c>
      <c r="B283" s="1">
        <f>DATE(2010,10,6) + TIME(5,59,39)</f>
        <v>40457.249756944446</v>
      </c>
      <c r="C283">
        <v>550</v>
      </c>
      <c r="D283">
        <v>0</v>
      </c>
      <c r="E283">
        <v>0</v>
      </c>
      <c r="F283">
        <v>550</v>
      </c>
      <c r="G283">
        <v>1345.0251464999999</v>
      </c>
      <c r="H283">
        <v>1340.7689209</v>
      </c>
      <c r="I283">
        <v>1316.75</v>
      </c>
      <c r="J283">
        <v>1308.1356201000001</v>
      </c>
      <c r="K283">
        <v>80</v>
      </c>
      <c r="L283">
        <v>79.737434386999993</v>
      </c>
      <c r="M283">
        <v>60</v>
      </c>
      <c r="N283">
        <v>24.192670822</v>
      </c>
    </row>
    <row r="284" spans="1:14" x14ac:dyDescent="0.25">
      <c r="A284">
        <v>160.058592</v>
      </c>
      <c r="B284" s="1">
        <f>DATE(2010,10,8) + TIME(1,24,22)</f>
        <v>40459.058587962965</v>
      </c>
      <c r="C284">
        <v>550</v>
      </c>
      <c r="D284">
        <v>0</v>
      </c>
      <c r="E284">
        <v>0</v>
      </c>
      <c r="F284">
        <v>550</v>
      </c>
      <c r="G284">
        <v>1345.0023193</v>
      </c>
      <c r="H284">
        <v>1340.7486572</v>
      </c>
      <c r="I284">
        <v>1316.8005370999999</v>
      </c>
      <c r="J284">
        <v>1308.2458495999999</v>
      </c>
      <c r="K284">
        <v>80</v>
      </c>
      <c r="L284">
        <v>79.737968445000007</v>
      </c>
      <c r="M284">
        <v>60</v>
      </c>
      <c r="N284">
        <v>24.688358307000001</v>
      </c>
    </row>
    <row r="285" spans="1:14" x14ac:dyDescent="0.25">
      <c r="A285">
        <v>161.90393399999999</v>
      </c>
      <c r="B285" s="1">
        <f>DATE(2010,10,9) + TIME(21,41,39)</f>
        <v>40460.903923611113</v>
      </c>
      <c r="C285">
        <v>550</v>
      </c>
      <c r="D285">
        <v>0</v>
      </c>
      <c r="E285">
        <v>0</v>
      </c>
      <c r="F285">
        <v>550</v>
      </c>
      <c r="G285">
        <v>1344.9792480000001</v>
      </c>
      <c r="H285">
        <v>1340.7283935999999</v>
      </c>
      <c r="I285">
        <v>1316.8525391000001</v>
      </c>
      <c r="J285">
        <v>1308.359375</v>
      </c>
      <c r="K285">
        <v>80</v>
      </c>
      <c r="L285">
        <v>79.738502502000003</v>
      </c>
      <c r="M285">
        <v>60</v>
      </c>
      <c r="N285">
        <v>25.196601867999998</v>
      </c>
    </row>
    <row r="286" spans="1:14" x14ac:dyDescent="0.25">
      <c r="A286">
        <v>163.791088</v>
      </c>
      <c r="B286" s="1">
        <f>DATE(2010,10,11) + TIME(18,59,10)</f>
        <v>40462.791087962964</v>
      </c>
      <c r="C286">
        <v>550</v>
      </c>
      <c r="D286">
        <v>0</v>
      </c>
      <c r="E286">
        <v>0</v>
      </c>
      <c r="F286">
        <v>550</v>
      </c>
      <c r="G286">
        <v>1344.9561768000001</v>
      </c>
      <c r="H286">
        <v>1340.7080077999999</v>
      </c>
      <c r="I286">
        <v>1316.9061279</v>
      </c>
      <c r="J286">
        <v>1308.4766846</v>
      </c>
      <c r="K286">
        <v>80</v>
      </c>
      <c r="L286">
        <v>79.739051818999997</v>
      </c>
      <c r="M286">
        <v>60</v>
      </c>
      <c r="N286">
        <v>25.717205048</v>
      </c>
    </row>
    <row r="287" spans="1:14" x14ac:dyDescent="0.25">
      <c r="A287">
        <v>165.72521399999999</v>
      </c>
      <c r="B287" s="1">
        <f>DATE(2010,10,13) + TIME(17,24,18)</f>
        <v>40464.725208333337</v>
      </c>
      <c r="C287">
        <v>550</v>
      </c>
      <c r="D287">
        <v>0</v>
      </c>
      <c r="E287">
        <v>0</v>
      </c>
      <c r="F287">
        <v>550</v>
      </c>
      <c r="G287">
        <v>1344.9329834</v>
      </c>
      <c r="H287">
        <v>1340.6875</v>
      </c>
      <c r="I287">
        <v>1316.9615478999999</v>
      </c>
      <c r="J287">
        <v>1308.5975341999999</v>
      </c>
      <c r="K287">
        <v>80</v>
      </c>
      <c r="L287">
        <v>79.739608765</v>
      </c>
      <c r="M287">
        <v>60</v>
      </c>
      <c r="N287">
        <v>26.249725342000001</v>
      </c>
    </row>
    <row r="288" spans="1:14" x14ac:dyDescent="0.25">
      <c r="A288">
        <v>167.68634399999999</v>
      </c>
      <c r="B288" s="1">
        <f>DATE(2010,10,15) + TIME(16,28,20)</f>
        <v>40466.686342592591</v>
      </c>
      <c r="C288">
        <v>550</v>
      </c>
      <c r="D288">
        <v>0</v>
      </c>
      <c r="E288">
        <v>0</v>
      </c>
      <c r="F288">
        <v>550</v>
      </c>
      <c r="G288">
        <v>1344.9094238</v>
      </c>
      <c r="H288">
        <v>1340.6668701000001</v>
      </c>
      <c r="I288">
        <v>1317.0191649999999</v>
      </c>
      <c r="J288">
        <v>1308.7219238</v>
      </c>
      <c r="K288">
        <v>80</v>
      </c>
      <c r="L288">
        <v>79.740173339999998</v>
      </c>
      <c r="M288">
        <v>60</v>
      </c>
      <c r="N288">
        <v>26.789812088000001</v>
      </c>
    </row>
    <row r="289" spans="1:14" x14ac:dyDescent="0.25">
      <c r="A289">
        <v>169.67981399999999</v>
      </c>
      <c r="B289" s="1">
        <f>DATE(2010,10,17) + TIME(16,18,55)</f>
        <v>40468.679803240739</v>
      </c>
      <c r="C289">
        <v>550</v>
      </c>
      <c r="D289">
        <v>0</v>
      </c>
      <c r="E289">
        <v>0</v>
      </c>
      <c r="F289">
        <v>550</v>
      </c>
      <c r="G289">
        <v>1344.8859863</v>
      </c>
      <c r="H289">
        <v>1340.6463623</v>
      </c>
      <c r="I289">
        <v>1317.0782471</v>
      </c>
      <c r="J289">
        <v>1308.848999</v>
      </c>
      <c r="K289">
        <v>80</v>
      </c>
      <c r="L289">
        <v>79.740737914999997</v>
      </c>
      <c r="M289">
        <v>60</v>
      </c>
      <c r="N289">
        <v>27.336439132999999</v>
      </c>
    </row>
    <row r="290" spans="1:14" x14ac:dyDescent="0.25">
      <c r="A290">
        <v>171.70477</v>
      </c>
      <c r="B290" s="1">
        <f>DATE(2010,10,19) + TIME(16,54,52)</f>
        <v>40470.704768518517</v>
      </c>
      <c r="C290">
        <v>550</v>
      </c>
      <c r="D290">
        <v>0</v>
      </c>
      <c r="E290">
        <v>0</v>
      </c>
      <c r="F290">
        <v>550</v>
      </c>
      <c r="G290">
        <v>1344.8626709</v>
      </c>
      <c r="H290">
        <v>1340.6258545000001</v>
      </c>
      <c r="I290">
        <v>1317.1389160000001</v>
      </c>
      <c r="J290">
        <v>1308.9785156</v>
      </c>
      <c r="K290">
        <v>80</v>
      </c>
      <c r="L290">
        <v>79.741310119999994</v>
      </c>
      <c r="M290">
        <v>60</v>
      </c>
      <c r="N290">
        <v>27.887990951999999</v>
      </c>
    </row>
    <row r="291" spans="1:14" x14ac:dyDescent="0.25">
      <c r="A291">
        <v>173.73642799999999</v>
      </c>
      <c r="B291" s="1">
        <f>DATE(2010,10,21) + TIME(17,40,27)</f>
        <v>40472.73642361111</v>
      </c>
      <c r="C291">
        <v>550</v>
      </c>
      <c r="D291">
        <v>0</v>
      </c>
      <c r="E291">
        <v>0</v>
      </c>
      <c r="F291">
        <v>550</v>
      </c>
      <c r="G291">
        <v>1344.8392334</v>
      </c>
      <c r="H291">
        <v>1340.6055908000001</v>
      </c>
      <c r="I291">
        <v>1317.2014160000001</v>
      </c>
      <c r="J291">
        <v>1309.1099853999999</v>
      </c>
      <c r="K291">
        <v>80</v>
      </c>
      <c r="L291">
        <v>79.741874695000007</v>
      </c>
      <c r="M291">
        <v>60</v>
      </c>
      <c r="N291">
        <v>28.439113617</v>
      </c>
    </row>
    <row r="292" spans="1:14" x14ac:dyDescent="0.25">
      <c r="A292">
        <v>175.78010900000001</v>
      </c>
      <c r="B292" s="1">
        <f>DATE(2010,10,23) + TIME(18,43,21)</f>
        <v>40474.780104166668</v>
      </c>
      <c r="C292">
        <v>550</v>
      </c>
      <c r="D292">
        <v>0</v>
      </c>
      <c r="E292">
        <v>0</v>
      </c>
      <c r="F292">
        <v>550</v>
      </c>
      <c r="G292">
        <v>1344.8162841999999</v>
      </c>
      <c r="H292">
        <v>1340.5855713000001</v>
      </c>
      <c r="I292">
        <v>1317.2645264</v>
      </c>
      <c r="J292">
        <v>1309.2421875</v>
      </c>
      <c r="K292">
        <v>80</v>
      </c>
      <c r="L292">
        <v>79.742439270000006</v>
      </c>
      <c r="M292">
        <v>60</v>
      </c>
      <c r="N292">
        <v>28.988492965999999</v>
      </c>
    </row>
    <row r="293" spans="1:14" x14ac:dyDescent="0.25">
      <c r="A293">
        <v>177.84169299999999</v>
      </c>
      <c r="B293" s="1">
        <f>DATE(2010,10,25) + TIME(20,12,2)</f>
        <v>40476.841689814813</v>
      </c>
      <c r="C293">
        <v>550</v>
      </c>
      <c r="D293">
        <v>0</v>
      </c>
      <c r="E293">
        <v>0</v>
      </c>
      <c r="F293">
        <v>550</v>
      </c>
      <c r="G293">
        <v>1344.7935791</v>
      </c>
      <c r="H293">
        <v>1340.565918</v>
      </c>
      <c r="I293">
        <v>1317.3284911999999</v>
      </c>
      <c r="J293">
        <v>1309.3752440999999</v>
      </c>
      <c r="K293">
        <v>80</v>
      </c>
      <c r="L293">
        <v>79.743011475000003</v>
      </c>
      <c r="M293">
        <v>60</v>
      </c>
      <c r="N293">
        <v>29.535675049000002</v>
      </c>
    </row>
    <row r="294" spans="1:14" x14ac:dyDescent="0.25">
      <c r="A294">
        <v>179.92672099999999</v>
      </c>
      <c r="B294" s="1">
        <f>DATE(2010,10,27) + TIME(22,14,28)</f>
        <v>40478.926712962966</v>
      </c>
      <c r="C294">
        <v>550</v>
      </c>
      <c r="D294">
        <v>0</v>
      </c>
      <c r="E294">
        <v>0</v>
      </c>
      <c r="F294">
        <v>550</v>
      </c>
      <c r="G294">
        <v>1344.7711182</v>
      </c>
      <c r="H294">
        <v>1340.5465088000001</v>
      </c>
      <c r="I294">
        <v>1317.3934326000001</v>
      </c>
      <c r="J294">
        <v>1309.5091553</v>
      </c>
      <c r="K294">
        <v>80</v>
      </c>
      <c r="L294">
        <v>79.743576050000001</v>
      </c>
      <c r="M294">
        <v>60</v>
      </c>
      <c r="N294">
        <v>30.080627441000001</v>
      </c>
    </row>
    <row r="295" spans="1:14" x14ac:dyDescent="0.25">
      <c r="A295">
        <v>182.040695</v>
      </c>
      <c r="B295" s="1">
        <f>DATE(2010,10,30) + TIME(0,58,36)</f>
        <v>40481.040694444448</v>
      </c>
      <c r="C295">
        <v>550</v>
      </c>
      <c r="D295">
        <v>0</v>
      </c>
      <c r="E295">
        <v>0</v>
      </c>
      <c r="F295">
        <v>550</v>
      </c>
      <c r="G295">
        <v>1344.7487793</v>
      </c>
      <c r="H295">
        <v>1340.5272216999999</v>
      </c>
      <c r="I295">
        <v>1317.4594727000001</v>
      </c>
      <c r="J295">
        <v>1309.644043</v>
      </c>
      <c r="K295">
        <v>80</v>
      </c>
      <c r="L295">
        <v>79.744148253999995</v>
      </c>
      <c r="M295">
        <v>60</v>
      </c>
      <c r="N295">
        <v>30.623670577999999</v>
      </c>
    </row>
    <row r="296" spans="1:14" x14ac:dyDescent="0.25">
      <c r="A296">
        <v>184</v>
      </c>
      <c r="B296" s="1">
        <f>DATE(2010,11,1) + TIME(0,0,0)</f>
        <v>40483</v>
      </c>
      <c r="C296">
        <v>550</v>
      </c>
      <c r="D296">
        <v>0</v>
      </c>
      <c r="E296">
        <v>0</v>
      </c>
      <c r="F296">
        <v>550</v>
      </c>
      <c r="G296">
        <v>1344.7266846</v>
      </c>
      <c r="H296">
        <v>1340.5083007999999</v>
      </c>
      <c r="I296">
        <v>1317.527832</v>
      </c>
      <c r="J296">
        <v>1309.7768555</v>
      </c>
      <c r="K296">
        <v>80</v>
      </c>
      <c r="L296">
        <v>79.744667053000001</v>
      </c>
      <c r="M296">
        <v>60</v>
      </c>
      <c r="N296">
        <v>31.136291503999999</v>
      </c>
    </row>
    <row r="297" spans="1:14" x14ac:dyDescent="0.25">
      <c r="A297">
        <v>184.000001</v>
      </c>
      <c r="B297" s="1">
        <f>DATE(2010,11,1) + TIME(0,0,0)</f>
        <v>40483</v>
      </c>
      <c r="C297">
        <v>0</v>
      </c>
      <c r="D297">
        <v>550</v>
      </c>
      <c r="E297">
        <v>550</v>
      </c>
      <c r="F297">
        <v>0</v>
      </c>
      <c r="G297">
        <v>1340.3087158000001</v>
      </c>
      <c r="H297">
        <v>1338.7177733999999</v>
      </c>
      <c r="I297">
        <v>1325.3470459</v>
      </c>
      <c r="J297">
        <v>1317.7775879000001</v>
      </c>
      <c r="K297">
        <v>80</v>
      </c>
      <c r="L297">
        <v>79.744636536000002</v>
      </c>
      <c r="M297">
        <v>60</v>
      </c>
      <c r="N297">
        <v>31.136329651</v>
      </c>
    </row>
    <row r="298" spans="1:14" x14ac:dyDescent="0.25">
      <c r="A298">
        <v>184.00000399999999</v>
      </c>
      <c r="B298" s="1">
        <f>DATE(2010,11,1) + TIME(0,0,0)</f>
        <v>40483</v>
      </c>
      <c r="C298">
        <v>0</v>
      </c>
      <c r="D298">
        <v>550</v>
      </c>
      <c r="E298">
        <v>550</v>
      </c>
      <c r="F298">
        <v>0</v>
      </c>
      <c r="G298">
        <v>1339.8041992000001</v>
      </c>
      <c r="H298">
        <v>1338.2127685999999</v>
      </c>
      <c r="I298">
        <v>1325.9217529</v>
      </c>
      <c r="J298">
        <v>1318.4642334</v>
      </c>
      <c r="K298">
        <v>80</v>
      </c>
      <c r="L298">
        <v>79.744567871000001</v>
      </c>
      <c r="M298">
        <v>60</v>
      </c>
      <c r="N298">
        <v>31.136436461999999</v>
      </c>
    </row>
    <row r="299" spans="1:14" x14ac:dyDescent="0.25">
      <c r="A299">
        <v>184.000013</v>
      </c>
      <c r="B299" s="1">
        <f>DATE(2010,11,1) + TIME(0,0,1)</f>
        <v>40483.000011574077</v>
      </c>
      <c r="C299">
        <v>0</v>
      </c>
      <c r="D299">
        <v>550</v>
      </c>
      <c r="E299">
        <v>550</v>
      </c>
      <c r="F299">
        <v>0</v>
      </c>
      <c r="G299">
        <v>1338.7845459</v>
      </c>
      <c r="H299">
        <v>1337.1912841999999</v>
      </c>
      <c r="I299">
        <v>1327.3532714999999</v>
      </c>
      <c r="J299">
        <v>1320.1115723</v>
      </c>
      <c r="K299">
        <v>80</v>
      </c>
      <c r="L299">
        <v>79.744422912999994</v>
      </c>
      <c r="M299">
        <v>60</v>
      </c>
      <c r="N299">
        <v>31.136711121000001</v>
      </c>
    </row>
    <row r="300" spans="1:14" x14ac:dyDescent="0.25">
      <c r="A300">
        <v>184.00004000000001</v>
      </c>
      <c r="B300" s="1">
        <f>DATE(2010,11,1) + TIME(0,0,3)</f>
        <v>40483.000034722223</v>
      </c>
      <c r="C300">
        <v>0</v>
      </c>
      <c r="D300">
        <v>550</v>
      </c>
      <c r="E300">
        <v>550</v>
      </c>
      <c r="F300">
        <v>0</v>
      </c>
      <c r="G300">
        <v>1337.2889404</v>
      </c>
      <c r="H300">
        <v>1335.6879882999999</v>
      </c>
      <c r="I300">
        <v>1330.1658935999999</v>
      </c>
      <c r="J300">
        <v>1323.1369629000001</v>
      </c>
      <c r="K300">
        <v>80</v>
      </c>
      <c r="L300">
        <v>79.744209290000001</v>
      </c>
      <c r="M300">
        <v>60</v>
      </c>
      <c r="N300">
        <v>31.137296676999998</v>
      </c>
    </row>
    <row r="301" spans="1:14" x14ac:dyDescent="0.25">
      <c r="A301">
        <v>184.00012100000001</v>
      </c>
      <c r="B301" s="1">
        <f>DATE(2010,11,1) + TIME(0,0,10)</f>
        <v>40483.000115740739</v>
      </c>
      <c r="C301">
        <v>0</v>
      </c>
      <c r="D301">
        <v>550</v>
      </c>
      <c r="E301">
        <v>550</v>
      </c>
      <c r="F301">
        <v>0</v>
      </c>
      <c r="G301">
        <v>1335.6011963000001</v>
      </c>
      <c r="H301">
        <v>1333.9799805</v>
      </c>
      <c r="I301">
        <v>1334.1589355000001</v>
      </c>
      <c r="J301">
        <v>1327.1661377</v>
      </c>
      <c r="K301">
        <v>80</v>
      </c>
      <c r="L301">
        <v>79.743949889999996</v>
      </c>
      <c r="M301">
        <v>60</v>
      </c>
      <c r="N301">
        <v>31.138458252</v>
      </c>
    </row>
    <row r="302" spans="1:14" x14ac:dyDescent="0.25">
      <c r="A302">
        <v>184.00036399999999</v>
      </c>
      <c r="B302" s="1">
        <f>DATE(2010,11,1) + TIME(0,0,31)</f>
        <v>40483.000358796293</v>
      </c>
      <c r="C302">
        <v>0</v>
      </c>
      <c r="D302">
        <v>550</v>
      </c>
      <c r="E302">
        <v>550</v>
      </c>
      <c r="F302">
        <v>0</v>
      </c>
      <c r="G302">
        <v>1333.8298339999999</v>
      </c>
      <c r="H302">
        <v>1332.1451416</v>
      </c>
      <c r="I302">
        <v>1338.5694579999999</v>
      </c>
      <c r="J302">
        <v>1331.5574951000001</v>
      </c>
      <c r="K302">
        <v>80</v>
      </c>
      <c r="L302">
        <v>79.743652343999997</v>
      </c>
      <c r="M302">
        <v>60</v>
      </c>
      <c r="N302">
        <v>31.141069412</v>
      </c>
    </row>
    <row r="303" spans="1:14" x14ac:dyDescent="0.25">
      <c r="A303">
        <v>184.001093</v>
      </c>
      <c r="B303" s="1">
        <f>DATE(2010,11,1) + TIME(0,1,34)</f>
        <v>40483.001087962963</v>
      </c>
      <c r="C303">
        <v>0</v>
      </c>
      <c r="D303">
        <v>550</v>
      </c>
      <c r="E303">
        <v>550</v>
      </c>
      <c r="F303">
        <v>0</v>
      </c>
      <c r="G303">
        <v>1331.9189452999999</v>
      </c>
      <c r="H303">
        <v>1330.1040039</v>
      </c>
      <c r="I303">
        <v>1342.8687743999999</v>
      </c>
      <c r="J303">
        <v>1335.8431396000001</v>
      </c>
      <c r="K303">
        <v>80</v>
      </c>
      <c r="L303">
        <v>79.743209839000002</v>
      </c>
      <c r="M303">
        <v>60</v>
      </c>
      <c r="N303">
        <v>31.147895813000002</v>
      </c>
    </row>
    <row r="304" spans="1:14" x14ac:dyDescent="0.25">
      <c r="A304">
        <v>184.00327999999999</v>
      </c>
      <c r="B304" s="1">
        <f>DATE(2010,11,1) + TIME(0,4,43)</f>
        <v>40483.003275462965</v>
      </c>
      <c r="C304">
        <v>0</v>
      </c>
      <c r="D304">
        <v>550</v>
      </c>
      <c r="E304">
        <v>550</v>
      </c>
      <c r="F304">
        <v>0</v>
      </c>
      <c r="G304">
        <v>1329.9931641000001</v>
      </c>
      <c r="H304">
        <v>1328.0402832</v>
      </c>
      <c r="I304">
        <v>1346.4807129000001</v>
      </c>
      <c r="J304">
        <v>1339.4049072</v>
      </c>
      <c r="K304">
        <v>80</v>
      </c>
      <c r="L304">
        <v>79.742416382000002</v>
      </c>
      <c r="M304">
        <v>60</v>
      </c>
      <c r="N304">
        <v>31.167444229000001</v>
      </c>
    </row>
    <row r="305" spans="1:14" x14ac:dyDescent="0.25">
      <c r="A305">
        <v>184.00984099999999</v>
      </c>
      <c r="B305" s="1">
        <f>DATE(2010,11,1) + TIME(0,14,10)</f>
        <v>40483.009837962964</v>
      </c>
      <c r="C305">
        <v>0</v>
      </c>
      <c r="D305">
        <v>550</v>
      </c>
      <c r="E305">
        <v>550</v>
      </c>
      <c r="F305">
        <v>0</v>
      </c>
      <c r="G305">
        <v>1328.4346923999999</v>
      </c>
      <c r="H305">
        <v>1326.4151611</v>
      </c>
      <c r="I305">
        <v>1348.7796631000001</v>
      </c>
      <c r="J305">
        <v>1341.6434326000001</v>
      </c>
      <c r="K305">
        <v>80</v>
      </c>
      <c r="L305">
        <v>79.740592957000004</v>
      </c>
      <c r="M305">
        <v>60</v>
      </c>
      <c r="N305">
        <v>31.225568770999999</v>
      </c>
    </row>
    <row r="306" spans="1:14" x14ac:dyDescent="0.25">
      <c r="A306">
        <v>184.02952400000001</v>
      </c>
      <c r="B306" s="1">
        <f>DATE(2010,11,1) + TIME(0,42,30)</f>
        <v>40483.029513888891</v>
      </c>
      <c r="C306">
        <v>0</v>
      </c>
      <c r="D306">
        <v>550</v>
      </c>
      <c r="E306">
        <v>550</v>
      </c>
      <c r="F306">
        <v>0</v>
      </c>
      <c r="G306">
        <v>1327.4858397999999</v>
      </c>
      <c r="H306">
        <v>1325.4501952999999</v>
      </c>
      <c r="I306">
        <v>1349.7911377</v>
      </c>
      <c r="J306">
        <v>1342.6364745999999</v>
      </c>
      <c r="K306">
        <v>80</v>
      </c>
      <c r="L306">
        <v>79.735649108999993</v>
      </c>
      <c r="M306">
        <v>60</v>
      </c>
      <c r="N306">
        <v>31.399324416999999</v>
      </c>
    </row>
    <row r="307" spans="1:14" x14ac:dyDescent="0.25">
      <c r="A307">
        <v>184.088573</v>
      </c>
      <c r="B307" s="1">
        <f>DATE(2010,11,1) + TIME(2,7,32)</f>
        <v>40483.088564814818</v>
      </c>
      <c r="C307">
        <v>0</v>
      </c>
      <c r="D307">
        <v>550</v>
      </c>
      <c r="E307">
        <v>550</v>
      </c>
      <c r="F307">
        <v>0</v>
      </c>
      <c r="G307">
        <v>1327.0539550999999</v>
      </c>
      <c r="H307">
        <v>1325.0161132999999</v>
      </c>
      <c r="I307">
        <v>1349.9582519999999</v>
      </c>
      <c r="J307">
        <v>1342.8728027</v>
      </c>
      <c r="K307">
        <v>80</v>
      </c>
      <c r="L307">
        <v>79.721298218000001</v>
      </c>
      <c r="M307">
        <v>60</v>
      </c>
      <c r="N307">
        <v>31.911451339999999</v>
      </c>
    </row>
    <row r="308" spans="1:14" x14ac:dyDescent="0.25">
      <c r="A308">
        <v>184.18683799999999</v>
      </c>
      <c r="B308" s="1">
        <f>DATE(2010,11,1) + TIME(4,29,2)</f>
        <v>40483.186828703707</v>
      </c>
      <c r="C308">
        <v>0</v>
      </c>
      <c r="D308">
        <v>550</v>
      </c>
      <c r="E308">
        <v>550</v>
      </c>
      <c r="F308">
        <v>0</v>
      </c>
      <c r="G308">
        <v>1326.9375</v>
      </c>
      <c r="H308">
        <v>1324.8989257999999</v>
      </c>
      <c r="I308">
        <v>1349.7687988</v>
      </c>
      <c r="J308">
        <v>1342.8126221</v>
      </c>
      <c r="K308">
        <v>80</v>
      </c>
      <c r="L308">
        <v>79.697776794000006</v>
      </c>
      <c r="M308">
        <v>60</v>
      </c>
      <c r="N308">
        <v>32.737594604000002</v>
      </c>
    </row>
    <row r="309" spans="1:14" x14ac:dyDescent="0.25">
      <c r="A309">
        <v>184.28715199999999</v>
      </c>
      <c r="B309" s="1">
        <f>DATE(2010,11,1) + TIME(6,53,29)</f>
        <v>40483.287141203706</v>
      </c>
      <c r="C309">
        <v>0</v>
      </c>
      <c r="D309">
        <v>550</v>
      </c>
      <c r="E309">
        <v>550</v>
      </c>
      <c r="F309">
        <v>0</v>
      </c>
      <c r="G309">
        <v>1326.9111327999999</v>
      </c>
      <c r="H309">
        <v>1324.8718262</v>
      </c>
      <c r="I309">
        <v>1349.5727539</v>
      </c>
      <c r="J309">
        <v>1342.7353516000001</v>
      </c>
      <c r="K309">
        <v>80</v>
      </c>
      <c r="L309">
        <v>79.673950195000003</v>
      </c>
      <c r="M309">
        <v>60</v>
      </c>
      <c r="N309">
        <v>33.555576324</v>
      </c>
    </row>
    <row r="310" spans="1:14" x14ac:dyDescent="0.25">
      <c r="A310">
        <v>184.38960299999999</v>
      </c>
      <c r="B310" s="1">
        <f>DATE(2010,11,1) + TIME(9,21,1)</f>
        <v>40483.389594907407</v>
      </c>
      <c r="C310">
        <v>0</v>
      </c>
      <c r="D310">
        <v>550</v>
      </c>
      <c r="E310">
        <v>550</v>
      </c>
      <c r="F310">
        <v>0</v>
      </c>
      <c r="G310">
        <v>1326.9034423999999</v>
      </c>
      <c r="H310">
        <v>1324.8634033000001</v>
      </c>
      <c r="I310">
        <v>1349.3880615</v>
      </c>
      <c r="J310">
        <v>1342.6639404</v>
      </c>
      <c r="K310">
        <v>80</v>
      </c>
      <c r="L310">
        <v>79.649780273000005</v>
      </c>
      <c r="M310">
        <v>60</v>
      </c>
      <c r="N310">
        <v>34.365409851000003</v>
      </c>
    </row>
    <row r="311" spans="1:14" x14ac:dyDescent="0.25">
      <c r="A311">
        <v>184.49431200000001</v>
      </c>
      <c r="B311" s="1">
        <f>DATE(2010,11,1) + TIME(11,51,48)</f>
        <v>40483.494305555556</v>
      </c>
      <c r="C311">
        <v>0</v>
      </c>
      <c r="D311">
        <v>550</v>
      </c>
      <c r="E311">
        <v>550</v>
      </c>
      <c r="F311">
        <v>0</v>
      </c>
      <c r="G311">
        <v>1326.9002685999999</v>
      </c>
      <c r="H311">
        <v>1324.859375</v>
      </c>
      <c r="I311">
        <v>1349.2147216999999</v>
      </c>
      <c r="J311">
        <v>1342.5985106999999</v>
      </c>
      <c r="K311">
        <v>80</v>
      </c>
      <c r="L311">
        <v>79.625244140999996</v>
      </c>
      <c r="M311">
        <v>60</v>
      </c>
      <c r="N311">
        <v>35.167301178000002</v>
      </c>
    </row>
    <row r="312" spans="1:14" x14ac:dyDescent="0.25">
      <c r="A312">
        <v>184.60132100000001</v>
      </c>
      <c r="B312" s="1">
        <f>DATE(2010,11,1) + TIME(14,25,54)</f>
        <v>40483.601319444446</v>
      </c>
      <c r="C312">
        <v>0</v>
      </c>
      <c r="D312">
        <v>550</v>
      </c>
      <c r="E312">
        <v>550</v>
      </c>
      <c r="F312">
        <v>0</v>
      </c>
      <c r="G312">
        <v>1326.8980713000001</v>
      </c>
      <c r="H312">
        <v>1324.8563231999999</v>
      </c>
      <c r="I312">
        <v>1349.0513916</v>
      </c>
      <c r="J312">
        <v>1342.5377197</v>
      </c>
      <c r="K312">
        <v>80</v>
      </c>
      <c r="L312">
        <v>79.600349425999994</v>
      </c>
      <c r="M312">
        <v>60</v>
      </c>
      <c r="N312">
        <v>35.960849762000002</v>
      </c>
    </row>
    <row r="313" spans="1:14" x14ac:dyDescent="0.25">
      <c r="A313">
        <v>184.710846</v>
      </c>
      <c r="B313" s="1">
        <f>DATE(2010,11,1) + TIME(17,3,37)</f>
        <v>40483.710844907408</v>
      </c>
      <c r="C313">
        <v>0</v>
      </c>
      <c r="D313">
        <v>550</v>
      </c>
      <c r="E313">
        <v>550</v>
      </c>
      <c r="F313">
        <v>0</v>
      </c>
      <c r="G313">
        <v>1326.8961182</v>
      </c>
      <c r="H313">
        <v>1324.8533935999999</v>
      </c>
      <c r="I313">
        <v>1348.8968506000001</v>
      </c>
      <c r="J313">
        <v>1342.480957</v>
      </c>
      <c r="K313">
        <v>80</v>
      </c>
      <c r="L313">
        <v>79.575042725000003</v>
      </c>
      <c r="M313">
        <v>60</v>
      </c>
      <c r="N313">
        <v>36.746829986999998</v>
      </c>
    </row>
    <row r="314" spans="1:14" x14ac:dyDescent="0.25">
      <c r="A314">
        <v>184.823047</v>
      </c>
      <c r="B314" s="1">
        <f>DATE(2010,11,1) + TIME(19,45,11)</f>
        <v>40483.82304398148</v>
      </c>
      <c r="C314">
        <v>0</v>
      </c>
      <c r="D314">
        <v>550</v>
      </c>
      <c r="E314">
        <v>550</v>
      </c>
      <c r="F314">
        <v>0</v>
      </c>
      <c r="G314">
        <v>1326.8941649999999</v>
      </c>
      <c r="H314">
        <v>1324.8504639</v>
      </c>
      <c r="I314">
        <v>1348.7506103999999</v>
      </c>
      <c r="J314">
        <v>1342.4278564000001</v>
      </c>
      <c r="K314">
        <v>80</v>
      </c>
      <c r="L314">
        <v>79.549308776999993</v>
      </c>
      <c r="M314">
        <v>60</v>
      </c>
      <c r="N314">
        <v>37.525485992</v>
      </c>
    </row>
    <row r="315" spans="1:14" x14ac:dyDescent="0.25">
      <c r="A315">
        <v>184.93808999999999</v>
      </c>
      <c r="B315" s="1">
        <f>DATE(2010,11,1) + TIME(22,30,50)</f>
        <v>40483.938078703701</v>
      </c>
      <c r="C315">
        <v>0</v>
      </c>
      <c r="D315">
        <v>550</v>
      </c>
      <c r="E315">
        <v>550</v>
      </c>
      <c r="F315">
        <v>0</v>
      </c>
      <c r="G315">
        <v>1326.8922118999999</v>
      </c>
      <c r="H315">
        <v>1324.8474120999999</v>
      </c>
      <c r="I315">
        <v>1348.6121826000001</v>
      </c>
      <c r="J315">
        <v>1342.3781738</v>
      </c>
      <c r="K315">
        <v>80</v>
      </c>
      <c r="L315">
        <v>79.523109435999999</v>
      </c>
      <c r="M315">
        <v>60</v>
      </c>
      <c r="N315">
        <v>38.296985626000001</v>
      </c>
    </row>
    <row r="316" spans="1:14" x14ac:dyDescent="0.25">
      <c r="A316">
        <v>185.05615299999999</v>
      </c>
      <c r="B316" s="1">
        <f>DATE(2010,11,2) + TIME(1,20,51)</f>
        <v>40484.056145833332</v>
      </c>
      <c r="C316">
        <v>0</v>
      </c>
      <c r="D316">
        <v>550</v>
      </c>
      <c r="E316">
        <v>550</v>
      </c>
      <c r="F316">
        <v>0</v>
      </c>
      <c r="G316">
        <v>1326.8900146000001</v>
      </c>
      <c r="H316">
        <v>1324.8441161999999</v>
      </c>
      <c r="I316">
        <v>1348.4810791</v>
      </c>
      <c r="J316">
        <v>1342.3316649999999</v>
      </c>
      <c r="K316">
        <v>80</v>
      </c>
      <c r="L316">
        <v>79.496421814000001</v>
      </c>
      <c r="M316">
        <v>60</v>
      </c>
      <c r="N316">
        <v>39.061462401999997</v>
      </c>
    </row>
    <row r="317" spans="1:14" x14ac:dyDescent="0.25">
      <c r="A317">
        <v>185.17736099999999</v>
      </c>
      <c r="B317" s="1">
        <f>DATE(2010,11,2) + TIME(4,15,24)</f>
        <v>40484.177361111113</v>
      </c>
      <c r="C317">
        <v>0</v>
      </c>
      <c r="D317">
        <v>550</v>
      </c>
      <c r="E317">
        <v>550</v>
      </c>
      <c r="F317">
        <v>0</v>
      </c>
      <c r="G317">
        <v>1326.8878173999999</v>
      </c>
      <c r="H317">
        <v>1324.8406981999999</v>
      </c>
      <c r="I317">
        <v>1348.3571777</v>
      </c>
      <c r="J317">
        <v>1342.2882079999999</v>
      </c>
      <c r="K317">
        <v>80</v>
      </c>
      <c r="L317">
        <v>79.469223021999994</v>
      </c>
      <c r="M317">
        <v>60</v>
      </c>
      <c r="N317">
        <v>39.818630218999999</v>
      </c>
    </row>
    <row r="318" spans="1:14" x14ac:dyDescent="0.25">
      <c r="A318">
        <v>185.30196599999999</v>
      </c>
      <c r="B318" s="1">
        <f>DATE(2010,11,2) + TIME(7,14,49)</f>
        <v>40484.30195601852</v>
      </c>
      <c r="C318">
        <v>0</v>
      </c>
      <c r="D318">
        <v>550</v>
      </c>
      <c r="E318">
        <v>550</v>
      </c>
      <c r="F318">
        <v>0</v>
      </c>
      <c r="G318">
        <v>1326.8854980000001</v>
      </c>
      <c r="H318">
        <v>1324.8371582</v>
      </c>
      <c r="I318">
        <v>1348.2398682</v>
      </c>
      <c r="J318">
        <v>1342.2478027</v>
      </c>
      <c r="K318">
        <v>80</v>
      </c>
      <c r="L318">
        <v>79.441474915000001</v>
      </c>
      <c r="M318">
        <v>60</v>
      </c>
      <c r="N318">
        <v>40.5689888</v>
      </c>
    </row>
    <row r="319" spans="1:14" x14ac:dyDescent="0.25">
      <c r="A319">
        <v>185.43020999999999</v>
      </c>
      <c r="B319" s="1">
        <f>DATE(2010,11,2) + TIME(10,19,30)</f>
        <v>40484.430208333331</v>
      </c>
      <c r="C319">
        <v>0</v>
      </c>
      <c r="D319">
        <v>550</v>
      </c>
      <c r="E319">
        <v>550</v>
      </c>
      <c r="F319">
        <v>0</v>
      </c>
      <c r="G319">
        <v>1326.8830565999999</v>
      </c>
      <c r="H319">
        <v>1324.833374</v>
      </c>
      <c r="I319">
        <v>1348.1289062000001</v>
      </c>
      <c r="J319">
        <v>1342.2100829999999</v>
      </c>
      <c r="K319">
        <v>80</v>
      </c>
      <c r="L319">
        <v>79.413131714000002</v>
      </c>
      <c r="M319">
        <v>60</v>
      </c>
      <c r="N319">
        <v>41.312606811999999</v>
      </c>
    </row>
    <row r="320" spans="1:14" x14ac:dyDescent="0.25">
      <c r="A320">
        <v>185.562341</v>
      </c>
      <c r="B320" s="1">
        <f>DATE(2010,11,2) + TIME(13,29,46)</f>
        <v>40484.562337962961</v>
      </c>
      <c r="C320">
        <v>0</v>
      </c>
      <c r="D320">
        <v>550</v>
      </c>
      <c r="E320">
        <v>550</v>
      </c>
      <c r="F320">
        <v>0</v>
      </c>
      <c r="G320">
        <v>1326.8806152</v>
      </c>
      <c r="H320">
        <v>1324.8294678</v>
      </c>
      <c r="I320">
        <v>1348.0239257999999</v>
      </c>
      <c r="J320">
        <v>1342.1750488</v>
      </c>
      <c r="K320">
        <v>80</v>
      </c>
      <c r="L320">
        <v>79.384162903000004</v>
      </c>
      <c r="M320">
        <v>60</v>
      </c>
      <c r="N320">
        <v>42.049465179000002</v>
      </c>
    </row>
    <row r="321" spans="1:14" x14ac:dyDescent="0.25">
      <c r="A321">
        <v>185.69862699999999</v>
      </c>
      <c r="B321" s="1">
        <f>DATE(2010,11,2) + TIME(16,46,1)</f>
        <v>40484.698622685188</v>
      </c>
      <c r="C321">
        <v>0</v>
      </c>
      <c r="D321">
        <v>550</v>
      </c>
      <c r="E321">
        <v>550</v>
      </c>
      <c r="F321">
        <v>0</v>
      </c>
      <c r="G321">
        <v>1326.8779297000001</v>
      </c>
      <c r="H321">
        <v>1324.8253173999999</v>
      </c>
      <c r="I321">
        <v>1347.9248047000001</v>
      </c>
      <c r="J321">
        <v>1342.1424560999999</v>
      </c>
      <c r="K321">
        <v>80</v>
      </c>
      <c r="L321">
        <v>79.354515075999998</v>
      </c>
      <c r="M321">
        <v>60</v>
      </c>
      <c r="N321">
        <v>42.779552459999998</v>
      </c>
    </row>
    <row r="322" spans="1:14" x14ac:dyDescent="0.25">
      <c r="A322">
        <v>185.83934400000001</v>
      </c>
      <c r="B322" s="1">
        <f>DATE(2010,11,2) + TIME(20,8,39)</f>
        <v>40484.83934027778</v>
      </c>
      <c r="C322">
        <v>0</v>
      </c>
      <c r="D322">
        <v>550</v>
      </c>
      <c r="E322">
        <v>550</v>
      </c>
      <c r="F322">
        <v>0</v>
      </c>
      <c r="G322">
        <v>1326.8751221</v>
      </c>
      <c r="H322">
        <v>1324.8210449000001</v>
      </c>
      <c r="I322">
        <v>1347.8310547000001</v>
      </c>
      <c r="J322">
        <v>1342.1123047000001</v>
      </c>
      <c r="K322">
        <v>80</v>
      </c>
      <c r="L322">
        <v>79.324150084999999</v>
      </c>
      <c r="M322">
        <v>60</v>
      </c>
      <c r="N322">
        <v>43.502727509000003</v>
      </c>
    </row>
    <row r="323" spans="1:14" x14ac:dyDescent="0.25">
      <c r="A323">
        <v>185.98482300000001</v>
      </c>
      <c r="B323" s="1">
        <f>DATE(2010,11,2) + TIME(23,38,8)</f>
        <v>40484.984814814816</v>
      </c>
      <c r="C323">
        <v>0</v>
      </c>
      <c r="D323">
        <v>550</v>
      </c>
      <c r="E323">
        <v>550</v>
      </c>
      <c r="F323">
        <v>0</v>
      </c>
      <c r="G323">
        <v>1326.8721923999999</v>
      </c>
      <c r="H323">
        <v>1324.8164062000001</v>
      </c>
      <c r="I323">
        <v>1347.7425536999999</v>
      </c>
      <c r="J323">
        <v>1342.0843506000001</v>
      </c>
      <c r="K323">
        <v>80</v>
      </c>
      <c r="L323">
        <v>79.293022156000006</v>
      </c>
      <c r="M323">
        <v>60</v>
      </c>
      <c r="N323">
        <v>44.218948363999999</v>
      </c>
    </row>
    <row r="324" spans="1:14" x14ac:dyDescent="0.25">
      <c r="A324">
        <v>186.13543300000001</v>
      </c>
      <c r="B324" s="1">
        <f>DATE(2010,11,3) + TIME(3,15,1)</f>
        <v>40485.135428240741</v>
      </c>
      <c r="C324">
        <v>0</v>
      </c>
      <c r="D324">
        <v>550</v>
      </c>
      <c r="E324">
        <v>550</v>
      </c>
      <c r="F324">
        <v>0</v>
      </c>
      <c r="G324">
        <v>1326.8691406</v>
      </c>
      <c r="H324">
        <v>1324.8117675999999</v>
      </c>
      <c r="I324">
        <v>1347.6589355000001</v>
      </c>
      <c r="J324">
        <v>1342.0584716999999</v>
      </c>
      <c r="K324">
        <v>80</v>
      </c>
      <c r="L324">
        <v>79.261062621999997</v>
      </c>
      <c r="M324">
        <v>60</v>
      </c>
      <c r="N324">
        <v>44.928153991999999</v>
      </c>
    </row>
    <row r="325" spans="1:14" x14ac:dyDescent="0.25">
      <c r="A325">
        <v>186.29156900000001</v>
      </c>
      <c r="B325" s="1">
        <f>DATE(2010,11,3) + TIME(6,59,51)</f>
        <v>40485.291562500002</v>
      </c>
      <c r="C325">
        <v>0</v>
      </c>
      <c r="D325">
        <v>550</v>
      </c>
      <c r="E325">
        <v>550</v>
      </c>
      <c r="F325">
        <v>0</v>
      </c>
      <c r="G325">
        <v>1326.8659668</v>
      </c>
      <c r="H325">
        <v>1324.8067627</v>
      </c>
      <c r="I325">
        <v>1347.5800781</v>
      </c>
      <c r="J325">
        <v>1342.034668</v>
      </c>
      <c r="K325">
        <v>80</v>
      </c>
      <c r="L325">
        <v>79.228225707999997</v>
      </c>
      <c r="M325">
        <v>60</v>
      </c>
      <c r="N325">
        <v>45.630195618000002</v>
      </c>
    </row>
    <row r="326" spans="1:14" x14ac:dyDescent="0.25">
      <c r="A326">
        <v>186.45367100000001</v>
      </c>
      <c r="B326" s="1">
        <f>DATE(2010,11,3) + TIME(10,53,17)</f>
        <v>40485.453668981485</v>
      </c>
      <c r="C326">
        <v>0</v>
      </c>
      <c r="D326">
        <v>550</v>
      </c>
      <c r="E326">
        <v>550</v>
      </c>
      <c r="F326">
        <v>0</v>
      </c>
      <c r="G326">
        <v>1326.8625488</v>
      </c>
      <c r="H326">
        <v>1324.8015137</v>
      </c>
      <c r="I326">
        <v>1347.5056152</v>
      </c>
      <c r="J326">
        <v>1342.0126952999999</v>
      </c>
      <c r="K326">
        <v>80</v>
      </c>
      <c r="L326">
        <v>79.194427489999995</v>
      </c>
      <c r="M326">
        <v>60</v>
      </c>
      <c r="N326">
        <v>46.324867249</v>
      </c>
    </row>
    <row r="327" spans="1:14" x14ac:dyDescent="0.25">
      <c r="A327">
        <v>186.62222800000001</v>
      </c>
      <c r="B327" s="1">
        <f>DATE(2010,11,3) + TIME(14,56,0)</f>
        <v>40485.62222222222</v>
      </c>
      <c r="C327">
        <v>0</v>
      </c>
      <c r="D327">
        <v>550</v>
      </c>
      <c r="E327">
        <v>550</v>
      </c>
      <c r="F327">
        <v>0</v>
      </c>
      <c r="G327">
        <v>1326.8590088000001</v>
      </c>
      <c r="H327">
        <v>1324.7960204999999</v>
      </c>
      <c r="I327">
        <v>1347.4353027</v>
      </c>
      <c r="J327">
        <v>1341.9925536999999</v>
      </c>
      <c r="K327">
        <v>80</v>
      </c>
      <c r="L327">
        <v>79.159599303999997</v>
      </c>
      <c r="M327">
        <v>60</v>
      </c>
      <c r="N327">
        <v>47.011932373</v>
      </c>
    </row>
    <row r="328" spans="1:14" x14ac:dyDescent="0.25">
      <c r="A328">
        <v>186.79778999999999</v>
      </c>
      <c r="B328" s="1">
        <f>DATE(2010,11,3) + TIME(19,8,49)</f>
        <v>40485.797789351855</v>
      </c>
      <c r="C328">
        <v>0</v>
      </c>
      <c r="D328">
        <v>550</v>
      </c>
      <c r="E328">
        <v>550</v>
      </c>
      <c r="F328">
        <v>0</v>
      </c>
      <c r="G328">
        <v>1326.8553466999999</v>
      </c>
      <c r="H328">
        <v>1324.7902832</v>
      </c>
      <c r="I328">
        <v>1347.3691406</v>
      </c>
      <c r="J328">
        <v>1341.9738769999999</v>
      </c>
      <c r="K328">
        <v>80</v>
      </c>
      <c r="L328">
        <v>79.123664856000005</v>
      </c>
      <c r="M328">
        <v>60</v>
      </c>
      <c r="N328">
        <v>47.691097259999999</v>
      </c>
    </row>
    <row r="329" spans="1:14" x14ac:dyDescent="0.25">
      <c r="A329">
        <v>186.98097000000001</v>
      </c>
      <c r="B329" s="1">
        <f>DATE(2010,11,3) + TIME(23,32,35)</f>
        <v>40485.98096064815</v>
      </c>
      <c r="C329">
        <v>0</v>
      </c>
      <c r="D329">
        <v>550</v>
      </c>
      <c r="E329">
        <v>550</v>
      </c>
      <c r="F329">
        <v>0</v>
      </c>
      <c r="G329">
        <v>1326.8514404</v>
      </c>
      <c r="H329">
        <v>1324.7843018000001</v>
      </c>
      <c r="I329">
        <v>1347.3066406</v>
      </c>
      <c r="J329">
        <v>1341.9566649999999</v>
      </c>
      <c r="K329">
        <v>80</v>
      </c>
      <c r="L329">
        <v>79.086532593000001</v>
      </c>
      <c r="M329">
        <v>60</v>
      </c>
      <c r="N329">
        <v>48.362022400000001</v>
      </c>
    </row>
    <row r="330" spans="1:14" x14ac:dyDescent="0.25">
      <c r="A330">
        <v>187.17246399999999</v>
      </c>
      <c r="B330" s="1">
        <f>DATE(2010,11,4) + TIME(4,8,20)</f>
        <v>40486.172453703701</v>
      </c>
      <c r="C330">
        <v>0</v>
      </c>
      <c r="D330">
        <v>550</v>
      </c>
      <c r="E330">
        <v>550</v>
      </c>
      <c r="F330">
        <v>0</v>
      </c>
      <c r="G330">
        <v>1326.8472899999999</v>
      </c>
      <c r="H330">
        <v>1324.7779541</v>
      </c>
      <c r="I330">
        <v>1347.2476807</v>
      </c>
      <c r="J330">
        <v>1341.940918</v>
      </c>
      <c r="K330">
        <v>80</v>
      </c>
      <c r="L330">
        <v>79.048095703000001</v>
      </c>
      <c r="M330">
        <v>60</v>
      </c>
      <c r="N330">
        <v>49.024314879999999</v>
      </c>
    </row>
    <row r="331" spans="1:14" x14ac:dyDescent="0.25">
      <c r="A331">
        <v>187.37305900000001</v>
      </c>
      <c r="B331" s="1">
        <f>DATE(2010,11,4) + TIME(8,57,12)</f>
        <v>40486.373055555552</v>
      </c>
      <c r="C331">
        <v>0</v>
      </c>
      <c r="D331">
        <v>550</v>
      </c>
      <c r="E331">
        <v>550</v>
      </c>
      <c r="F331">
        <v>0</v>
      </c>
      <c r="G331">
        <v>1326.8428954999999</v>
      </c>
      <c r="H331">
        <v>1324.7712402</v>
      </c>
      <c r="I331">
        <v>1347.1920166</v>
      </c>
      <c r="J331">
        <v>1341.9262695</v>
      </c>
      <c r="K331">
        <v>80</v>
      </c>
      <c r="L331">
        <v>79.008239746000001</v>
      </c>
      <c r="M331">
        <v>60</v>
      </c>
      <c r="N331">
        <v>49.677513122999997</v>
      </c>
    </row>
    <row r="332" spans="1:14" x14ac:dyDescent="0.25">
      <c r="A332">
        <v>187.58364399999999</v>
      </c>
      <c r="B332" s="1">
        <f>DATE(2010,11,4) + TIME(14,0,26)</f>
        <v>40486.583634259259</v>
      </c>
      <c r="C332">
        <v>0</v>
      </c>
      <c r="D332">
        <v>550</v>
      </c>
      <c r="E332">
        <v>550</v>
      </c>
      <c r="F332">
        <v>0</v>
      </c>
      <c r="G332">
        <v>1326.8382568</v>
      </c>
      <c r="H332">
        <v>1324.7641602000001</v>
      </c>
      <c r="I332">
        <v>1347.1395264</v>
      </c>
      <c r="J332">
        <v>1341.9127197</v>
      </c>
      <c r="K332">
        <v>80</v>
      </c>
      <c r="L332">
        <v>78.966835021999998</v>
      </c>
      <c r="M332">
        <v>60</v>
      </c>
      <c r="N332">
        <v>50.320915221999996</v>
      </c>
    </row>
    <row r="333" spans="1:14" x14ac:dyDescent="0.25">
      <c r="A333">
        <v>187.805217</v>
      </c>
      <c r="B333" s="1">
        <f>DATE(2010,11,4) + TIME(19,19,30)</f>
        <v>40486.805208333331</v>
      </c>
      <c r="C333">
        <v>0</v>
      </c>
      <c r="D333">
        <v>550</v>
      </c>
      <c r="E333">
        <v>550</v>
      </c>
      <c r="F333">
        <v>0</v>
      </c>
      <c r="G333">
        <v>1326.8332519999999</v>
      </c>
      <c r="H333">
        <v>1324.7567139</v>
      </c>
      <c r="I333">
        <v>1347.0899658000001</v>
      </c>
      <c r="J333">
        <v>1341.9000243999999</v>
      </c>
      <c r="K333">
        <v>80</v>
      </c>
      <c r="L333">
        <v>78.923736571999996</v>
      </c>
      <c r="M333">
        <v>60</v>
      </c>
      <c r="N333">
        <v>50.953842162999997</v>
      </c>
    </row>
    <row r="334" spans="1:14" x14ac:dyDescent="0.25">
      <c r="A334">
        <v>188.03900100000001</v>
      </c>
      <c r="B334" s="1">
        <f>DATE(2010,11,5) + TIME(0,56,9)</f>
        <v>40487.038993055554</v>
      </c>
      <c r="C334">
        <v>0</v>
      </c>
      <c r="D334">
        <v>550</v>
      </c>
      <c r="E334">
        <v>550</v>
      </c>
      <c r="F334">
        <v>0</v>
      </c>
      <c r="G334">
        <v>1326.8280029</v>
      </c>
      <c r="H334">
        <v>1324.7487793</v>
      </c>
      <c r="I334">
        <v>1347.0429687999999</v>
      </c>
      <c r="J334">
        <v>1341.8880615</v>
      </c>
      <c r="K334">
        <v>80</v>
      </c>
      <c r="L334">
        <v>78.878784179999997</v>
      </c>
      <c r="M334">
        <v>60</v>
      </c>
      <c r="N334">
        <v>51.575893401999998</v>
      </c>
    </row>
    <row r="335" spans="1:14" x14ac:dyDescent="0.25">
      <c r="A335">
        <v>188.28637800000001</v>
      </c>
      <c r="B335" s="1">
        <f>DATE(2010,11,5) + TIME(6,52,23)</f>
        <v>40487.286377314813</v>
      </c>
      <c r="C335">
        <v>0</v>
      </c>
      <c r="D335">
        <v>550</v>
      </c>
      <c r="E335">
        <v>550</v>
      </c>
      <c r="F335">
        <v>0</v>
      </c>
      <c r="G335">
        <v>1326.8223877</v>
      </c>
      <c r="H335">
        <v>1324.7403564000001</v>
      </c>
      <c r="I335">
        <v>1346.9985352000001</v>
      </c>
      <c r="J335">
        <v>1341.8765868999999</v>
      </c>
      <c r="K335">
        <v>80</v>
      </c>
      <c r="L335">
        <v>78.831764221</v>
      </c>
      <c r="M335">
        <v>60</v>
      </c>
      <c r="N335">
        <v>52.186321259000003</v>
      </c>
    </row>
    <row r="336" spans="1:14" x14ac:dyDescent="0.25">
      <c r="A336">
        <v>188.54896400000001</v>
      </c>
      <c r="B336" s="1">
        <f>DATE(2010,11,5) + TIME(13,10,30)</f>
        <v>40487.548958333333</v>
      </c>
      <c r="C336">
        <v>0</v>
      </c>
      <c r="D336">
        <v>550</v>
      </c>
      <c r="E336">
        <v>550</v>
      </c>
      <c r="F336">
        <v>0</v>
      </c>
      <c r="G336">
        <v>1326.8164062000001</v>
      </c>
      <c r="H336">
        <v>1324.7313231999999</v>
      </c>
      <c r="I336">
        <v>1346.9562988</v>
      </c>
      <c r="J336">
        <v>1341.8656006000001</v>
      </c>
      <c r="K336">
        <v>80</v>
      </c>
      <c r="L336">
        <v>78.782470703000001</v>
      </c>
      <c r="M336">
        <v>60</v>
      </c>
      <c r="N336">
        <v>52.784301757999998</v>
      </c>
    </row>
    <row r="337" spans="1:14" x14ac:dyDescent="0.25">
      <c r="A337">
        <v>188.82866999999999</v>
      </c>
      <c r="B337" s="1">
        <f>DATE(2010,11,5) + TIME(19,53,17)</f>
        <v>40487.828668981485</v>
      </c>
      <c r="C337">
        <v>0</v>
      </c>
      <c r="D337">
        <v>550</v>
      </c>
      <c r="E337">
        <v>550</v>
      </c>
      <c r="F337">
        <v>0</v>
      </c>
      <c r="G337">
        <v>1326.8099365</v>
      </c>
      <c r="H337">
        <v>1324.7216797000001</v>
      </c>
      <c r="I337">
        <v>1346.9160156</v>
      </c>
      <c r="J337">
        <v>1341.8548584</v>
      </c>
      <c r="K337">
        <v>80</v>
      </c>
      <c r="L337">
        <v>78.730621338000006</v>
      </c>
      <c r="M337">
        <v>60</v>
      </c>
      <c r="N337">
        <v>53.368904114000003</v>
      </c>
    </row>
    <row r="338" spans="1:14" x14ac:dyDescent="0.25">
      <c r="A338">
        <v>189.127769</v>
      </c>
      <c r="B338" s="1">
        <f>DATE(2010,11,6) + TIME(3,3,59)</f>
        <v>40488.127766203703</v>
      </c>
      <c r="C338">
        <v>0</v>
      </c>
      <c r="D338">
        <v>550</v>
      </c>
      <c r="E338">
        <v>550</v>
      </c>
      <c r="F338">
        <v>0</v>
      </c>
      <c r="G338">
        <v>1326.8029785000001</v>
      </c>
      <c r="H338">
        <v>1324.7114257999999</v>
      </c>
      <c r="I338">
        <v>1346.8775635</v>
      </c>
      <c r="J338">
        <v>1341.8439940999999</v>
      </c>
      <c r="K338">
        <v>80</v>
      </c>
      <c r="L338">
        <v>78.675926208000007</v>
      </c>
      <c r="M338">
        <v>60</v>
      </c>
      <c r="N338">
        <v>53.939105988000001</v>
      </c>
    </row>
    <row r="339" spans="1:14" x14ac:dyDescent="0.25">
      <c r="A339">
        <v>189.44900100000001</v>
      </c>
      <c r="B339" s="1">
        <f>DATE(2010,11,6) + TIME(10,46,33)</f>
        <v>40488.448993055557</v>
      </c>
      <c r="C339">
        <v>0</v>
      </c>
      <c r="D339">
        <v>550</v>
      </c>
      <c r="E339">
        <v>550</v>
      </c>
      <c r="F339">
        <v>0</v>
      </c>
      <c r="G339">
        <v>1326.7954102000001</v>
      </c>
      <c r="H339">
        <v>1324.7003173999999</v>
      </c>
      <c r="I339">
        <v>1346.8404541</v>
      </c>
      <c r="J339">
        <v>1341.8330077999999</v>
      </c>
      <c r="K339">
        <v>80</v>
      </c>
      <c r="L339">
        <v>78.618011475000003</v>
      </c>
      <c r="M339">
        <v>60</v>
      </c>
      <c r="N339">
        <v>54.493759154999999</v>
      </c>
    </row>
    <row r="340" spans="1:14" x14ac:dyDescent="0.25">
      <c r="A340">
        <v>189.79547600000001</v>
      </c>
      <c r="B340" s="1">
        <f>DATE(2010,11,6) + TIME(19,5,29)</f>
        <v>40488.795474537037</v>
      </c>
      <c r="C340">
        <v>0</v>
      </c>
      <c r="D340">
        <v>550</v>
      </c>
      <c r="E340">
        <v>550</v>
      </c>
      <c r="F340">
        <v>0</v>
      </c>
      <c r="G340">
        <v>1326.7871094</v>
      </c>
      <c r="H340">
        <v>1324.6883545000001</v>
      </c>
      <c r="I340">
        <v>1346.8045654</v>
      </c>
      <c r="J340">
        <v>1341.8214111</v>
      </c>
      <c r="K340">
        <v>80</v>
      </c>
      <c r="L340">
        <v>78.556465149000005</v>
      </c>
      <c r="M340">
        <v>60</v>
      </c>
      <c r="N340">
        <v>55.031284331999998</v>
      </c>
    </row>
    <row r="341" spans="1:14" x14ac:dyDescent="0.25">
      <c r="A341">
        <v>190.17088100000001</v>
      </c>
      <c r="B341" s="1">
        <f>DATE(2010,11,7) + TIME(4,6,4)</f>
        <v>40489.17087962963</v>
      </c>
      <c r="C341">
        <v>0</v>
      </c>
      <c r="D341">
        <v>550</v>
      </c>
      <c r="E341">
        <v>550</v>
      </c>
      <c r="F341">
        <v>0</v>
      </c>
      <c r="G341">
        <v>1326.7781981999999</v>
      </c>
      <c r="H341">
        <v>1324.675293</v>
      </c>
      <c r="I341">
        <v>1346.7696533000001</v>
      </c>
      <c r="J341">
        <v>1341.8092041</v>
      </c>
      <c r="K341">
        <v>80</v>
      </c>
      <c r="L341">
        <v>78.490829468000001</v>
      </c>
      <c r="M341">
        <v>60</v>
      </c>
      <c r="N341">
        <v>55.549861907999997</v>
      </c>
    </row>
    <row r="342" spans="1:14" x14ac:dyDescent="0.25">
      <c r="A342">
        <v>190.563974</v>
      </c>
      <c r="B342" s="1">
        <f>DATE(2010,11,7) + TIME(13,32,7)</f>
        <v>40489.563969907409</v>
      </c>
      <c r="C342">
        <v>0</v>
      </c>
      <c r="D342">
        <v>550</v>
      </c>
      <c r="E342">
        <v>550</v>
      </c>
      <c r="F342">
        <v>0</v>
      </c>
      <c r="G342">
        <v>1326.7683105000001</v>
      </c>
      <c r="H342">
        <v>1324.6612548999999</v>
      </c>
      <c r="I342">
        <v>1346.7380370999999</v>
      </c>
      <c r="J342">
        <v>1341.796875</v>
      </c>
      <c r="K342">
        <v>80</v>
      </c>
      <c r="L342">
        <v>78.423049926999994</v>
      </c>
      <c r="M342">
        <v>60</v>
      </c>
      <c r="N342">
        <v>56.030651093000003</v>
      </c>
    </row>
    <row r="343" spans="1:14" x14ac:dyDescent="0.25">
      <c r="A343">
        <v>190.96105900000001</v>
      </c>
      <c r="B343" s="1">
        <f>DATE(2010,11,7) + TIME(23,3,55)</f>
        <v>40489.961053240739</v>
      </c>
      <c r="C343">
        <v>0</v>
      </c>
      <c r="D343">
        <v>550</v>
      </c>
      <c r="E343">
        <v>550</v>
      </c>
      <c r="F343">
        <v>0</v>
      </c>
      <c r="G343">
        <v>1326.7578125</v>
      </c>
      <c r="H343">
        <v>1324.6464844</v>
      </c>
      <c r="I343">
        <v>1346.7098389</v>
      </c>
      <c r="J343">
        <v>1341.7847899999999</v>
      </c>
      <c r="K343">
        <v>80</v>
      </c>
      <c r="L343">
        <v>78.355339049999998</v>
      </c>
      <c r="M343">
        <v>60</v>
      </c>
      <c r="N343">
        <v>56.459983825999998</v>
      </c>
    </row>
    <row r="344" spans="1:14" x14ac:dyDescent="0.25">
      <c r="A344">
        <v>191.36394300000001</v>
      </c>
      <c r="B344" s="1">
        <f>DATE(2010,11,8) + TIME(8,44,4)</f>
        <v>40490.363935185182</v>
      </c>
      <c r="C344">
        <v>0</v>
      </c>
      <c r="D344">
        <v>550</v>
      </c>
      <c r="E344">
        <v>550</v>
      </c>
      <c r="F344">
        <v>0</v>
      </c>
      <c r="G344">
        <v>1326.7470702999999</v>
      </c>
      <c r="H344">
        <v>1324.6313477000001</v>
      </c>
      <c r="I344">
        <v>1346.6829834</v>
      </c>
      <c r="J344">
        <v>1341.7717285000001</v>
      </c>
      <c r="K344">
        <v>80</v>
      </c>
      <c r="L344">
        <v>78.287406920999999</v>
      </c>
      <c r="M344">
        <v>60</v>
      </c>
      <c r="N344">
        <v>56.844165801999999</v>
      </c>
    </row>
    <row r="345" spans="1:14" x14ac:dyDescent="0.25">
      <c r="A345">
        <v>191.77385100000001</v>
      </c>
      <c r="B345" s="1">
        <f>DATE(2010,11,8) + TIME(18,34,20)</f>
        <v>40490.773842592593</v>
      </c>
      <c r="C345">
        <v>0</v>
      </c>
      <c r="D345">
        <v>550</v>
      </c>
      <c r="E345">
        <v>550</v>
      </c>
      <c r="F345">
        <v>0</v>
      </c>
      <c r="G345">
        <v>1326.7359618999999</v>
      </c>
      <c r="H345">
        <v>1324.6158447</v>
      </c>
      <c r="I345">
        <v>1346.6569824000001</v>
      </c>
      <c r="J345">
        <v>1341.7579346</v>
      </c>
      <c r="K345">
        <v>80</v>
      </c>
      <c r="L345">
        <v>78.219070435000006</v>
      </c>
      <c r="M345">
        <v>60</v>
      </c>
      <c r="N345">
        <v>57.188018798999998</v>
      </c>
    </row>
    <row r="346" spans="1:14" x14ac:dyDescent="0.25">
      <c r="A346">
        <v>192.191631</v>
      </c>
      <c r="B346" s="1">
        <f>DATE(2010,11,9) + TIME(4,35,56)</f>
        <v>40491.191620370373</v>
      </c>
      <c r="C346">
        <v>0</v>
      </c>
      <c r="D346">
        <v>550</v>
      </c>
      <c r="E346">
        <v>550</v>
      </c>
      <c r="F346">
        <v>0</v>
      </c>
      <c r="G346">
        <v>1326.7246094</v>
      </c>
      <c r="H346">
        <v>1324.5999756000001</v>
      </c>
      <c r="I346">
        <v>1346.6317139</v>
      </c>
      <c r="J346">
        <v>1341.7434082</v>
      </c>
      <c r="K346">
        <v>80</v>
      </c>
      <c r="L346">
        <v>78.150199889999996</v>
      </c>
      <c r="M346">
        <v>60</v>
      </c>
      <c r="N346">
        <v>57.495464325</v>
      </c>
    </row>
    <row r="347" spans="1:14" x14ac:dyDescent="0.25">
      <c r="A347">
        <v>192.61719500000001</v>
      </c>
      <c r="B347" s="1">
        <f>DATE(2010,11,9) + TIME(14,48,45)</f>
        <v>40491.6171875</v>
      </c>
      <c r="C347">
        <v>0</v>
      </c>
      <c r="D347">
        <v>550</v>
      </c>
      <c r="E347">
        <v>550</v>
      </c>
      <c r="F347">
        <v>0</v>
      </c>
      <c r="G347">
        <v>1326.7127685999999</v>
      </c>
      <c r="H347">
        <v>1324.5837402</v>
      </c>
      <c r="I347">
        <v>1346.6069336</v>
      </c>
      <c r="J347">
        <v>1341.7279053</v>
      </c>
      <c r="K347">
        <v>80</v>
      </c>
      <c r="L347">
        <v>78.080810546999999</v>
      </c>
      <c r="M347">
        <v>60</v>
      </c>
      <c r="N347">
        <v>57.769481659</v>
      </c>
    </row>
    <row r="348" spans="1:14" x14ac:dyDescent="0.25">
      <c r="A348">
        <v>193.05187000000001</v>
      </c>
      <c r="B348" s="1">
        <f>DATE(2010,11,10) + TIME(1,14,41)</f>
        <v>40492.051863425928</v>
      </c>
      <c r="C348">
        <v>0</v>
      </c>
      <c r="D348">
        <v>550</v>
      </c>
      <c r="E348">
        <v>550</v>
      </c>
      <c r="F348">
        <v>0</v>
      </c>
      <c r="G348">
        <v>1326.7006836</v>
      </c>
      <c r="H348">
        <v>1324.5668945</v>
      </c>
      <c r="I348">
        <v>1346.5825195</v>
      </c>
      <c r="J348">
        <v>1341.7115478999999</v>
      </c>
      <c r="K348">
        <v>80</v>
      </c>
      <c r="L348">
        <v>78.010719299000002</v>
      </c>
      <c r="M348">
        <v>60</v>
      </c>
      <c r="N348">
        <v>58.013652802000003</v>
      </c>
    </row>
    <row r="349" spans="1:14" x14ac:dyDescent="0.25">
      <c r="A349">
        <v>193.49698799999999</v>
      </c>
      <c r="B349" s="1">
        <f>DATE(2010,11,10) + TIME(11,55,39)</f>
        <v>40492.496979166666</v>
      </c>
      <c r="C349">
        <v>0</v>
      </c>
      <c r="D349">
        <v>550</v>
      </c>
      <c r="E349">
        <v>550</v>
      </c>
      <c r="F349">
        <v>0</v>
      </c>
      <c r="G349">
        <v>1326.6879882999999</v>
      </c>
      <c r="H349">
        <v>1324.5496826000001</v>
      </c>
      <c r="I349">
        <v>1346.5581055</v>
      </c>
      <c r="J349">
        <v>1341.6944579999999</v>
      </c>
      <c r="K349">
        <v>80</v>
      </c>
      <c r="L349">
        <v>77.939743042000003</v>
      </c>
      <c r="M349">
        <v>60</v>
      </c>
      <c r="N349">
        <v>58.231071471999996</v>
      </c>
    </row>
    <row r="350" spans="1:14" x14ac:dyDescent="0.25">
      <c r="A350">
        <v>193.953971</v>
      </c>
      <c r="B350" s="1">
        <f>DATE(2010,11,10) + TIME(22,53,43)</f>
        <v>40492.953969907408</v>
      </c>
      <c r="C350">
        <v>0</v>
      </c>
      <c r="D350">
        <v>550</v>
      </c>
      <c r="E350">
        <v>550</v>
      </c>
      <c r="F350">
        <v>0</v>
      </c>
      <c r="G350">
        <v>1326.6749268000001</v>
      </c>
      <c r="H350">
        <v>1324.5318603999999</v>
      </c>
      <c r="I350">
        <v>1346.5336914</v>
      </c>
      <c r="J350">
        <v>1341.6763916</v>
      </c>
      <c r="K350">
        <v>80</v>
      </c>
      <c r="L350">
        <v>77.867691039999997</v>
      </c>
      <c r="M350">
        <v>60</v>
      </c>
      <c r="N350">
        <v>58.424480438000003</v>
      </c>
    </row>
    <row r="351" spans="1:14" x14ac:dyDescent="0.25">
      <c r="A351">
        <v>194.424353</v>
      </c>
      <c r="B351" s="1">
        <f>DATE(2010,11,11) + TIME(10,11,4)</f>
        <v>40493.424351851849</v>
      </c>
      <c r="C351">
        <v>0</v>
      </c>
      <c r="D351">
        <v>550</v>
      </c>
      <c r="E351">
        <v>550</v>
      </c>
      <c r="F351">
        <v>0</v>
      </c>
      <c r="G351">
        <v>1326.661499</v>
      </c>
      <c r="H351">
        <v>1324.5134277</v>
      </c>
      <c r="I351">
        <v>1346.5090332</v>
      </c>
      <c r="J351">
        <v>1341.6574707</v>
      </c>
      <c r="K351">
        <v>80</v>
      </c>
      <c r="L351">
        <v>77.794364928999997</v>
      </c>
      <c r="M351">
        <v>60</v>
      </c>
      <c r="N351">
        <v>58.596302031999997</v>
      </c>
    </row>
    <row r="352" spans="1:14" x14ac:dyDescent="0.25">
      <c r="A352">
        <v>194.90849</v>
      </c>
      <c r="B352" s="1">
        <f>DATE(2010,11,11) + TIME(21,48,13)</f>
        <v>40493.908483796295</v>
      </c>
      <c r="C352">
        <v>0</v>
      </c>
      <c r="D352">
        <v>550</v>
      </c>
      <c r="E352">
        <v>550</v>
      </c>
      <c r="F352">
        <v>0</v>
      </c>
      <c r="G352">
        <v>1326.6473389</v>
      </c>
      <c r="H352">
        <v>1324.4943848</v>
      </c>
      <c r="I352">
        <v>1346.4841309000001</v>
      </c>
      <c r="J352">
        <v>1341.6376952999999</v>
      </c>
      <c r="K352">
        <v>80</v>
      </c>
      <c r="L352">
        <v>77.719741821</v>
      </c>
      <c r="M352">
        <v>60</v>
      </c>
      <c r="N352">
        <v>58.748348235999998</v>
      </c>
    </row>
    <row r="353" spans="1:14" x14ac:dyDescent="0.25">
      <c r="A353">
        <v>195.407712</v>
      </c>
      <c r="B353" s="1">
        <f>DATE(2010,11,12) + TIME(9,47,6)</f>
        <v>40494.407708333332</v>
      </c>
      <c r="C353">
        <v>0</v>
      </c>
      <c r="D353">
        <v>550</v>
      </c>
      <c r="E353">
        <v>550</v>
      </c>
      <c r="F353">
        <v>0</v>
      </c>
      <c r="G353">
        <v>1326.6326904</v>
      </c>
      <c r="H353">
        <v>1324.4746094</v>
      </c>
      <c r="I353">
        <v>1346.4591064000001</v>
      </c>
      <c r="J353">
        <v>1341.6170654</v>
      </c>
      <c r="K353">
        <v>80</v>
      </c>
      <c r="L353">
        <v>77.643669127999999</v>
      </c>
      <c r="M353">
        <v>60</v>
      </c>
      <c r="N353">
        <v>58.882598877</v>
      </c>
    </row>
    <row r="354" spans="1:14" x14ac:dyDescent="0.25">
      <c r="A354">
        <v>195.92384200000001</v>
      </c>
      <c r="B354" s="1">
        <f>DATE(2010,11,12) + TIME(22,10,19)</f>
        <v>40494.923831018517</v>
      </c>
      <c r="C354">
        <v>0</v>
      </c>
      <c r="D354">
        <v>550</v>
      </c>
      <c r="E354">
        <v>550</v>
      </c>
      <c r="F354">
        <v>0</v>
      </c>
      <c r="G354">
        <v>1326.6175536999999</v>
      </c>
      <c r="H354">
        <v>1324.4541016000001</v>
      </c>
      <c r="I354">
        <v>1346.4335937999999</v>
      </c>
      <c r="J354">
        <v>1341.5957031</v>
      </c>
      <c r="K354">
        <v>80</v>
      </c>
      <c r="L354">
        <v>77.565925598000007</v>
      </c>
      <c r="M354">
        <v>60</v>
      </c>
      <c r="N354">
        <v>59.000907898000001</v>
      </c>
    </row>
    <row r="355" spans="1:14" x14ac:dyDescent="0.25">
      <c r="A355">
        <v>196.45888400000001</v>
      </c>
      <c r="B355" s="1">
        <f>DATE(2010,11,13) + TIME(11,0,47)</f>
        <v>40495.458877314813</v>
      </c>
      <c r="C355">
        <v>0</v>
      </c>
      <c r="D355">
        <v>550</v>
      </c>
      <c r="E355">
        <v>550</v>
      </c>
      <c r="F355">
        <v>0</v>
      </c>
      <c r="G355">
        <v>1326.6016846</v>
      </c>
      <c r="H355">
        <v>1324.4327393000001</v>
      </c>
      <c r="I355">
        <v>1346.4077147999999</v>
      </c>
      <c r="J355">
        <v>1341.5736084</v>
      </c>
      <c r="K355">
        <v>80</v>
      </c>
      <c r="L355">
        <v>77.486282349000007</v>
      </c>
      <c r="M355">
        <v>60</v>
      </c>
      <c r="N355">
        <v>59.104949951000002</v>
      </c>
    </row>
    <row r="356" spans="1:14" x14ac:dyDescent="0.25">
      <c r="A356">
        <v>197.01497900000001</v>
      </c>
      <c r="B356" s="1">
        <f>DATE(2010,11,14) + TIME(0,21,34)</f>
        <v>40496.014976851853</v>
      </c>
      <c r="C356">
        <v>0</v>
      </c>
      <c r="D356">
        <v>550</v>
      </c>
      <c r="E356">
        <v>550</v>
      </c>
      <c r="F356">
        <v>0</v>
      </c>
      <c r="G356">
        <v>1326.5850829999999</v>
      </c>
      <c r="H356">
        <v>1324.4105225000001</v>
      </c>
      <c r="I356">
        <v>1346.3813477000001</v>
      </c>
      <c r="J356">
        <v>1341.5506591999999</v>
      </c>
      <c r="K356">
        <v>80</v>
      </c>
      <c r="L356">
        <v>77.404495238999999</v>
      </c>
      <c r="M356">
        <v>60</v>
      </c>
      <c r="N356">
        <v>59.196208953999999</v>
      </c>
    </row>
    <row r="357" spans="1:14" x14ac:dyDescent="0.25">
      <c r="A357">
        <v>197.59296900000001</v>
      </c>
      <c r="B357" s="1">
        <f>DATE(2010,11,14) + TIME(14,13,52)</f>
        <v>40496.592962962961</v>
      </c>
      <c r="C357">
        <v>0</v>
      </c>
      <c r="D357">
        <v>550</v>
      </c>
      <c r="E357">
        <v>550</v>
      </c>
      <c r="F357">
        <v>0</v>
      </c>
      <c r="G357">
        <v>1326.5676269999999</v>
      </c>
      <c r="H357">
        <v>1324.387207</v>
      </c>
      <c r="I357">
        <v>1346.3544922000001</v>
      </c>
      <c r="J357">
        <v>1341.5268555</v>
      </c>
      <c r="K357">
        <v>80</v>
      </c>
      <c r="L357">
        <v>77.320503235000004</v>
      </c>
      <c r="M357">
        <v>60</v>
      </c>
      <c r="N357">
        <v>59.275844573999997</v>
      </c>
    </row>
    <row r="358" spans="1:14" x14ac:dyDescent="0.25">
      <c r="A358">
        <v>198.19522900000001</v>
      </c>
      <c r="B358" s="1">
        <f>DATE(2010,11,15) + TIME(4,41,7)</f>
        <v>40497.195219907408</v>
      </c>
      <c r="C358">
        <v>0</v>
      </c>
      <c r="D358">
        <v>550</v>
      </c>
      <c r="E358">
        <v>550</v>
      </c>
      <c r="F358">
        <v>0</v>
      </c>
      <c r="G358">
        <v>1326.5494385</v>
      </c>
      <c r="H358">
        <v>1324.362793</v>
      </c>
      <c r="I358">
        <v>1346.3271483999999</v>
      </c>
      <c r="J358">
        <v>1341.5024414</v>
      </c>
      <c r="K358">
        <v>80</v>
      </c>
      <c r="L358">
        <v>77.234046935999999</v>
      </c>
      <c r="M358">
        <v>60</v>
      </c>
      <c r="N358">
        <v>59.345130920000003</v>
      </c>
    </row>
    <row r="359" spans="1:14" x14ac:dyDescent="0.25">
      <c r="A359">
        <v>198.82474500000001</v>
      </c>
      <c r="B359" s="1">
        <f>DATE(2010,11,15) + TIME(19,47,37)</f>
        <v>40497.824733796297</v>
      </c>
      <c r="C359">
        <v>0</v>
      </c>
      <c r="D359">
        <v>550</v>
      </c>
      <c r="E359">
        <v>550</v>
      </c>
      <c r="F359">
        <v>0</v>
      </c>
      <c r="G359">
        <v>1326.5303954999999</v>
      </c>
      <c r="H359">
        <v>1324.3372803</v>
      </c>
      <c r="I359">
        <v>1346.2991943</v>
      </c>
      <c r="J359">
        <v>1341.4771728999999</v>
      </c>
      <c r="K359">
        <v>80</v>
      </c>
      <c r="L359">
        <v>77.144821167000003</v>
      </c>
      <c r="M359">
        <v>60</v>
      </c>
      <c r="N359">
        <v>59.405250549000002</v>
      </c>
    </row>
    <row r="360" spans="1:14" x14ac:dyDescent="0.25">
      <c r="A360">
        <v>199.48488599999999</v>
      </c>
      <c r="B360" s="1">
        <f>DATE(2010,11,16) + TIME(11,38,14)</f>
        <v>40498.484884259262</v>
      </c>
      <c r="C360">
        <v>0</v>
      </c>
      <c r="D360">
        <v>550</v>
      </c>
      <c r="E360">
        <v>550</v>
      </c>
      <c r="F360">
        <v>0</v>
      </c>
      <c r="G360">
        <v>1326.5102539</v>
      </c>
      <c r="H360">
        <v>1324.3104248</v>
      </c>
      <c r="I360">
        <v>1346.2705077999999</v>
      </c>
      <c r="J360">
        <v>1341.4511719</v>
      </c>
      <c r="K360">
        <v>80</v>
      </c>
      <c r="L360">
        <v>77.052467346</v>
      </c>
      <c r="M360">
        <v>60</v>
      </c>
      <c r="N360">
        <v>59.457252502000003</v>
      </c>
    </row>
    <row r="361" spans="1:14" x14ac:dyDescent="0.25">
      <c r="A361">
        <v>200.17728600000001</v>
      </c>
      <c r="B361" s="1">
        <f>DATE(2010,11,17) + TIME(4,15,17)</f>
        <v>40499.17728009259</v>
      </c>
      <c r="C361">
        <v>0</v>
      </c>
      <c r="D361">
        <v>550</v>
      </c>
      <c r="E361">
        <v>550</v>
      </c>
      <c r="F361">
        <v>0</v>
      </c>
      <c r="G361">
        <v>1326.4891356999999</v>
      </c>
      <c r="H361">
        <v>1324.2822266000001</v>
      </c>
      <c r="I361">
        <v>1346.2413329999999</v>
      </c>
      <c r="J361">
        <v>1341.4244385</v>
      </c>
      <c r="K361">
        <v>80</v>
      </c>
      <c r="L361">
        <v>76.956855774000005</v>
      </c>
      <c r="M361">
        <v>60</v>
      </c>
      <c r="N361">
        <v>59.501972197999997</v>
      </c>
    </row>
    <row r="362" spans="1:14" x14ac:dyDescent="0.25">
      <c r="A362">
        <v>200.90556799999999</v>
      </c>
      <c r="B362" s="1">
        <f>DATE(2010,11,17) + TIME(21,44,1)</f>
        <v>40499.90556712963</v>
      </c>
      <c r="C362">
        <v>0</v>
      </c>
      <c r="D362">
        <v>550</v>
      </c>
      <c r="E362">
        <v>550</v>
      </c>
      <c r="F362">
        <v>0</v>
      </c>
      <c r="G362">
        <v>1326.4666748</v>
      </c>
      <c r="H362">
        <v>1324.2523193</v>
      </c>
      <c r="I362">
        <v>1346.2114257999999</v>
      </c>
      <c r="J362">
        <v>1341.3969727000001</v>
      </c>
      <c r="K362">
        <v>80</v>
      </c>
      <c r="L362">
        <v>76.857643127000003</v>
      </c>
      <c r="M362">
        <v>60</v>
      </c>
      <c r="N362">
        <v>59.540294647000003</v>
      </c>
    </row>
    <row r="363" spans="1:14" x14ac:dyDescent="0.25">
      <c r="A363">
        <v>201.67446200000001</v>
      </c>
      <c r="B363" s="1">
        <f>DATE(2010,11,18) + TIME(16,11,13)</f>
        <v>40500.674456018518</v>
      </c>
      <c r="C363">
        <v>0</v>
      </c>
      <c r="D363">
        <v>550</v>
      </c>
      <c r="E363">
        <v>550</v>
      </c>
      <c r="F363">
        <v>0</v>
      </c>
      <c r="G363">
        <v>1326.4429932</v>
      </c>
      <c r="H363">
        <v>1324.2207031</v>
      </c>
      <c r="I363">
        <v>1346.1807861</v>
      </c>
      <c r="J363">
        <v>1341.3686522999999</v>
      </c>
      <c r="K363">
        <v>80</v>
      </c>
      <c r="L363">
        <v>76.754356384000005</v>
      </c>
      <c r="M363">
        <v>60</v>
      </c>
      <c r="N363">
        <v>59.573040009000003</v>
      </c>
    </row>
    <row r="364" spans="1:14" x14ac:dyDescent="0.25">
      <c r="A364">
        <v>202.486245</v>
      </c>
      <c r="B364" s="1">
        <f>DATE(2010,11,19) + TIME(11,40,11)</f>
        <v>40501.486238425925</v>
      </c>
      <c r="C364">
        <v>0</v>
      </c>
      <c r="D364">
        <v>550</v>
      </c>
      <c r="E364">
        <v>550</v>
      </c>
      <c r="F364">
        <v>0</v>
      </c>
      <c r="G364">
        <v>1326.4178466999999</v>
      </c>
      <c r="H364">
        <v>1324.1871338000001</v>
      </c>
      <c r="I364">
        <v>1346.1495361</v>
      </c>
      <c r="J364">
        <v>1341.3395995999999</v>
      </c>
      <c r="K364">
        <v>80</v>
      </c>
      <c r="L364">
        <v>76.646842957000004</v>
      </c>
      <c r="M364">
        <v>60</v>
      </c>
      <c r="N364">
        <v>59.600852965999998</v>
      </c>
    </row>
    <row r="365" spans="1:14" x14ac:dyDescent="0.25">
      <c r="A365">
        <v>203.31181799999999</v>
      </c>
      <c r="B365" s="1">
        <f>DATE(2010,11,20) + TIME(7,29,1)</f>
        <v>40502.31181712963</v>
      </c>
      <c r="C365">
        <v>0</v>
      </c>
      <c r="D365">
        <v>550</v>
      </c>
      <c r="E365">
        <v>550</v>
      </c>
      <c r="F365">
        <v>0</v>
      </c>
      <c r="G365">
        <v>1326.3912353999999</v>
      </c>
      <c r="H365">
        <v>1324.1517334</v>
      </c>
      <c r="I365">
        <v>1346.1175536999999</v>
      </c>
      <c r="J365">
        <v>1341.3099365</v>
      </c>
      <c r="K365">
        <v>80</v>
      </c>
      <c r="L365">
        <v>76.538421631000006</v>
      </c>
      <c r="M365">
        <v>60</v>
      </c>
      <c r="N365">
        <v>59.623645781999997</v>
      </c>
    </row>
    <row r="366" spans="1:14" x14ac:dyDescent="0.25">
      <c r="A366">
        <v>204.14502999999999</v>
      </c>
      <c r="B366" s="1">
        <f>DATE(2010,11,21) + TIME(3,28,50)</f>
        <v>40503.14502314815</v>
      </c>
      <c r="C366">
        <v>0</v>
      </c>
      <c r="D366">
        <v>550</v>
      </c>
      <c r="E366">
        <v>550</v>
      </c>
      <c r="F366">
        <v>0</v>
      </c>
      <c r="G366">
        <v>1326.3638916</v>
      </c>
      <c r="H366">
        <v>1324.1154785000001</v>
      </c>
      <c r="I366">
        <v>1346.0861815999999</v>
      </c>
      <c r="J366">
        <v>1341.2806396000001</v>
      </c>
      <c r="K366">
        <v>80</v>
      </c>
      <c r="L366">
        <v>76.429847717000001</v>
      </c>
      <c r="M366">
        <v>60</v>
      </c>
      <c r="N366">
        <v>59.642257690000001</v>
      </c>
    </row>
    <row r="367" spans="1:14" x14ac:dyDescent="0.25">
      <c r="A367">
        <v>204.98898299999999</v>
      </c>
      <c r="B367" s="1">
        <f>DATE(2010,11,21) + TIME(23,44,8)</f>
        <v>40503.988981481481</v>
      </c>
      <c r="C367">
        <v>0</v>
      </c>
      <c r="D367">
        <v>550</v>
      </c>
      <c r="E367">
        <v>550</v>
      </c>
      <c r="F367">
        <v>0</v>
      </c>
      <c r="G367">
        <v>1326.3360596</v>
      </c>
      <c r="H367">
        <v>1324.0784911999999</v>
      </c>
      <c r="I367">
        <v>1346.0554199000001</v>
      </c>
      <c r="J367">
        <v>1341.2519531</v>
      </c>
      <c r="K367">
        <v>80</v>
      </c>
      <c r="L367">
        <v>76.320808411000002</v>
      </c>
      <c r="M367">
        <v>60</v>
      </c>
      <c r="N367">
        <v>59.657566070999998</v>
      </c>
    </row>
    <row r="368" spans="1:14" x14ac:dyDescent="0.25">
      <c r="A368">
        <v>205.84578999999999</v>
      </c>
      <c r="B368" s="1">
        <f>DATE(2010,11,22) + TIME(20,17,56)</f>
        <v>40504.84578703704</v>
      </c>
      <c r="C368">
        <v>0</v>
      </c>
      <c r="D368">
        <v>550</v>
      </c>
      <c r="E368">
        <v>550</v>
      </c>
      <c r="F368">
        <v>0</v>
      </c>
      <c r="G368">
        <v>1326.3077393000001</v>
      </c>
      <c r="H368">
        <v>1324.0407714999999</v>
      </c>
      <c r="I368">
        <v>1346.0252685999999</v>
      </c>
      <c r="J368">
        <v>1341.2238769999999</v>
      </c>
      <c r="K368">
        <v>80</v>
      </c>
      <c r="L368">
        <v>76.211128235000004</v>
      </c>
      <c r="M368">
        <v>60</v>
      </c>
      <c r="N368">
        <v>59.67023468</v>
      </c>
    </row>
    <row r="369" spans="1:14" x14ac:dyDescent="0.25">
      <c r="A369">
        <v>206.715069</v>
      </c>
      <c r="B369" s="1">
        <f>DATE(2010,11,23) + TIME(17,9,41)</f>
        <v>40505.715057870373</v>
      </c>
      <c r="C369">
        <v>0</v>
      </c>
      <c r="D369">
        <v>550</v>
      </c>
      <c r="E369">
        <v>550</v>
      </c>
      <c r="F369">
        <v>0</v>
      </c>
      <c r="G369">
        <v>1326.2786865</v>
      </c>
      <c r="H369">
        <v>1324.0020752</v>
      </c>
      <c r="I369">
        <v>1345.9957274999999</v>
      </c>
      <c r="J369">
        <v>1341.1962891000001</v>
      </c>
      <c r="K369">
        <v>80</v>
      </c>
      <c r="L369">
        <v>76.100883483999993</v>
      </c>
      <c r="M369">
        <v>60</v>
      </c>
      <c r="N369">
        <v>59.680770873999997</v>
      </c>
    </row>
    <row r="370" spans="1:14" x14ac:dyDescent="0.25">
      <c r="A370">
        <v>207.599729</v>
      </c>
      <c r="B370" s="1">
        <f>DATE(2010,11,24) + TIME(14,23,36)</f>
        <v>40506.599722222221</v>
      </c>
      <c r="C370">
        <v>0</v>
      </c>
      <c r="D370">
        <v>550</v>
      </c>
      <c r="E370">
        <v>550</v>
      </c>
      <c r="F370">
        <v>0</v>
      </c>
      <c r="G370">
        <v>1326.2490233999999</v>
      </c>
      <c r="H370">
        <v>1323.9625243999999</v>
      </c>
      <c r="I370">
        <v>1345.9666748</v>
      </c>
      <c r="J370">
        <v>1341.1691894999999</v>
      </c>
      <c r="K370">
        <v>80</v>
      </c>
      <c r="L370">
        <v>75.989799500000004</v>
      </c>
      <c r="M370">
        <v>60</v>
      </c>
      <c r="N370">
        <v>59.689598083</v>
      </c>
    </row>
    <row r="371" spans="1:14" x14ac:dyDescent="0.25">
      <c r="A371">
        <v>208.50273100000001</v>
      </c>
      <c r="B371" s="1">
        <f>DATE(2010,11,25) + TIME(12,3,55)</f>
        <v>40507.50271990741</v>
      </c>
      <c r="C371">
        <v>0</v>
      </c>
      <c r="D371">
        <v>550</v>
      </c>
      <c r="E371">
        <v>550</v>
      </c>
      <c r="F371">
        <v>0</v>
      </c>
      <c r="G371">
        <v>1326.21875</v>
      </c>
      <c r="H371">
        <v>1323.9219971</v>
      </c>
      <c r="I371">
        <v>1345.9381103999999</v>
      </c>
      <c r="J371">
        <v>1341.1425781</v>
      </c>
      <c r="K371">
        <v>80</v>
      </c>
      <c r="L371">
        <v>75.877601623999993</v>
      </c>
      <c r="M371">
        <v>60</v>
      </c>
      <c r="N371">
        <v>59.697055816999999</v>
      </c>
    </row>
    <row r="372" spans="1:14" x14ac:dyDescent="0.25">
      <c r="A372">
        <v>209.42719600000001</v>
      </c>
      <c r="B372" s="1">
        <f>DATE(2010,11,26) + TIME(10,15,9)</f>
        <v>40508.427187499998</v>
      </c>
      <c r="C372">
        <v>0</v>
      </c>
      <c r="D372">
        <v>550</v>
      </c>
      <c r="E372">
        <v>550</v>
      </c>
      <c r="F372">
        <v>0</v>
      </c>
      <c r="G372">
        <v>1326.1876221</v>
      </c>
      <c r="H372">
        <v>1323.880249</v>
      </c>
      <c r="I372">
        <v>1345.9099120999999</v>
      </c>
      <c r="J372">
        <v>1341.1163329999999</v>
      </c>
      <c r="K372">
        <v>80</v>
      </c>
      <c r="L372">
        <v>75.763999939000001</v>
      </c>
      <c r="M372">
        <v>60</v>
      </c>
      <c r="N372">
        <v>59.703414917000003</v>
      </c>
    </row>
    <row r="373" spans="1:14" x14ac:dyDescent="0.25">
      <c r="A373">
        <v>210.37566200000001</v>
      </c>
      <c r="B373" s="1">
        <f>DATE(2010,11,27) + TIME(9,0,57)</f>
        <v>40509.375659722224</v>
      </c>
      <c r="C373">
        <v>0</v>
      </c>
      <c r="D373">
        <v>550</v>
      </c>
      <c r="E373">
        <v>550</v>
      </c>
      <c r="F373">
        <v>0</v>
      </c>
      <c r="G373">
        <v>1326.1555175999999</v>
      </c>
      <c r="H373">
        <v>1323.8372803</v>
      </c>
      <c r="I373">
        <v>1345.8820800999999</v>
      </c>
      <c r="J373">
        <v>1341.0904541</v>
      </c>
      <c r="K373">
        <v>80</v>
      </c>
      <c r="L373">
        <v>75.648773192999997</v>
      </c>
      <c r="M373">
        <v>60</v>
      </c>
      <c r="N373">
        <v>59.708873748999999</v>
      </c>
    </row>
    <row r="374" spans="1:14" x14ac:dyDescent="0.25">
      <c r="A374">
        <v>211.34741399999999</v>
      </c>
      <c r="B374" s="1">
        <f>DATE(2010,11,28) + TIME(8,20,16)</f>
        <v>40510.347407407404</v>
      </c>
      <c r="C374">
        <v>0</v>
      </c>
      <c r="D374">
        <v>550</v>
      </c>
      <c r="E374">
        <v>550</v>
      </c>
      <c r="F374">
        <v>0</v>
      </c>
      <c r="G374">
        <v>1326.1224365</v>
      </c>
      <c r="H374">
        <v>1323.7929687999999</v>
      </c>
      <c r="I374">
        <v>1345.8543701000001</v>
      </c>
      <c r="J374">
        <v>1341.0646973</v>
      </c>
      <c r="K374">
        <v>80</v>
      </c>
      <c r="L374">
        <v>75.532028198000006</v>
      </c>
      <c r="M374">
        <v>60</v>
      </c>
      <c r="N374">
        <v>59.713581085000001</v>
      </c>
    </row>
    <row r="375" spans="1:14" x14ac:dyDescent="0.25">
      <c r="A375">
        <v>212.345969</v>
      </c>
      <c r="B375" s="1">
        <f>DATE(2010,11,29) + TIME(8,18,11)</f>
        <v>40511.345960648148</v>
      </c>
      <c r="C375">
        <v>0</v>
      </c>
      <c r="D375">
        <v>550</v>
      </c>
      <c r="E375">
        <v>550</v>
      </c>
      <c r="F375">
        <v>0</v>
      </c>
      <c r="G375">
        <v>1326.0883789</v>
      </c>
      <c r="H375">
        <v>1323.7473144999999</v>
      </c>
      <c r="I375">
        <v>1345.8270264</v>
      </c>
      <c r="J375">
        <v>1341.0393065999999</v>
      </c>
      <c r="K375">
        <v>80</v>
      </c>
      <c r="L375">
        <v>75.413452148000005</v>
      </c>
      <c r="M375">
        <v>60</v>
      </c>
      <c r="N375">
        <v>59.717685699</v>
      </c>
    </row>
    <row r="376" spans="1:14" x14ac:dyDescent="0.25">
      <c r="A376">
        <v>213.37481500000001</v>
      </c>
      <c r="B376" s="1">
        <f>DATE(2010,11,30) + TIME(8,59,43)</f>
        <v>40512.374803240738</v>
      </c>
      <c r="C376">
        <v>0</v>
      </c>
      <c r="D376">
        <v>550</v>
      </c>
      <c r="E376">
        <v>550</v>
      </c>
      <c r="F376">
        <v>0</v>
      </c>
      <c r="G376">
        <v>1326.0532227000001</v>
      </c>
      <c r="H376">
        <v>1323.7000731999999</v>
      </c>
      <c r="I376">
        <v>1345.7999268000001</v>
      </c>
      <c r="J376">
        <v>1341.0141602000001</v>
      </c>
      <c r="K376">
        <v>80</v>
      </c>
      <c r="L376">
        <v>75.292739867999998</v>
      </c>
      <c r="M376">
        <v>60</v>
      </c>
      <c r="N376">
        <v>59.721294403000002</v>
      </c>
    </row>
    <row r="377" spans="1:14" x14ac:dyDescent="0.25">
      <c r="A377">
        <v>214</v>
      </c>
      <c r="B377" s="1">
        <f>DATE(2010,12,1) + TIME(0,0,0)</f>
        <v>40513</v>
      </c>
      <c r="C377">
        <v>0</v>
      </c>
      <c r="D377">
        <v>550</v>
      </c>
      <c r="E377">
        <v>550</v>
      </c>
      <c r="F377">
        <v>0</v>
      </c>
      <c r="G377">
        <v>1326.0185547000001</v>
      </c>
      <c r="H377">
        <v>1323.6549072</v>
      </c>
      <c r="I377">
        <v>1345.7729492000001</v>
      </c>
      <c r="J377">
        <v>1340.9888916</v>
      </c>
      <c r="K377">
        <v>80</v>
      </c>
      <c r="L377">
        <v>75.214202881000006</v>
      </c>
      <c r="M377">
        <v>60</v>
      </c>
      <c r="N377">
        <v>59.723266602000002</v>
      </c>
    </row>
    <row r="378" spans="1:14" x14ac:dyDescent="0.25">
      <c r="A378">
        <v>215.063254</v>
      </c>
      <c r="B378" s="1">
        <f>DATE(2010,12,2) + TIME(1,31,5)</f>
        <v>40514.063252314816</v>
      </c>
      <c r="C378">
        <v>0</v>
      </c>
      <c r="D378">
        <v>550</v>
      </c>
      <c r="E378">
        <v>550</v>
      </c>
      <c r="F378">
        <v>0</v>
      </c>
      <c r="G378">
        <v>1325.9935303</v>
      </c>
      <c r="H378">
        <v>1323.6196289</v>
      </c>
      <c r="I378">
        <v>1345.7570800999999</v>
      </c>
      <c r="J378">
        <v>1340.9742432</v>
      </c>
      <c r="K378">
        <v>80</v>
      </c>
      <c r="L378">
        <v>75.092567443999997</v>
      </c>
      <c r="M378">
        <v>60</v>
      </c>
      <c r="N378">
        <v>59.726188659999998</v>
      </c>
    </row>
    <row r="379" spans="1:14" x14ac:dyDescent="0.25">
      <c r="A379">
        <v>216.182807</v>
      </c>
      <c r="B379" s="1">
        <f>DATE(2010,12,3) + TIME(4,23,14)</f>
        <v>40515.182800925926</v>
      </c>
      <c r="C379">
        <v>0</v>
      </c>
      <c r="D379">
        <v>550</v>
      </c>
      <c r="E379">
        <v>550</v>
      </c>
      <c r="F379">
        <v>0</v>
      </c>
      <c r="G379">
        <v>1325.9556885</v>
      </c>
      <c r="H379">
        <v>1323.5687256000001</v>
      </c>
      <c r="I379">
        <v>1345.7307129000001</v>
      </c>
      <c r="J379">
        <v>1340.9498291</v>
      </c>
      <c r="K379">
        <v>80</v>
      </c>
      <c r="L379">
        <v>74.966323853000006</v>
      </c>
      <c r="M379">
        <v>60</v>
      </c>
      <c r="N379">
        <v>59.728858948000003</v>
      </c>
    </row>
    <row r="380" spans="1:14" x14ac:dyDescent="0.25">
      <c r="A380">
        <v>217.341846</v>
      </c>
      <c r="B380" s="1">
        <f>DATE(2010,12,4) + TIME(8,12,15)</f>
        <v>40516.341840277775</v>
      </c>
      <c r="C380">
        <v>0</v>
      </c>
      <c r="D380">
        <v>550</v>
      </c>
      <c r="E380">
        <v>550</v>
      </c>
      <c r="F380">
        <v>0</v>
      </c>
      <c r="G380">
        <v>1325.9157714999999</v>
      </c>
      <c r="H380">
        <v>1323.5148925999999</v>
      </c>
      <c r="I380">
        <v>1345.7038574000001</v>
      </c>
      <c r="J380">
        <v>1340.9250488</v>
      </c>
      <c r="K380">
        <v>80</v>
      </c>
      <c r="L380">
        <v>74.836936950999998</v>
      </c>
      <c r="M380">
        <v>60</v>
      </c>
      <c r="N380">
        <v>59.731266022</v>
      </c>
    </row>
    <row r="381" spans="1:14" x14ac:dyDescent="0.25">
      <c r="A381">
        <v>218.546403</v>
      </c>
      <c r="B381" s="1">
        <f>DATE(2010,12,5) + TIME(13,6,49)</f>
        <v>40517.546400462961</v>
      </c>
      <c r="C381">
        <v>0</v>
      </c>
      <c r="D381">
        <v>550</v>
      </c>
      <c r="E381">
        <v>550</v>
      </c>
      <c r="F381">
        <v>0</v>
      </c>
      <c r="G381">
        <v>1325.8741454999999</v>
      </c>
      <c r="H381">
        <v>1323.4587402</v>
      </c>
      <c r="I381">
        <v>1345.677124</v>
      </c>
      <c r="J381">
        <v>1340.9002685999999</v>
      </c>
      <c r="K381">
        <v>80</v>
      </c>
      <c r="L381">
        <v>74.704010010000005</v>
      </c>
      <c r="M381">
        <v>60</v>
      </c>
      <c r="N381">
        <v>59.733459473000003</v>
      </c>
    </row>
    <row r="382" spans="1:14" x14ac:dyDescent="0.25">
      <c r="A382">
        <v>219.802581</v>
      </c>
      <c r="B382" s="1">
        <f>DATE(2010,12,6) + TIME(19,15,42)</f>
        <v>40518.802569444444</v>
      </c>
      <c r="C382">
        <v>0</v>
      </c>
      <c r="D382">
        <v>550</v>
      </c>
      <c r="E382">
        <v>550</v>
      </c>
      <c r="F382">
        <v>0</v>
      </c>
      <c r="G382">
        <v>1325.8306885</v>
      </c>
      <c r="H382">
        <v>1323.4000243999999</v>
      </c>
      <c r="I382">
        <v>1345.6502685999999</v>
      </c>
      <c r="J382">
        <v>1340.8754882999999</v>
      </c>
      <c r="K382">
        <v>80</v>
      </c>
      <c r="L382">
        <v>74.567039489999999</v>
      </c>
      <c r="M382">
        <v>60</v>
      </c>
      <c r="N382">
        <v>59.735473632999998</v>
      </c>
    </row>
    <row r="383" spans="1:14" x14ac:dyDescent="0.25">
      <c r="A383">
        <v>221.086196</v>
      </c>
      <c r="B383" s="1">
        <f>DATE(2010,12,8) + TIME(2,4,7)</f>
        <v>40520.086192129631</v>
      </c>
      <c r="C383">
        <v>0</v>
      </c>
      <c r="D383">
        <v>550</v>
      </c>
      <c r="E383">
        <v>550</v>
      </c>
      <c r="F383">
        <v>0</v>
      </c>
      <c r="G383">
        <v>1325.7851562000001</v>
      </c>
      <c r="H383">
        <v>1323.3386230000001</v>
      </c>
      <c r="I383">
        <v>1345.6234131000001</v>
      </c>
      <c r="J383">
        <v>1340.8507079999999</v>
      </c>
      <c r="K383">
        <v>80</v>
      </c>
      <c r="L383">
        <v>74.428092957000004</v>
      </c>
      <c r="M383">
        <v>60</v>
      </c>
      <c r="N383">
        <v>59.737297058000003</v>
      </c>
    </row>
    <row r="384" spans="1:14" x14ac:dyDescent="0.25">
      <c r="A384">
        <v>222.38287299999999</v>
      </c>
      <c r="B384" s="1">
        <f>DATE(2010,12,9) + TIME(9,11,20)</f>
        <v>40521.382870370369</v>
      </c>
      <c r="C384">
        <v>0</v>
      </c>
      <c r="D384">
        <v>550</v>
      </c>
      <c r="E384">
        <v>550</v>
      </c>
      <c r="F384">
        <v>0</v>
      </c>
      <c r="G384">
        <v>1325.7382812000001</v>
      </c>
      <c r="H384">
        <v>1323.2752685999999</v>
      </c>
      <c r="I384">
        <v>1345.5968018000001</v>
      </c>
      <c r="J384">
        <v>1340.8261719</v>
      </c>
      <c r="K384">
        <v>80</v>
      </c>
      <c r="L384">
        <v>74.28843689</v>
      </c>
      <c r="M384">
        <v>60</v>
      </c>
      <c r="N384">
        <v>59.738937378000003</v>
      </c>
    </row>
    <row r="385" spans="1:14" x14ac:dyDescent="0.25">
      <c r="A385">
        <v>223.69725500000001</v>
      </c>
      <c r="B385" s="1">
        <f>DATE(2010,12,10) + TIME(16,44,2)</f>
        <v>40522.697245370371</v>
      </c>
      <c r="C385">
        <v>0</v>
      </c>
      <c r="D385">
        <v>550</v>
      </c>
      <c r="E385">
        <v>550</v>
      </c>
      <c r="F385">
        <v>0</v>
      </c>
      <c r="G385">
        <v>1325.6905518000001</v>
      </c>
      <c r="H385">
        <v>1323.2106934000001</v>
      </c>
      <c r="I385">
        <v>1345.5710449000001</v>
      </c>
      <c r="J385">
        <v>1340.8023682</v>
      </c>
      <c r="K385">
        <v>80</v>
      </c>
      <c r="L385">
        <v>74.147796631000006</v>
      </c>
      <c r="M385">
        <v>60</v>
      </c>
      <c r="N385">
        <v>59.740428925000003</v>
      </c>
    </row>
    <row r="386" spans="1:14" x14ac:dyDescent="0.25">
      <c r="A386">
        <v>225.033918</v>
      </c>
      <c r="B386" s="1">
        <f>DATE(2010,12,12) + TIME(0,48,50)</f>
        <v>40524.033912037034</v>
      </c>
      <c r="C386">
        <v>0</v>
      </c>
      <c r="D386">
        <v>550</v>
      </c>
      <c r="E386">
        <v>550</v>
      </c>
      <c r="F386">
        <v>0</v>
      </c>
      <c r="G386">
        <v>1325.6418457</v>
      </c>
      <c r="H386">
        <v>1323.1445312000001</v>
      </c>
      <c r="I386">
        <v>1345.5457764</v>
      </c>
      <c r="J386">
        <v>1340.7791748</v>
      </c>
      <c r="K386">
        <v>80</v>
      </c>
      <c r="L386">
        <v>74.005844116000006</v>
      </c>
      <c r="M386">
        <v>60</v>
      </c>
      <c r="N386">
        <v>59.741802216000004</v>
      </c>
    </row>
    <row r="387" spans="1:14" x14ac:dyDescent="0.25">
      <c r="A387">
        <v>226.39760100000001</v>
      </c>
      <c r="B387" s="1">
        <f>DATE(2010,12,13) + TIME(9,32,32)</f>
        <v>40525.397592592592</v>
      </c>
      <c r="C387">
        <v>0</v>
      </c>
      <c r="D387">
        <v>550</v>
      </c>
      <c r="E387">
        <v>550</v>
      </c>
      <c r="F387">
        <v>0</v>
      </c>
      <c r="G387">
        <v>1325.5920410000001</v>
      </c>
      <c r="H387">
        <v>1323.0767822</v>
      </c>
      <c r="I387">
        <v>1345.5209961</v>
      </c>
      <c r="J387">
        <v>1340.7563477000001</v>
      </c>
      <c r="K387">
        <v>80</v>
      </c>
      <c r="L387">
        <v>73.862213135000005</v>
      </c>
      <c r="M387">
        <v>60</v>
      </c>
      <c r="N387">
        <v>59.743072509999998</v>
      </c>
    </row>
    <row r="388" spans="1:14" x14ac:dyDescent="0.25">
      <c r="A388">
        <v>227.788321</v>
      </c>
      <c r="B388" s="1">
        <f>DATE(2010,12,14) + TIME(18,55,10)</f>
        <v>40526.788310185184</v>
      </c>
      <c r="C388">
        <v>0</v>
      </c>
      <c r="D388">
        <v>550</v>
      </c>
      <c r="E388">
        <v>550</v>
      </c>
      <c r="F388">
        <v>0</v>
      </c>
      <c r="G388">
        <v>1325.5408935999999</v>
      </c>
      <c r="H388">
        <v>1323.0072021000001</v>
      </c>
      <c r="I388">
        <v>1345.4967041</v>
      </c>
      <c r="J388">
        <v>1340.7340088000001</v>
      </c>
      <c r="K388">
        <v>80</v>
      </c>
      <c r="L388">
        <v>73.716880798000005</v>
      </c>
      <c r="M388">
        <v>60</v>
      </c>
      <c r="N388">
        <v>59.744255066000001</v>
      </c>
    </row>
    <row r="389" spans="1:14" x14ac:dyDescent="0.25">
      <c r="A389">
        <v>229.207843</v>
      </c>
      <c r="B389" s="1">
        <f>DATE(2010,12,16) + TIME(4,59,17)</f>
        <v>40528.207835648151</v>
      </c>
      <c r="C389">
        <v>0</v>
      </c>
      <c r="D389">
        <v>550</v>
      </c>
      <c r="E389">
        <v>550</v>
      </c>
      <c r="F389">
        <v>0</v>
      </c>
      <c r="G389">
        <v>1325.4885254000001</v>
      </c>
      <c r="H389">
        <v>1322.9357910000001</v>
      </c>
      <c r="I389">
        <v>1345.4726562000001</v>
      </c>
      <c r="J389">
        <v>1340.7120361</v>
      </c>
      <c r="K389">
        <v>80</v>
      </c>
      <c r="L389">
        <v>73.569664001000007</v>
      </c>
      <c r="M389">
        <v>60</v>
      </c>
      <c r="N389">
        <v>59.745361328000001</v>
      </c>
    </row>
    <row r="390" spans="1:14" x14ac:dyDescent="0.25">
      <c r="A390">
        <v>230.66131799999999</v>
      </c>
      <c r="B390" s="1">
        <f>DATE(2010,12,17) + TIME(15,52,17)</f>
        <v>40529.661307870374</v>
      </c>
      <c r="C390">
        <v>0</v>
      </c>
      <c r="D390">
        <v>550</v>
      </c>
      <c r="E390">
        <v>550</v>
      </c>
      <c r="F390">
        <v>0</v>
      </c>
      <c r="G390">
        <v>1325.4348144999999</v>
      </c>
      <c r="H390">
        <v>1322.8624268000001</v>
      </c>
      <c r="I390">
        <v>1345.4490966999999</v>
      </c>
      <c r="J390">
        <v>1340.6903076000001</v>
      </c>
      <c r="K390">
        <v>80</v>
      </c>
      <c r="L390">
        <v>73.420120238999999</v>
      </c>
      <c r="M390">
        <v>60</v>
      </c>
      <c r="N390">
        <v>59.74641037</v>
      </c>
    </row>
    <row r="391" spans="1:14" x14ac:dyDescent="0.25">
      <c r="A391">
        <v>232.15392900000001</v>
      </c>
      <c r="B391" s="1">
        <f>DATE(2010,12,19) + TIME(3,41,39)</f>
        <v>40531.153923611113</v>
      </c>
      <c r="C391">
        <v>0</v>
      </c>
      <c r="D391">
        <v>550</v>
      </c>
      <c r="E391">
        <v>550</v>
      </c>
      <c r="F391">
        <v>0</v>
      </c>
      <c r="G391">
        <v>1325.3795166</v>
      </c>
      <c r="H391">
        <v>1322.7868652</v>
      </c>
      <c r="I391">
        <v>1345.4256591999999</v>
      </c>
      <c r="J391">
        <v>1340.6689452999999</v>
      </c>
      <c r="K391">
        <v>80</v>
      </c>
      <c r="L391">
        <v>73.267753600999995</v>
      </c>
      <c r="M391">
        <v>60</v>
      </c>
      <c r="N391">
        <v>59.747406005999999</v>
      </c>
    </row>
    <row r="392" spans="1:14" x14ac:dyDescent="0.25">
      <c r="A392">
        <v>233.684899</v>
      </c>
      <c r="B392" s="1">
        <f>DATE(2010,12,20) + TIME(16,26,15)</f>
        <v>40532.684895833336</v>
      </c>
      <c r="C392">
        <v>0</v>
      </c>
      <c r="D392">
        <v>550</v>
      </c>
      <c r="E392">
        <v>550</v>
      </c>
      <c r="F392">
        <v>0</v>
      </c>
      <c r="G392">
        <v>1325.3226318</v>
      </c>
      <c r="H392">
        <v>1322.7088623</v>
      </c>
      <c r="I392">
        <v>1345.4024658000001</v>
      </c>
      <c r="J392">
        <v>1340.6478271000001</v>
      </c>
      <c r="K392">
        <v>80</v>
      </c>
      <c r="L392">
        <v>73.112503051999994</v>
      </c>
      <c r="M392">
        <v>60</v>
      </c>
      <c r="N392">
        <v>59.748363495</v>
      </c>
    </row>
    <row r="393" spans="1:14" x14ac:dyDescent="0.25">
      <c r="A393">
        <v>235.25450900000001</v>
      </c>
      <c r="B393" s="1">
        <f>DATE(2010,12,22) + TIME(6,6,29)</f>
        <v>40534.254502314812</v>
      </c>
      <c r="C393">
        <v>0</v>
      </c>
      <c r="D393">
        <v>550</v>
      </c>
      <c r="E393">
        <v>550</v>
      </c>
      <c r="F393">
        <v>0</v>
      </c>
      <c r="G393">
        <v>1325.2640381000001</v>
      </c>
      <c r="H393">
        <v>1322.628418</v>
      </c>
      <c r="I393">
        <v>1345.3795166</v>
      </c>
      <c r="J393">
        <v>1340.6268310999999</v>
      </c>
      <c r="K393">
        <v>80</v>
      </c>
      <c r="L393">
        <v>72.954208374000004</v>
      </c>
      <c r="M393">
        <v>60</v>
      </c>
      <c r="N393">
        <v>59.749279022000003</v>
      </c>
    </row>
    <row r="394" spans="1:14" x14ac:dyDescent="0.25">
      <c r="A394">
        <v>236.86866800000001</v>
      </c>
      <c r="B394" s="1">
        <f>DATE(2010,12,23) + TIME(20,50,52)</f>
        <v>40535.868657407409</v>
      </c>
      <c r="C394">
        <v>0</v>
      </c>
      <c r="D394">
        <v>550</v>
      </c>
      <c r="E394">
        <v>550</v>
      </c>
      <c r="F394">
        <v>0</v>
      </c>
      <c r="G394">
        <v>1325.2036132999999</v>
      </c>
      <c r="H394">
        <v>1322.5454102000001</v>
      </c>
      <c r="I394">
        <v>1345.3568115</v>
      </c>
      <c r="J394">
        <v>1340.6060791</v>
      </c>
      <c r="K394">
        <v>80</v>
      </c>
      <c r="L394">
        <v>72.792312621999997</v>
      </c>
      <c r="M394">
        <v>60</v>
      </c>
      <c r="N394">
        <v>59.750167847</v>
      </c>
    </row>
    <row r="395" spans="1:14" x14ac:dyDescent="0.25">
      <c r="A395">
        <v>238.53213600000001</v>
      </c>
      <c r="B395" s="1">
        <f>DATE(2010,12,25) + TIME(12,46,16)</f>
        <v>40537.532129629632</v>
      </c>
      <c r="C395">
        <v>0</v>
      </c>
      <c r="D395">
        <v>550</v>
      </c>
      <c r="E395">
        <v>550</v>
      </c>
      <c r="F395">
        <v>0</v>
      </c>
      <c r="G395">
        <v>1325.1413574000001</v>
      </c>
      <c r="H395">
        <v>1322.4594727000001</v>
      </c>
      <c r="I395">
        <v>1345.3342285000001</v>
      </c>
      <c r="J395">
        <v>1340.5855713000001</v>
      </c>
      <c r="K395">
        <v>80</v>
      </c>
      <c r="L395">
        <v>72.626266478999995</v>
      </c>
      <c r="M395">
        <v>60</v>
      </c>
      <c r="N395">
        <v>59.751033782999997</v>
      </c>
    </row>
    <row r="396" spans="1:14" x14ac:dyDescent="0.25">
      <c r="A396">
        <v>240.23731599999999</v>
      </c>
      <c r="B396" s="1">
        <f>DATE(2010,12,27) + TIME(5,41,44)</f>
        <v>40539.237314814818</v>
      </c>
      <c r="C396">
        <v>0</v>
      </c>
      <c r="D396">
        <v>550</v>
      </c>
      <c r="E396">
        <v>550</v>
      </c>
      <c r="F396">
        <v>0</v>
      </c>
      <c r="G396">
        <v>1325.0770264</v>
      </c>
      <c r="H396">
        <v>1322.3707274999999</v>
      </c>
      <c r="I396">
        <v>1345.3117675999999</v>
      </c>
      <c r="J396">
        <v>1340.5651855000001</v>
      </c>
      <c r="K396">
        <v>80</v>
      </c>
      <c r="L396">
        <v>72.456382751000007</v>
      </c>
      <c r="M396">
        <v>60</v>
      </c>
      <c r="N396">
        <v>59.751876830999997</v>
      </c>
    </row>
    <row r="397" spans="1:14" x14ac:dyDescent="0.25">
      <c r="A397">
        <v>241.99057199999999</v>
      </c>
      <c r="B397" s="1">
        <f>DATE(2010,12,28) + TIME(23,46,25)</f>
        <v>40540.990567129629</v>
      </c>
      <c r="C397">
        <v>0</v>
      </c>
      <c r="D397">
        <v>550</v>
      </c>
      <c r="E397">
        <v>550</v>
      </c>
      <c r="F397">
        <v>0</v>
      </c>
      <c r="G397">
        <v>1325.0107422000001</v>
      </c>
      <c r="H397">
        <v>1322.2790527</v>
      </c>
      <c r="I397">
        <v>1345.2894286999999</v>
      </c>
      <c r="J397">
        <v>1340.5449219</v>
      </c>
      <c r="K397">
        <v>80</v>
      </c>
      <c r="L397">
        <v>72.282005310000002</v>
      </c>
      <c r="M397">
        <v>60</v>
      </c>
      <c r="N397">
        <v>59.752708435000002</v>
      </c>
    </row>
    <row r="398" spans="1:14" x14ac:dyDescent="0.25">
      <c r="A398">
        <v>243.78134900000001</v>
      </c>
      <c r="B398" s="1">
        <f>DATE(2010,12,30) + TIME(18,45,8)</f>
        <v>40542.781342592592</v>
      </c>
      <c r="C398">
        <v>0</v>
      </c>
      <c r="D398">
        <v>550</v>
      </c>
      <c r="E398">
        <v>550</v>
      </c>
      <c r="F398">
        <v>0</v>
      </c>
      <c r="G398">
        <v>1324.9423827999999</v>
      </c>
      <c r="H398">
        <v>1322.1844481999999</v>
      </c>
      <c r="I398">
        <v>1345.2673339999999</v>
      </c>
      <c r="J398">
        <v>1340.5249022999999</v>
      </c>
      <c r="K398">
        <v>80</v>
      </c>
      <c r="L398">
        <v>72.103622436999999</v>
      </c>
      <c r="M398">
        <v>60</v>
      </c>
      <c r="N398">
        <v>59.753520966000004</v>
      </c>
    </row>
    <row r="399" spans="1:14" x14ac:dyDescent="0.25">
      <c r="A399">
        <v>245</v>
      </c>
      <c r="B399" s="1">
        <f>DATE(2011,1,1) + TIME(0,0,0)</f>
        <v>40544</v>
      </c>
      <c r="C399">
        <v>0</v>
      </c>
      <c r="D399">
        <v>550</v>
      </c>
      <c r="E399">
        <v>550</v>
      </c>
      <c r="F399">
        <v>0</v>
      </c>
      <c r="G399">
        <v>1324.8748779</v>
      </c>
      <c r="H399">
        <v>1322.0928954999999</v>
      </c>
      <c r="I399">
        <v>1345.2451172000001</v>
      </c>
      <c r="J399">
        <v>1340.5050048999999</v>
      </c>
      <c r="K399">
        <v>80</v>
      </c>
      <c r="L399">
        <v>71.968017578000001</v>
      </c>
      <c r="M399">
        <v>60</v>
      </c>
      <c r="N399">
        <v>59.754043578999998</v>
      </c>
    </row>
    <row r="400" spans="1:14" x14ac:dyDescent="0.25">
      <c r="A400">
        <v>246.80911900000001</v>
      </c>
      <c r="B400" s="1">
        <f>DATE(2011,1,2) + TIME(19,25,7)</f>
        <v>40545.809108796297</v>
      </c>
      <c r="C400">
        <v>0</v>
      </c>
      <c r="D400">
        <v>550</v>
      </c>
      <c r="E400">
        <v>550</v>
      </c>
      <c r="F400">
        <v>0</v>
      </c>
      <c r="G400">
        <v>1324.8218993999999</v>
      </c>
      <c r="H400">
        <v>1322.0163574000001</v>
      </c>
      <c r="I400">
        <v>1345.230957</v>
      </c>
      <c r="J400">
        <v>1340.4920654</v>
      </c>
      <c r="K400">
        <v>80</v>
      </c>
      <c r="L400">
        <v>71.789733886999997</v>
      </c>
      <c r="M400">
        <v>60</v>
      </c>
      <c r="N400">
        <v>59.754821776999997</v>
      </c>
    </row>
    <row r="401" spans="1:14" x14ac:dyDescent="0.25">
      <c r="A401">
        <v>248.663229</v>
      </c>
      <c r="B401" s="1">
        <f>DATE(2011,1,4) + TIME(15,55,3)</f>
        <v>40547.663229166668</v>
      </c>
      <c r="C401">
        <v>0</v>
      </c>
      <c r="D401">
        <v>550</v>
      </c>
      <c r="E401">
        <v>550</v>
      </c>
      <c r="F401">
        <v>0</v>
      </c>
      <c r="G401">
        <v>1324.7514647999999</v>
      </c>
      <c r="H401">
        <v>1321.9183350000001</v>
      </c>
      <c r="I401">
        <v>1345.2100829999999</v>
      </c>
      <c r="J401">
        <v>1340.4733887</v>
      </c>
      <c r="K401">
        <v>80</v>
      </c>
      <c r="L401">
        <v>71.605522156000006</v>
      </c>
      <c r="M401">
        <v>60</v>
      </c>
      <c r="N401">
        <v>59.755592346</v>
      </c>
    </row>
    <row r="402" spans="1:14" x14ac:dyDescent="0.25">
      <c r="A402">
        <v>250.55275499999999</v>
      </c>
      <c r="B402" s="1">
        <f>DATE(2011,1,6) + TIME(13,15,58)</f>
        <v>40549.552754629629</v>
      </c>
      <c r="C402">
        <v>0</v>
      </c>
      <c r="D402">
        <v>550</v>
      </c>
      <c r="E402">
        <v>550</v>
      </c>
      <c r="F402">
        <v>0</v>
      </c>
      <c r="G402">
        <v>1324.6788329999999</v>
      </c>
      <c r="H402">
        <v>1321.8171387</v>
      </c>
      <c r="I402">
        <v>1345.1893310999999</v>
      </c>
      <c r="J402">
        <v>1340.4547118999999</v>
      </c>
      <c r="K402">
        <v>80</v>
      </c>
      <c r="L402">
        <v>71.415908813000001</v>
      </c>
      <c r="M402">
        <v>60</v>
      </c>
      <c r="N402">
        <v>59.756351471000002</v>
      </c>
    </row>
    <row r="403" spans="1:14" x14ac:dyDescent="0.25">
      <c r="A403">
        <v>252.47405599999999</v>
      </c>
      <c r="B403" s="1">
        <f>DATE(2011,1,8) + TIME(11,22,38)</f>
        <v>40551.474050925928</v>
      </c>
      <c r="C403">
        <v>0</v>
      </c>
      <c r="D403">
        <v>550</v>
      </c>
      <c r="E403">
        <v>550</v>
      </c>
      <c r="F403">
        <v>0</v>
      </c>
      <c r="G403">
        <v>1324.6046143000001</v>
      </c>
      <c r="H403">
        <v>1321.7131348</v>
      </c>
      <c r="I403">
        <v>1345.1688231999999</v>
      </c>
      <c r="J403">
        <v>1340.4364014</v>
      </c>
      <c r="K403">
        <v>80</v>
      </c>
      <c r="L403">
        <v>71.221069335999999</v>
      </c>
      <c r="M403">
        <v>60</v>
      </c>
      <c r="N403">
        <v>59.757106780999997</v>
      </c>
    </row>
    <row r="404" spans="1:14" x14ac:dyDescent="0.25">
      <c r="A404">
        <v>254.43242699999999</v>
      </c>
      <c r="B404" s="1">
        <f>DATE(2011,1,10) + TIME(10,22,41)</f>
        <v>40553.43241898148</v>
      </c>
      <c r="C404">
        <v>0</v>
      </c>
      <c r="D404">
        <v>550</v>
      </c>
      <c r="E404">
        <v>550</v>
      </c>
      <c r="F404">
        <v>0</v>
      </c>
      <c r="G404">
        <v>1324.5286865</v>
      </c>
      <c r="H404">
        <v>1321.6065673999999</v>
      </c>
      <c r="I404">
        <v>1345.1486815999999</v>
      </c>
      <c r="J404">
        <v>1340.418457</v>
      </c>
      <c r="K404">
        <v>80</v>
      </c>
      <c r="L404">
        <v>71.020500182999996</v>
      </c>
      <c r="M404">
        <v>60</v>
      </c>
      <c r="N404">
        <v>59.757858276</v>
      </c>
    </row>
    <row r="405" spans="1:14" x14ac:dyDescent="0.25">
      <c r="A405">
        <v>256.43514800000003</v>
      </c>
      <c r="B405" s="1">
        <f>DATE(2011,1,12) + TIME(10,26,36)</f>
        <v>40555.43513888889</v>
      </c>
      <c r="C405">
        <v>0</v>
      </c>
      <c r="D405">
        <v>550</v>
      </c>
      <c r="E405">
        <v>550</v>
      </c>
      <c r="F405">
        <v>0</v>
      </c>
      <c r="G405">
        <v>1324.4511719</v>
      </c>
      <c r="H405">
        <v>1321.4974365</v>
      </c>
      <c r="I405">
        <v>1345.1286620999999</v>
      </c>
      <c r="J405">
        <v>1340.4007568</v>
      </c>
      <c r="K405">
        <v>80</v>
      </c>
      <c r="L405">
        <v>70.813446045000006</v>
      </c>
      <c r="M405">
        <v>60</v>
      </c>
      <c r="N405">
        <v>59.758613586000003</v>
      </c>
    </row>
    <row r="406" spans="1:14" x14ac:dyDescent="0.25">
      <c r="A406">
        <v>258.48969899999997</v>
      </c>
      <c r="B406" s="1">
        <f>DATE(2011,1,14) + TIME(11,45,10)</f>
        <v>40557.489699074074</v>
      </c>
      <c r="C406">
        <v>0</v>
      </c>
      <c r="D406">
        <v>550</v>
      </c>
      <c r="E406">
        <v>550</v>
      </c>
      <c r="F406">
        <v>0</v>
      </c>
      <c r="G406">
        <v>1324.3717041</v>
      </c>
      <c r="H406">
        <v>1321.385376</v>
      </c>
      <c r="I406">
        <v>1345.1088867000001</v>
      </c>
      <c r="J406">
        <v>1340.3831786999999</v>
      </c>
      <c r="K406">
        <v>80</v>
      </c>
      <c r="L406">
        <v>70.598960876000007</v>
      </c>
      <c r="M406">
        <v>60</v>
      </c>
      <c r="N406">
        <v>59.759372710999997</v>
      </c>
    </row>
    <row r="407" spans="1:14" x14ac:dyDescent="0.25">
      <c r="A407">
        <v>260.592285</v>
      </c>
      <c r="B407" s="1">
        <f>DATE(2011,1,16) + TIME(14,12,53)</f>
        <v>40559.592280092591</v>
      </c>
      <c r="C407">
        <v>0</v>
      </c>
      <c r="D407">
        <v>550</v>
      </c>
      <c r="E407">
        <v>550</v>
      </c>
      <c r="F407">
        <v>0</v>
      </c>
      <c r="G407">
        <v>1324.2902832</v>
      </c>
      <c r="H407">
        <v>1321.2700195</v>
      </c>
      <c r="I407">
        <v>1345.0891113</v>
      </c>
      <c r="J407">
        <v>1340.3657227000001</v>
      </c>
      <c r="K407">
        <v>80</v>
      </c>
      <c r="L407">
        <v>70.376777649000005</v>
      </c>
      <c r="M407">
        <v>60</v>
      </c>
      <c r="N407">
        <v>59.760135650999999</v>
      </c>
    </row>
    <row r="408" spans="1:14" x14ac:dyDescent="0.25">
      <c r="A408">
        <v>262.74783000000002</v>
      </c>
      <c r="B408" s="1">
        <f>DATE(2011,1,18) + TIME(17,56,52)</f>
        <v>40561.747824074075</v>
      </c>
      <c r="C408">
        <v>0</v>
      </c>
      <c r="D408">
        <v>550</v>
      </c>
      <c r="E408">
        <v>550</v>
      </c>
      <c r="F408">
        <v>0</v>
      </c>
      <c r="G408">
        <v>1324.2069091999999</v>
      </c>
      <c r="H408">
        <v>1321.1517334</v>
      </c>
      <c r="I408">
        <v>1345.0695800999999</v>
      </c>
      <c r="J408">
        <v>1340.3485106999999</v>
      </c>
      <c r="K408">
        <v>80</v>
      </c>
      <c r="L408">
        <v>70.146064757999994</v>
      </c>
      <c r="M408">
        <v>60</v>
      </c>
      <c r="N408">
        <v>59.760902405000003</v>
      </c>
    </row>
    <row r="409" spans="1:14" x14ac:dyDescent="0.25">
      <c r="A409">
        <v>264.96463</v>
      </c>
      <c r="B409" s="1">
        <f>DATE(2011,1,20) + TIME(23,9,4)</f>
        <v>40563.964629629627</v>
      </c>
      <c r="C409">
        <v>0</v>
      </c>
      <c r="D409">
        <v>550</v>
      </c>
      <c r="E409">
        <v>550</v>
      </c>
      <c r="F409">
        <v>0</v>
      </c>
      <c r="G409">
        <v>1324.121582</v>
      </c>
      <c r="H409">
        <v>1321.0301514</v>
      </c>
      <c r="I409">
        <v>1345.0500488</v>
      </c>
      <c r="J409">
        <v>1340.3314209</v>
      </c>
      <c r="K409">
        <v>80</v>
      </c>
      <c r="L409">
        <v>69.905555724999999</v>
      </c>
      <c r="M409">
        <v>60</v>
      </c>
      <c r="N409">
        <v>59.761680603000002</v>
      </c>
    </row>
    <row r="410" spans="1:14" x14ac:dyDescent="0.25">
      <c r="A410">
        <v>267.24647700000003</v>
      </c>
      <c r="B410" s="1">
        <f>DATE(2011,1,23) + TIME(5,54,55)</f>
        <v>40566.246469907404</v>
      </c>
      <c r="C410">
        <v>0</v>
      </c>
      <c r="D410">
        <v>550</v>
      </c>
      <c r="E410">
        <v>550</v>
      </c>
      <c r="F410">
        <v>0</v>
      </c>
      <c r="G410">
        <v>1324.0339355000001</v>
      </c>
      <c r="H410">
        <v>1320.9050293</v>
      </c>
      <c r="I410">
        <v>1345.0305175999999</v>
      </c>
      <c r="J410">
        <v>1340.3144531</v>
      </c>
      <c r="K410">
        <v>80</v>
      </c>
      <c r="L410">
        <v>69.654151916999993</v>
      </c>
      <c r="M410">
        <v>60</v>
      </c>
      <c r="N410">
        <v>59.762474060000002</v>
      </c>
    </row>
    <row r="411" spans="1:14" x14ac:dyDescent="0.25">
      <c r="A411">
        <v>269.57226200000002</v>
      </c>
      <c r="B411" s="1">
        <f>DATE(2011,1,25) + TIME(13,44,3)</f>
        <v>40568.572256944448</v>
      </c>
      <c r="C411">
        <v>0</v>
      </c>
      <c r="D411">
        <v>550</v>
      </c>
      <c r="E411">
        <v>550</v>
      </c>
      <c r="F411">
        <v>0</v>
      </c>
      <c r="G411">
        <v>1323.9440918</v>
      </c>
      <c r="H411">
        <v>1320.7762451000001</v>
      </c>
      <c r="I411">
        <v>1345.0109863</v>
      </c>
      <c r="J411">
        <v>1340.2974853999999</v>
      </c>
      <c r="K411">
        <v>80</v>
      </c>
      <c r="L411">
        <v>69.392639160000002</v>
      </c>
      <c r="M411">
        <v>60</v>
      </c>
      <c r="N411">
        <v>59.763267517000003</v>
      </c>
    </row>
    <row r="412" spans="1:14" x14ac:dyDescent="0.25">
      <c r="A412">
        <v>271.95041300000003</v>
      </c>
      <c r="B412" s="1">
        <f>DATE(2011,1,27) + TIME(22,48,35)</f>
        <v>40570.95040509259</v>
      </c>
      <c r="C412">
        <v>0</v>
      </c>
      <c r="D412">
        <v>550</v>
      </c>
      <c r="E412">
        <v>550</v>
      </c>
      <c r="F412">
        <v>0</v>
      </c>
      <c r="G412">
        <v>1323.8526611</v>
      </c>
      <c r="H412">
        <v>1320.6446533000001</v>
      </c>
      <c r="I412">
        <v>1344.9916992000001</v>
      </c>
      <c r="J412">
        <v>1340.2808838000001</v>
      </c>
      <c r="K412">
        <v>80</v>
      </c>
      <c r="L412">
        <v>69.120109557999996</v>
      </c>
      <c r="M412">
        <v>60</v>
      </c>
      <c r="N412">
        <v>59.764064789000003</v>
      </c>
    </row>
    <row r="413" spans="1:14" x14ac:dyDescent="0.25">
      <c r="A413">
        <v>274.36510800000002</v>
      </c>
      <c r="B413" s="1">
        <f>DATE(2011,1,30) + TIME(8,45,45)</f>
        <v>40573.365104166667</v>
      </c>
      <c r="C413">
        <v>0</v>
      </c>
      <c r="D413">
        <v>550</v>
      </c>
      <c r="E413">
        <v>550</v>
      </c>
      <c r="F413">
        <v>0</v>
      </c>
      <c r="G413">
        <v>1323.7593993999999</v>
      </c>
      <c r="H413">
        <v>1320.5101318</v>
      </c>
      <c r="I413">
        <v>1344.9724120999999</v>
      </c>
      <c r="J413">
        <v>1340.2642822</v>
      </c>
      <c r="K413">
        <v>80</v>
      </c>
      <c r="L413">
        <v>68.837135314999998</v>
      </c>
      <c r="M413">
        <v>60</v>
      </c>
      <c r="N413">
        <v>59.764865874999998</v>
      </c>
    </row>
    <row r="414" spans="1:14" x14ac:dyDescent="0.25">
      <c r="A414">
        <v>276</v>
      </c>
      <c r="B414" s="1">
        <f>DATE(2011,2,1) + TIME(0,0,0)</f>
        <v>40575</v>
      </c>
      <c r="C414">
        <v>0</v>
      </c>
      <c r="D414">
        <v>550</v>
      </c>
      <c r="E414">
        <v>550</v>
      </c>
      <c r="F414">
        <v>0</v>
      </c>
      <c r="G414">
        <v>1323.6680908000001</v>
      </c>
      <c r="H414">
        <v>1320.3812256000001</v>
      </c>
      <c r="I414">
        <v>1344.9530029</v>
      </c>
      <c r="J414">
        <v>1340.2476807</v>
      </c>
      <c r="K414">
        <v>80</v>
      </c>
      <c r="L414">
        <v>68.611251831000004</v>
      </c>
      <c r="M414">
        <v>60</v>
      </c>
      <c r="N414">
        <v>59.765384674000003</v>
      </c>
    </row>
    <row r="415" spans="1:14" x14ac:dyDescent="0.25">
      <c r="A415">
        <v>278.44421399999999</v>
      </c>
      <c r="B415" s="1">
        <f>DATE(2011,2,3) + TIME(10,39,40)</f>
        <v>40577.444212962961</v>
      </c>
      <c r="C415">
        <v>0</v>
      </c>
      <c r="D415">
        <v>550</v>
      </c>
      <c r="E415">
        <v>550</v>
      </c>
      <c r="F415">
        <v>0</v>
      </c>
      <c r="G415">
        <v>1323.5969238</v>
      </c>
      <c r="H415">
        <v>1320.2728271000001</v>
      </c>
      <c r="I415">
        <v>1344.9407959</v>
      </c>
      <c r="J415">
        <v>1340.2371826000001</v>
      </c>
      <c r="K415">
        <v>80</v>
      </c>
      <c r="L415">
        <v>68.324645996000001</v>
      </c>
      <c r="M415">
        <v>60</v>
      </c>
      <c r="N415">
        <v>59.766189574999999</v>
      </c>
    </row>
    <row r="416" spans="1:14" x14ac:dyDescent="0.25">
      <c r="A416">
        <v>280.95976200000001</v>
      </c>
      <c r="B416" s="1">
        <f>DATE(2011,2,5) + TIME(23,2,3)</f>
        <v>40579.959756944445</v>
      </c>
      <c r="C416">
        <v>0</v>
      </c>
      <c r="D416">
        <v>550</v>
      </c>
      <c r="E416">
        <v>550</v>
      </c>
      <c r="F416">
        <v>0</v>
      </c>
      <c r="G416">
        <v>1323.5039062000001</v>
      </c>
      <c r="H416">
        <v>1320.1374512</v>
      </c>
      <c r="I416">
        <v>1344.9222411999999</v>
      </c>
      <c r="J416">
        <v>1340.2215576000001</v>
      </c>
      <c r="K416">
        <v>80</v>
      </c>
      <c r="L416">
        <v>68.020431518999999</v>
      </c>
      <c r="M416">
        <v>60</v>
      </c>
      <c r="N416">
        <v>59.767005920000003</v>
      </c>
    </row>
    <row r="417" spans="1:14" x14ac:dyDescent="0.25">
      <c r="A417">
        <v>283.52784600000001</v>
      </c>
      <c r="B417" s="1">
        <f>DATE(2011,2,8) + TIME(12,40,5)</f>
        <v>40582.52783564815</v>
      </c>
      <c r="C417">
        <v>0</v>
      </c>
      <c r="D417">
        <v>550</v>
      </c>
      <c r="E417">
        <v>550</v>
      </c>
      <c r="F417">
        <v>0</v>
      </c>
      <c r="G417">
        <v>1323.4083252</v>
      </c>
      <c r="H417">
        <v>1319.9978027</v>
      </c>
      <c r="I417">
        <v>1344.9036865</v>
      </c>
      <c r="J417">
        <v>1340.2059326000001</v>
      </c>
      <c r="K417">
        <v>80</v>
      </c>
      <c r="L417">
        <v>67.700378418</v>
      </c>
      <c r="M417">
        <v>60</v>
      </c>
      <c r="N417">
        <v>59.767822266000003</v>
      </c>
    </row>
    <row r="418" spans="1:14" x14ac:dyDescent="0.25">
      <c r="A418">
        <v>286.138936</v>
      </c>
      <c r="B418" s="1">
        <f>DATE(2011,2,11) + TIME(3,20,4)</f>
        <v>40585.138935185183</v>
      </c>
      <c r="C418">
        <v>0</v>
      </c>
      <c r="D418">
        <v>550</v>
      </c>
      <c r="E418">
        <v>550</v>
      </c>
      <c r="F418">
        <v>0</v>
      </c>
      <c r="G418">
        <v>1323.3110352000001</v>
      </c>
      <c r="H418">
        <v>1319.8548584</v>
      </c>
      <c r="I418">
        <v>1344.8851318</v>
      </c>
      <c r="J418">
        <v>1340.1903076000001</v>
      </c>
      <c r="K418">
        <v>80</v>
      </c>
      <c r="L418">
        <v>67.365783691000004</v>
      </c>
      <c r="M418">
        <v>60</v>
      </c>
      <c r="N418">
        <v>59.768642426</v>
      </c>
    </row>
    <row r="419" spans="1:14" x14ac:dyDescent="0.25">
      <c r="A419">
        <v>288.80300199999999</v>
      </c>
      <c r="B419" s="1">
        <f>DATE(2011,2,13) + TIME(19,16,19)</f>
        <v>40587.802997685183</v>
      </c>
      <c r="C419">
        <v>0</v>
      </c>
      <c r="D419">
        <v>550</v>
      </c>
      <c r="E419">
        <v>550</v>
      </c>
      <c r="F419">
        <v>0</v>
      </c>
      <c r="G419">
        <v>1323.2126464999999</v>
      </c>
      <c r="H419">
        <v>1319.7095947</v>
      </c>
      <c r="I419">
        <v>1344.8666992000001</v>
      </c>
      <c r="J419">
        <v>1340.1749268000001</v>
      </c>
      <c r="K419">
        <v>80</v>
      </c>
      <c r="L419">
        <v>67.016456603999998</v>
      </c>
      <c r="M419">
        <v>60</v>
      </c>
      <c r="N419">
        <v>59.769470214999998</v>
      </c>
    </row>
    <row r="420" spans="1:14" x14ac:dyDescent="0.25">
      <c r="A420">
        <v>291.53019999999998</v>
      </c>
      <c r="B420" s="1">
        <f>DATE(2011,2,16) + TIME(12,43,29)</f>
        <v>40590.53019675926</v>
      </c>
      <c r="C420">
        <v>0</v>
      </c>
      <c r="D420">
        <v>550</v>
      </c>
      <c r="E420">
        <v>550</v>
      </c>
      <c r="F420">
        <v>0</v>
      </c>
      <c r="G420">
        <v>1323.1130370999999</v>
      </c>
      <c r="H420">
        <v>1319.5617675999999</v>
      </c>
      <c r="I420">
        <v>1344.8483887</v>
      </c>
      <c r="J420">
        <v>1340.159668</v>
      </c>
      <c r="K420">
        <v>80</v>
      </c>
      <c r="L420">
        <v>66.651611328000001</v>
      </c>
      <c r="M420">
        <v>60</v>
      </c>
      <c r="N420">
        <v>59.770305634000003</v>
      </c>
    </row>
    <row r="421" spans="1:14" x14ac:dyDescent="0.25">
      <c r="A421">
        <v>294.33186999999998</v>
      </c>
      <c r="B421" s="1">
        <f>DATE(2011,2,19) + TIME(7,57,53)</f>
        <v>40593.331863425927</v>
      </c>
      <c r="C421">
        <v>0</v>
      </c>
      <c r="D421">
        <v>550</v>
      </c>
      <c r="E421">
        <v>550</v>
      </c>
      <c r="F421">
        <v>0</v>
      </c>
      <c r="G421">
        <v>1323.0123291</v>
      </c>
      <c r="H421">
        <v>1319.411499</v>
      </c>
      <c r="I421">
        <v>1344.8298339999999</v>
      </c>
      <c r="J421">
        <v>1340.1445312000001</v>
      </c>
      <c r="K421">
        <v>80</v>
      </c>
      <c r="L421">
        <v>66.270034789999997</v>
      </c>
      <c r="M421">
        <v>60</v>
      </c>
      <c r="N421">
        <v>59.771152495999999</v>
      </c>
    </row>
    <row r="422" spans="1:14" x14ac:dyDescent="0.25">
      <c r="A422">
        <v>297.20662900000002</v>
      </c>
      <c r="B422" s="1">
        <f>DATE(2011,2,22) + TIME(4,57,32)</f>
        <v>40596.206620370373</v>
      </c>
      <c r="C422">
        <v>0</v>
      </c>
      <c r="D422">
        <v>550</v>
      </c>
      <c r="E422">
        <v>550</v>
      </c>
      <c r="F422">
        <v>0</v>
      </c>
      <c r="G422">
        <v>1322.9102783000001</v>
      </c>
      <c r="H422">
        <v>1319.2584228999999</v>
      </c>
      <c r="I422">
        <v>1344.8112793</v>
      </c>
      <c r="J422">
        <v>1340.1292725000001</v>
      </c>
      <c r="K422">
        <v>80</v>
      </c>
      <c r="L422">
        <v>65.871223450000002</v>
      </c>
      <c r="M422">
        <v>60</v>
      </c>
      <c r="N422">
        <v>59.772014618</v>
      </c>
    </row>
    <row r="423" spans="1:14" x14ac:dyDescent="0.25">
      <c r="A423">
        <v>300.14404300000001</v>
      </c>
      <c r="B423" s="1">
        <f>DATE(2011,2,25) + TIME(3,27,25)</f>
        <v>40599.14403935185</v>
      </c>
      <c r="C423">
        <v>0</v>
      </c>
      <c r="D423">
        <v>550</v>
      </c>
      <c r="E423">
        <v>550</v>
      </c>
      <c r="F423">
        <v>0</v>
      </c>
      <c r="G423">
        <v>1322.8070068</v>
      </c>
      <c r="H423">
        <v>1319.1029053</v>
      </c>
      <c r="I423">
        <v>1344.7926024999999</v>
      </c>
      <c r="J423">
        <v>1340.1140137</v>
      </c>
      <c r="K423">
        <v>80</v>
      </c>
      <c r="L423">
        <v>65.455673218000001</v>
      </c>
      <c r="M423">
        <v>60</v>
      </c>
      <c r="N423">
        <v>59.772884369000003</v>
      </c>
    </row>
    <row r="424" spans="1:14" x14ac:dyDescent="0.25">
      <c r="A424">
        <v>303.11308200000002</v>
      </c>
      <c r="B424" s="1">
        <f>DATE(2011,2,28) + TIME(2,42,50)</f>
        <v>40602.113078703704</v>
      </c>
      <c r="C424">
        <v>0</v>
      </c>
      <c r="D424">
        <v>550</v>
      </c>
      <c r="E424">
        <v>550</v>
      </c>
      <c r="F424">
        <v>0</v>
      </c>
      <c r="G424">
        <v>1322.7032471</v>
      </c>
      <c r="H424">
        <v>1318.9458007999999</v>
      </c>
      <c r="I424">
        <v>1344.7739257999999</v>
      </c>
      <c r="J424">
        <v>1340.0987548999999</v>
      </c>
      <c r="K424">
        <v>80</v>
      </c>
      <c r="L424">
        <v>65.026000976999995</v>
      </c>
      <c r="M424">
        <v>60</v>
      </c>
      <c r="N424">
        <v>59.773750305</v>
      </c>
    </row>
    <row r="425" spans="1:14" x14ac:dyDescent="0.25">
      <c r="A425">
        <v>304</v>
      </c>
      <c r="B425" s="1">
        <f>DATE(2011,3,1) + TIME(0,0,0)</f>
        <v>40603</v>
      </c>
      <c r="C425">
        <v>0</v>
      </c>
      <c r="D425">
        <v>550</v>
      </c>
      <c r="E425">
        <v>550</v>
      </c>
      <c r="F425">
        <v>0</v>
      </c>
      <c r="G425">
        <v>1322.6063231999999</v>
      </c>
      <c r="H425">
        <v>1318.8125</v>
      </c>
      <c r="I425">
        <v>1344.7545166</v>
      </c>
      <c r="J425">
        <v>1340.0831298999999</v>
      </c>
      <c r="K425">
        <v>80</v>
      </c>
      <c r="L425">
        <v>64.830146790000001</v>
      </c>
      <c r="M425">
        <v>60</v>
      </c>
      <c r="N425">
        <v>59.773975372000002</v>
      </c>
    </row>
    <row r="426" spans="1:14" x14ac:dyDescent="0.25">
      <c r="A426">
        <v>307.01359100000002</v>
      </c>
      <c r="B426" s="1">
        <f>DATE(2011,3,4) + TIME(0,19,34)</f>
        <v>40606.01358796296</v>
      </c>
      <c r="C426">
        <v>0</v>
      </c>
      <c r="D426">
        <v>550</v>
      </c>
      <c r="E426">
        <v>550</v>
      </c>
      <c r="F426">
        <v>0</v>
      </c>
      <c r="G426">
        <v>1322.5628661999999</v>
      </c>
      <c r="H426">
        <v>1318.729126</v>
      </c>
      <c r="I426">
        <v>1344.7498779</v>
      </c>
      <c r="J426">
        <v>1340.0792236</v>
      </c>
      <c r="K426">
        <v>80</v>
      </c>
      <c r="L426">
        <v>64.415061950999998</v>
      </c>
      <c r="M426">
        <v>60</v>
      </c>
      <c r="N426">
        <v>59.774860382</v>
      </c>
    </row>
    <row r="427" spans="1:14" x14ac:dyDescent="0.25">
      <c r="A427">
        <v>310.09693499999997</v>
      </c>
      <c r="B427" s="1">
        <f>DATE(2011,3,7) + TIME(2,19,35)</f>
        <v>40609.096932870372</v>
      </c>
      <c r="C427">
        <v>0</v>
      </c>
      <c r="D427">
        <v>550</v>
      </c>
      <c r="E427">
        <v>550</v>
      </c>
      <c r="F427">
        <v>0</v>
      </c>
      <c r="G427">
        <v>1322.463501</v>
      </c>
      <c r="H427">
        <v>1318.5777588000001</v>
      </c>
      <c r="I427">
        <v>1344.7313231999999</v>
      </c>
      <c r="J427">
        <v>1340.0644531</v>
      </c>
      <c r="K427">
        <v>80</v>
      </c>
      <c r="L427">
        <v>63.971008300999998</v>
      </c>
      <c r="M427">
        <v>60</v>
      </c>
      <c r="N427">
        <v>59.775745391999997</v>
      </c>
    </row>
    <row r="428" spans="1:14" x14ac:dyDescent="0.25">
      <c r="A428">
        <v>313.22365500000001</v>
      </c>
      <c r="B428" s="1">
        <f>DATE(2011,3,10) + TIME(5,22,3)</f>
        <v>40612.223645833335</v>
      </c>
      <c r="C428">
        <v>0</v>
      </c>
      <c r="D428">
        <v>550</v>
      </c>
      <c r="E428">
        <v>550</v>
      </c>
      <c r="F428">
        <v>0</v>
      </c>
      <c r="G428">
        <v>1322.3626709</v>
      </c>
      <c r="H428">
        <v>1318.4229736</v>
      </c>
      <c r="I428">
        <v>1344.7126464999999</v>
      </c>
      <c r="J428">
        <v>1340.0495605000001</v>
      </c>
      <c r="K428">
        <v>80</v>
      </c>
      <c r="L428">
        <v>63.506278991999999</v>
      </c>
      <c r="M428">
        <v>60</v>
      </c>
      <c r="N428">
        <v>59.776622772000003</v>
      </c>
    </row>
    <row r="429" spans="1:14" x14ac:dyDescent="0.25">
      <c r="A429">
        <v>316.40577999999999</v>
      </c>
      <c r="B429" s="1">
        <f>DATE(2011,3,13) + TIME(9,44,19)</f>
        <v>40615.405775462961</v>
      </c>
      <c r="C429">
        <v>0</v>
      </c>
      <c r="D429">
        <v>550</v>
      </c>
      <c r="E429">
        <v>550</v>
      </c>
      <c r="F429">
        <v>0</v>
      </c>
      <c r="G429">
        <v>1322.2619629000001</v>
      </c>
      <c r="H429">
        <v>1318.2668457</v>
      </c>
      <c r="I429">
        <v>1344.6940918</v>
      </c>
      <c r="J429">
        <v>1340.0347899999999</v>
      </c>
      <c r="K429">
        <v>80</v>
      </c>
      <c r="L429">
        <v>63.024814606</v>
      </c>
      <c r="M429">
        <v>60</v>
      </c>
      <c r="N429">
        <v>59.777507782000001</v>
      </c>
    </row>
    <row r="430" spans="1:14" x14ac:dyDescent="0.25">
      <c r="A430">
        <v>319.65569900000003</v>
      </c>
      <c r="B430" s="1">
        <f>DATE(2011,3,16) + TIME(15,44,12)</f>
        <v>40618.655694444446</v>
      </c>
      <c r="C430">
        <v>0</v>
      </c>
      <c r="D430">
        <v>550</v>
      </c>
      <c r="E430">
        <v>550</v>
      </c>
      <c r="F430">
        <v>0</v>
      </c>
      <c r="G430">
        <v>1322.161499</v>
      </c>
      <c r="H430">
        <v>1318.1101074000001</v>
      </c>
      <c r="I430">
        <v>1344.6754149999999</v>
      </c>
      <c r="J430">
        <v>1340.0200195</v>
      </c>
      <c r="K430">
        <v>80</v>
      </c>
      <c r="L430">
        <v>62.528209685999997</v>
      </c>
      <c r="M430">
        <v>60</v>
      </c>
      <c r="N430">
        <v>59.778396606000001</v>
      </c>
    </row>
    <row r="431" spans="1:14" x14ac:dyDescent="0.25">
      <c r="A431">
        <v>322.98605099999997</v>
      </c>
      <c r="B431" s="1">
        <f>DATE(2011,3,19) + TIME(23,39,54)</f>
        <v>40621.986041666663</v>
      </c>
      <c r="C431">
        <v>0</v>
      </c>
      <c r="D431">
        <v>550</v>
      </c>
      <c r="E431">
        <v>550</v>
      </c>
      <c r="F431">
        <v>0</v>
      </c>
      <c r="G431">
        <v>1322.0616454999999</v>
      </c>
      <c r="H431">
        <v>1317.953125</v>
      </c>
      <c r="I431">
        <v>1344.6564940999999</v>
      </c>
      <c r="J431">
        <v>1340.005249</v>
      </c>
      <c r="K431">
        <v>80</v>
      </c>
      <c r="L431">
        <v>62.016933440999999</v>
      </c>
      <c r="M431">
        <v>60</v>
      </c>
      <c r="N431">
        <v>59.779296875</v>
      </c>
    </row>
    <row r="432" spans="1:14" x14ac:dyDescent="0.25">
      <c r="A432">
        <v>326.38303500000001</v>
      </c>
      <c r="B432" s="1">
        <f>DATE(2011,3,23) + TIME(9,11,34)</f>
        <v>40625.383032407408</v>
      </c>
      <c r="C432">
        <v>0</v>
      </c>
      <c r="D432">
        <v>550</v>
      </c>
      <c r="E432">
        <v>550</v>
      </c>
      <c r="F432">
        <v>0</v>
      </c>
      <c r="G432">
        <v>1321.9621582</v>
      </c>
      <c r="H432">
        <v>1317.7960204999999</v>
      </c>
      <c r="I432">
        <v>1344.6374512</v>
      </c>
      <c r="J432">
        <v>1339.9902344</v>
      </c>
      <c r="K432">
        <v>80</v>
      </c>
      <c r="L432">
        <v>61.492713928000001</v>
      </c>
      <c r="M432">
        <v>60</v>
      </c>
      <c r="N432">
        <v>59.780204773000001</v>
      </c>
    </row>
    <row r="433" spans="1:14" x14ac:dyDescent="0.25">
      <c r="A433">
        <v>329.85716400000001</v>
      </c>
      <c r="B433" s="1">
        <f>DATE(2011,3,26) + TIME(20,34,18)</f>
        <v>40628.857152777775</v>
      </c>
      <c r="C433">
        <v>0</v>
      </c>
      <c r="D433">
        <v>550</v>
      </c>
      <c r="E433">
        <v>550</v>
      </c>
      <c r="F433">
        <v>0</v>
      </c>
      <c r="G433">
        <v>1321.8638916</v>
      </c>
      <c r="H433">
        <v>1317.6395264</v>
      </c>
      <c r="I433">
        <v>1344.6182861</v>
      </c>
      <c r="J433">
        <v>1339.9752197</v>
      </c>
      <c r="K433">
        <v>80</v>
      </c>
      <c r="L433">
        <v>60.956352234000001</v>
      </c>
      <c r="M433">
        <v>60</v>
      </c>
      <c r="N433">
        <v>59.781120299999998</v>
      </c>
    </row>
    <row r="434" spans="1:14" x14ac:dyDescent="0.25">
      <c r="A434">
        <v>333.42201299999999</v>
      </c>
      <c r="B434" s="1">
        <f>DATE(2011,3,30) + TIME(10,7,41)</f>
        <v>40632.422002314815</v>
      </c>
      <c r="C434">
        <v>0</v>
      </c>
      <c r="D434">
        <v>550</v>
      </c>
      <c r="E434">
        <v>550</v>
      </c>
      <c r="F434">
        <v>0</v>
      </c>
      <c r="G434">
        <v>1321.7667236</v>
      </c>
      <c r="H434">
        <v>1317.4836425999999</v>
      </c>
      <c r="I434">
        <v>1344.5988769999999</v>
      </c>
      <c r="J434">
        <v>1339.9600829999999</v>
      </c>
      <c r="K434">
        <v>80</v>
      </c>
      <c r="L434">
        <v>60.407978057999998</v>
      </c>
      <c r="M434">
        <v>60</v>
      </c>
      <c r="N434">
        <v>59.782051086000003</v>
      </c>
    </row>
    <row r="435" spans="1:14" x14ac:dyDescent="0.25">
      <c r="A435">
        <v>335</v>
      </c>
      <c r="B435" s="1">
        <f>DATE(2011,4,1) + TIME(0,0,0)</f>
        <v>40634</v>
      </c>
      <c r="C435">
        <v>0</v>
      </c>
      <c r="D435">
        <v>550</v>
      </c>
      <c r="E435">
        <v>550</v>
      </c>
      <c r="F435">
        <v>0</v>
      </c>
      <c r="G435">
        <v>1321.6733397999999</v>
      </c>
      <c r="H435">
        <v>1317.3469238</v>
      </c>
      <c r="I435">
        <v>1344.5786132999999</v>
      </c>
      <c r="J435">
        <v>1339.9442139</v>
      </c>
      <c r="K435">
        <v>80</v>
      </c>
      <c r="L435">
        <v>60.060325622999997</v>
      </c>
      <c r="M435">
        <v>60</v>
      </c>
      <c r="N435">
        <v>59.782417297000002</v>
      </c>
    </row>
    <row r="436" spans="1:14" x14ac:dyDescent="0.25">
      <c r="A436">
        <v>338.64873799999998</v>
      </c>
      <c r="B436" s="1">
        <f>DATE(2011,4,4) + TIME(15,34,10)</f>
        <v>40637.648726851854</v>
      </c>
      <c r="C436">
        <v>0</v>
      </c>
      <c r="D436">
        <v>550</v>
      </c>
      <c r="E436">
        <v>550</v>
      </c>
      <c r="F436">
        <v>0</v>
      </c>
      <c r="G436">
        <v>1321.6229248</v>
      </c>
      <c r="H436">
        <v>1317.2475586</v>
      </c>
      <c r="I436">
        <v>1344.5705565999999</v>
      </c>
      <c r="J436">
        <v>1339.9379882999999</v>
      </c>
      <c r="K436">
        <v>80</v>
      </c>
      <c r="L436">
        <v>59.555980681999998</v>
      </c>
      <c r="M436">
        <v>60</v>
      </c>
      <c r="N436">
        <v>59.783378601000003</v>
      </c>
    </row>
    <row r="437" spans="1:14" x14ac:dyDescent="0.25">
      <c r="A437">
        <v>342.34234400000003</v>
      </c>
      <c r="B437" s="1">
        <f>DATE(2011,4,8) + TIME(8,12,58)</f>
        <v>40641.34233796296</v>
      </c>
      <c r="C437">
        <v>0</v>
      </c>
      <c r="D437">
        <v>550</v>
      </c>
      <c r="E437">
        <v>550</v>
      </c>
      <c r="F437">
        <v>0</v>
      </c>
      <c r="G437">
        <v>1321.5336914</v>
      </c>
      <c r="H437">
        <v>1317.104126</v>
      </c>
      <c r="I437">
        <v>1344.5506591999999</v>
      </c>
      <c r="J437">
        <v>1339.9226074000001</v>
      </c>
      <c r="K437">
        <v>80</v>
      </c>
      <c r="L437">
        <v>59.016689301</v>
      </c>
      <c r="M437">
        <v>60</v>
      </c>
      <c r="N437">
        <v>59.784320831000002</v>
      </c>
    </row>
    <row r="438" spans="1:14" x14ac:dyDescent="0.25">
      <c r="A438">
        <v>346.080871</v>
      </c>
      <c r="B438" s="1">
        <f>DATE(2011,4,12) + TIME(1,56,27)</f>
        <v>40645.080868055556</v>
      </c>
      <c r="C438">
        <v>0</v>
      </c>
      <c r="D438">
        <v>550</v>
      </c>
      <c r="E438">
        <v>550</v>
      </c>
      <c r="F438">
        <v>0</v>
      </c>
      <c r="G438">
        <v>1321.4454346</v>
      </c>
      <c r="H438">
        <v>1316.9598389</v>
      </c>
      <c r="I438">
        <v>1344.5307617000001</v>
      </c>
      <c r="J438">
        <v>1339.9072266000001</v>
      </c>
      <c r="K438">
        <v>80</v>
      </c>
      <c r="L438">
        <v>58.461437224999997</v>
      </c>
      <c r="M438">
        <v>60</v>
      </c>
      <c r="N438">
        <v>59.785255432</v>
      </c>
    </row>
    <row r="439" spans="1:14" x14ac:dyDescent="0.25">
      <c r="A439">
        <v>349.87931900000001</v>
      </c>
      <c r="B439" s="1">
        <f>DATE(2011,4,15) + TIME(21,6,13)</f>
        <v>40648.879317129627</v>
      </c>
      <c r="C439">
        <v>0</v>
      </c>
      <c r="D439">
        <v>550</v>
      </c>
      <c r="E439">
        <v>550</v>
      </c>
      <c r="F439">
        <v>0</v>
      </c>
      <c r="G439">
        <v>1321.3591309000001</v>
      </c>
      <c r="H439">
        <v>1316.8173827999999</v>
      </c>
      <c r="I439">
        <v>1344.5107422000001</v>
      </c>
      <c r="J439">
        <v>1339.8918457</v>
      </c>
      <c r="K439">
        <v>80</v>
      </c>
      <c r="L439">
        <v>57.898941039999997</v>
      </c>
      <c r="M439">
        <v>60</v>
      </c>
      <c r="N439">
        <v>59.786190032999997</v>
      </c>
    </row>
    <row r="440" spans="1:14" x14ac:dyDescent="0.25">
      <c r="A440">
        <v>353.75311199999999</v>
      </c>
      <c r="B440" s="1">
        <f>DATE(2011,4,19) + TIME(18,4,28)</f>
        <v>40652.753101851849</v>
      </c>
      <c r="C440">
        <v>0</v>
      </c>
      <c r="D440">
        <v>550</v>
      </c>
      <c r="E440">
        <v>550</v>
      </c>
      <c r="F440">
        <v>0</v>
      </c>
      <c r="G440">
        <v>1321.2753906</v>
      </c>
      <c r="H440">
        <v>1316.6776123</v>
      </c>
      <c r="I440">
        <v>1344.4907227000001</v>
      </c>
      <c r="J440">
        <v>1339.8763428</v>
      </c>
      <c r="K440">
        <v>80</v>
      </c>
      <c r="L440">
        <v>57.332931518999999</v>
      </c>
      <c r="M440">
        <v>60</v>
      </c>
      <c r="N440">
        <v>59.787136078000003</v>
      </c>
    </row>
    <row r="441" spans="1:14" x14ac:dyDescent="0.25">
      <c r="A441">
        <v>357.70142900000002</v>
      </c>
      <c r="B441" s="1">
        <f>DATE(2011,4,23) + TIME(16,50,3)</f>
        <v>40656.701423611114</v>
      </c>
      <c r="C441">
        <v>0</v>
      </c>
      <c r="D441">
        <v>550</v>
      </c>
      <c r="E441">
        <v>550</v>
      </c>
      <c r="F441">
        <v>0</v>
      </c>
      <c r="G441">
        <v>1321.1943358999999</v>
      </c>
      <c r="H441">
        <v>1316.5411377</v>
      </c>
      <c r="I441">
        <v>1344.4704589999999</v>
      </c>
      <c r="J441">
        <v>1339.8608397999999</v>
      </c>
      <c r="K441">
        <v>80</v>
      </c>
      <c r="L441">
        <v>56.765949249000002</v>
      </c>
      <c r="M441">
        <v>60</v>
      </c>
      <c r="N441">
        <v>59.788085938000002</v>
      </c>
    </row>
    <row r="442" spans="1:14" x14ac:dyDescent="0.25">
      <c r="A442">
        <v>361.71489600000001</v>
      </c>
      <c r="B442" s="1">
        <f>DATE(2011,4,27) + TIME(17,9,27)</f>
        <v>40660.714895833335</v>
      </c>
      <c r="C442">
        <v>0</v>
      </c>
      <c r="D442">
        <v>550</v>
      </c>
      <c r="E442">
        <v>550</v>
      </c>
      <c r="F442">
        <v>0</v>
      </c>
      <c r="G442">
        <v>1321.1160889</v>
      </c>
      <c r="H442">
        <v>1316.4085693</v>
      </c>
      <c r="I442">
        <v>1344.4500731999999</v>
      </c>
      <c r="J442">
        <v>1339.8450928</v>
      </c>
      <c r="K442">
        <v>80</v>
      </c>
      <c r="L442">
        <v>56.200775145999998</v>
      </c>
      <c r="M442">
        <v>60</v>
      </c>
      <c r="N442">
        <v>59.789035796999997</v>
      </c>
    </row>
    <row r="443" spans="1:14" x14ac:dyDescent="0.25">
      <c r="A443">
        <v>365</v>
      </c>
      <c r="B443" s="1">
        <f>DATE(2011,5,1) + TIME(0,0,0)</f>
        <v>40664</v>
      </c>
      <c r="C443">
        <v>0</v>
      </c>
      <c r="D443">
        <v>550</v>
      </c>
      <c r="E443">
        <v>550</v>
      </c>
      <c r="F443">
        <v>0</v>
      </c>
      <c r="G443">
        <v>1321.0412598</v>
      </c>
      <c r="H443">
        <v>1316.2844238</v>
      </c>
      <c r="I443">
        <v>1344.4294434000001</v>
      </c>
      <c r="J443">
        <v>1339.8292236</v>
      </c>
      <c r="K443">
        <v>80</v>
      </c>
      <c r="L443">
        <v>55.692527771000002</v>
      </c>
      <c r="M443">
        <v>60</v>
      </c>
      <c r="N443">
        <v>59.789783477999997</v>
      </c>
    </row>
    <row r="444" spans="1:14" x14ac:dyDescent="0.25">
      <c r="A444">
        <v>365.000001</v>
      </c>
      <c r="B444" s="1">
        <f>DATE(2011,5,1) + TIME(0,0,0)</f>
        <v>40664</v>
      </c>
      <c r="C444">
        <v>550</v>
      </c>
      <c r="D444">
        <v>0</v>
      </c>
      <c r="E444">
        <v>0</v>
      </c>
      <c r="F444">
        <v>550</v>
      </c>
      <c r="G444">
        <v>1326.8454589999999</v>
      </c>
      <c r="H444">
        <v>1321.2983397999999</v>
      </c>
      <c r="I444">
        <v>1339.6292725000001</v>
      </c>
      <c r="J444">
        <v>1336.6861572</v>
      </c>
      <c r="K444">
        <v>80</v>
      </c>
      <c r="L444">
        <v>55.692569732999999</v>
      </c>
      <c r="M444">
        <v>60</v>
      </c>
      <c r="N444">
        <v>59.789756775000001</v>
      </c>
    </row>
    <row r="445" spans="1:14" x14ac:dyDescent="0.25">
      <c r="A445">
        <v>365.00000399999999</v>
      </c>
      <c r="B445" s="1">
        <f>DATE(2011,5,1) + TIME(0,0,0)</f>
        <v>40664</v>
      </c>
      <c r="C445">
        <v>550</v>
      </c>
      <c r="D445">
        <v>0</v>
      </c>
      <c r="E445">
        <v>0</v>
      </c>
      <c r="F445">
        <v>550</v>
      </c>
      <c r="G445">
        <v>1327.4121094</v>
      </c>
      <c r="H445">
        <v>1321.9707031</v>
      </c>
      <c r="I445">
        <v>1339.1054687999999</v>
      </c>
      <c r="J445">
        <v>1336.1613769999999</v>
      </c>
      <c r="K445">
        <v>80</v>
      </c>
      <c r="L445">
        <v>55.692684174</v>
      </c>
      <c r="M445">
        <v>60</v>
      </c>
      <c r="N445">
        <v>59.78968811</v>
      </c>
    </row>
    <row r="446" spans="1:14" x14ac:dyDescent="0.25">
      <c r="A446">
        <v>365.00001300000002</v>
      </c>
      <c r="B446" s="1">
        <f>DATE(2011,5,1) + TIME(0,0,1)</f>
        <v>40664.000011574077</v>
      </c>
      <c r="C446">
        <v>550</v>
      </c>
      <c r="D446">
        <v>0</v>
      </c>
      <c r="E446">
        <v>0</v>
      </c>
      <c r="F446">
        <v>550</v>
      </c>
      <c r="G446">
        <v>1328.7100829999999</v>
      </c>
      <c r="H446">
        <v>1323.4245605000001</v>
      </c>
      <c r="I446">
        <v>1337.9710693</v>
      </c>
      <c r="J446">
        <v>1335.026001</v>
      </c>
      <c r="K446">
        <v>80</v>
      </c>
      <c r="L446">
        <v>55.692951202000003</v>
      </c>
      <c r="M446">
        <v>60</v>
      </c>
      <c r="N446">
        <v>59.789539337000001</v>
      </c>
    </row>
    <row r="447" spans="1:14" x14ac:dyDescent="0.25">
      <c r="A447">
        <v>365.00004000000001</v>
      </c>
      <c r="B447" s="1">
        <f>DATE(2011,5,1) + TIME(0,0,3)</f>
        <v>40664.000034722223</v>
      </c>
      <c r="C447">
        <v>550</v>
      </c>
      <c r="D447">
        <v>0</v>
      </c>
      <c r="E447">
        <v>0</v>
      </c>
      <c r="F447">
        <v>550</v>
      </c>
      <c r="G447">
        <v>1330.9659423999999</v>
      </c>
      <c r="H447">
        <v>1325.7675781</v>
      </c>
      <c r="I447">
        <v>1336.1628418</v>
      </c>
      <c r="J447">
        <v>1333.2178954999999</v>
      </c>
      <c r="K447">
        <v>80</v>
      </c>
      <c r="L447">
        <v>55.693485260000003</v>
      </c>
      <c r="M447">
        <v>60</v>
      </c>
      <c r="N447">
        <v>59.789299010999997</v>
      </c>
    </row>
    <row r="448" spans="1:14" x14ac:dyDescent="0.25">
      <c r="A448">
        <v>365.00012099999998</v>
      </c>
      <c r="B448" s="1">
        <f>DATE(2011,5,1) + TIME(0,0,10)</f>
        <v>40664.000115740739</v>
      </c>
      <c r="C448">
        <v>550</v>
      </c>
      <c r="D448">
        <v>0</v>
      </c>
      <c r="E448">
        <v>0</v>
      </c>
      <c r="F448">
        <v>550</v>
      </c>
      <c r="G448">
        <v>1333.8505858999999</v>
      </c>
      <c r="H448">
        <v>1328.6092529</v>
      </c>
      <c r="I448">
        <v>1334.0241699000001</v>
      </c>
      <c r="J448">
        <v>1331.081543</v>
      </c>
      <c r="K448">
        <v>80</v>
      </c>
      <c r="L448">
        <v>55.694561004999997</v>
      </c>
      <c r="M448">
        <v>60</v>
      </c>
      <c r="N448">
        <v>59.789005279999998</v>
      </c>
    </row>
    <row r="449" spans="1:14" x14ac:dyDescent="0.25">
      <c r="A449">
        <v>365.00036399999999</v>
      </c>
      <c r="B449" s="1">
        <f>DATE(2011,5,1) + TIME(0,0,31)</f>
        <v>40664.000358796293</v>
      </c>
      <c r="C449">
        <v>550</v>
      </c>
      <c r="D449">
        <v>0</v>
      </c>
      <c r="E449">
        <v>0</v>
      </c>
      <c r="F449">
        <v>550</v>
      </c>
      <c r="G449">
        <v>1336.9355469</v>
      </c>
      <c r="H449">
        <v>1331.6193848</v>
      </c>
      <c r="I449">
        <v>1331.8038329999999</v>
      </c>
      <c r="J449">
        <v>1328.8457031</v>
      </c>
      <c r="K449">
        <v>80</v>
      </c>
      <c r="L449">
        <v>55.697101592999999</v>
      </c>
      <c r="M449">
        <v>60</v>
      </c>
      <c r="N449">
        <v>59.788665770999998</v>
      </c>
    </row>
    <row r="450" spans="1:14" x14ac:dyDescent="0.25">
      <c r="A450">
        <v>365.00109300000003</v>
      </c>
      <c r="B450" s="1">
        <f>DATE(2011,5,1) + TIME(0,1,34)</f>
        <v>40664.001087962963</v>
      </c>
      <c r="C450">
        <v>550</v>
      </c>
      <c r="D450">
        <v>0</v>
      </c>
      <c r="E450">
        <v>0</v>
      </c>
      <c r="F450">
        <v>550</v>
      </c>
      <c r="G450">
        <v>1340.0653076000001</v>
      </c>
      <c r="H450">
        <v>1334.6916504000001</v>
      </c>
      <c r="I450">
        <v>1329.4849853999999</v>
      </c>
      <c r="J450">
        <v>1326.4609375</v>
      </c>
      <c r="K450">
        <v>80</v>
      </c>
      <c r="L450">
        <v>55.704017639</v>
      </c>
      <c r="M450">
        <v>60</v>
      </c>
      <c r="N450">
        <v>59.788215637</v>
      </c>
    </row>
    <row r="451" spans="1:14" x14ac:dyDescent="0.25">
      <c r="A451">
        <v>365.00328000000002</v>
      </c>
      <c r="B451" s="1">
        <f>DATE(2011,5,1) + TIME(0,4,43)</f>
        <v>40664.003275462965</v>
      </c>
      <c r="C451">
        <v>550</v>
      </c>
      <c r="D451">
        <v>0</v>
      </c>
      <c r="E451">
        <v>0</v>
      </c>
      <c r="F451">
        <v>550</v>
      </c>
      <c r="G451">
        <v>1342.9006348</v>
      </c>
      <c r="H451">
        <v>1337.5020752</v>
      </c>
      <c r="I451">
        <v>1327.2186279</v>
      </c>
      <c r="J451">
        <v>1324.0948486</v>
      </c>
      <c r="K451">
        <v>80</v>
      </c>
      <c r="L451">
        <v>55.724029541</v>
      </c>
      <c r="M451">
        <v>60</v>
      </c>
      <c r="N451">
        <v>59.787460326999998</v>
      </c>
    </row>
    <row r="452" spans="1:14" x14ac:dyDescent="0.25">
      <c r="A452">
        <v>365.00984099999999</v>
      </c>
      <c r="B452" s="1">
        <f>DATE(2011,5,1) + TIME(0,14,10)</f>
        <v>40664.009837962964</v>
      </c>
      <c r="C452">
        <v>550</v>
      </c>
      <c r="D452">
        <v>0</v>
      </c>
      <c r="E452">
        <v>0</v>
      </c>
      <c r="F452">
        <v>550</v>
      </c>
      <c r="G452">
        <v>1344.8948975000001</v>
      </c>
      <c r="H452">
        <v>1339.5012207</v>
      </c>
      <c r="I452">
        <v>1325.4737548999999</v>
      </c>
      <c r="J452">
        <v>1322.2742920000001</v>
      </c>
      <c r="K452">
        <v>80</v>
      </c>
      <c r="L452">
        <v>55.783081054999997</v>
      </c>
      <c r="M452">
        <v>60</v>
      </c>
      <c r="N452">
        <v>59.785846710000001</v>
      </c>
    </row>
    <row r="453" spans="1:14" x14ac:dyDescent="0.25">
      <c r="A453">
        <v>365.02952399999998</v>
      </c>
      <c r="B453" s="1">
        <f>DATE(2011,5,1) + TIME(0,42,30)</f>
        <v>40664.029513888891</v>
      </c>
      <c r="C453">
        <v>550</v>
      </c>
      <c r="D453">
        <v>0</v>
      </c>
      <c r="E453">
        <v>0</v>
      </c>
      <c r="F453">
        <v>550</v>
      </c>
      <c r="G453">
        <v>1345.9151611</v>
      </c>
      <c r="H453">
        <v>1340.5378418</v>
      </c>
      <c r="I453">
        <v>1324.5017089999999</v>
      </c>
      <c r="J453">
        <v>1321.2702637</v>
      </c>
      <c r="K453">
        <v>80</v>
      </c>
      <c r="L453">
        <v>55.958248138000002</v>
      </c>
      <c r="M453">
        <v>60</v>
      </c>
      <c r="N453">
        <v>59.781555175999998</v>
      </c>
    </row>
    <row r="454" spans="1:14" x14ac:dyDescent="0.25">
      <c r="A454">
        <v>365.088573</v>
      </c>
      <c r="B454" s="1">
        <f>DATE(2011,5,1) + TIME(2,7,32)</f>
        <v>40664.088564814818</v>
      </c>
      <c r="C454">
        <v>550</v>
      </c>
      <c r="D454">
        <v>0</v>
      </c>
      <c r="E454">
        <v>0</v>
      </c>
      <c r="F454">
        <v>550</v>
      </c>
      <c r="G454">
        <v>1346.2618408000001</v>
      </c>
      <c r="H454">
        <v>1340.9266356999999</v>
      </c>
      <c r="I454">
        <v>1324.1547852000001</v>
      </c>
      <c r="J454">
        <v>1320.9150391000001</v>
      </c>
      <c r="K454">
        <v>80</v>
      </c>
      <c r="L454">
        <v>56.472129821999999</v>
      </c>
      <c r="M454">
        <v>60</v>
      </c>
      <c r="N454">
        <v>59.769161224000001</v>
      </c>
    </row>
    <row r="455" spans="1:14" x14ac:dyDescent="0.25">
      <c r="A455">
        <v>365.18340999999998</v>
      </c>
      <c r="B455" s="1">
        <f>DATE(2011,5,1) + TIME(4,24,6)</f>
        <v>40664.18340277778</v>
      </c>
      <c r="C455">
        <v>550</v>
      </c>
      <c r="D455">
        <v>0</v>
      </c>
      <c r="E455">
        <v>0</v>
      </c>
      <c r="F455">
        <v>550</v>
      </c>
      <c r="G455">
        <v>1346.2849120999999</v>
      </c>
      <c r="H455">
        <v>1341.0054932</v>
      </c>
      <c r="I455">
        <v>1324.1087646000001</v>
      </c>
      <c r="J455">
        <v>1320.8673096</v>
      </c>
      <c r="K455">
        <v>80</v>
      </c>
      <c r="L455">
        <v>57.270645141999999</v>
      </c>
      <c r="M455">
        <v>60</v>
      </c>
      <c r="N455">
        <v>59.749588013</v>
      </c>
    </row>
    <row r="456" spans="1:14" x14ac:dyDescent="0.25">
      <c r="A456">
        <v>365.280213</v>
      </c>
      <c r="B456" s="1">
        <f>DATE(2011,5,1) + TIME(6,43,30)</f>
        <v>40664.28020833333</v>
      </c>
      <c r="C456">
        <v>550</v>
      </c>
      <c r="D456">
        <v>0</v>
      </c>
      <c r="E456">
        <v>0</v>
      </c>
      <c r="F456">
        <v>550</v>
      </c>
      <c r="G456">
        <v>1346.2575684000001</v>
      </c>
      <c r="H456">
        <v>1341.0209961</v>
      </c>
      <c r="I456">
        <v>1324.1097411999999</v>
      </c>
      <c r="J456">
        <v>1320.8671875</v>
      </c>
      <c r="K456">
        <v>80</v>
      </c>
      <c r="L456">
        <v>58.060420989999997</v>
      </c>
      <c r="M456">
        <v>60</v>
      </c>
      <c r="N456">
        <v>59.729778289999999</v>
      </c>
    </row>
    <row r="457" spans="1:14" x14ac:dyDescent="0.25">
      <c r="A457">
        <v>365.37899199999998</v>
      </c>
      <c r="B457" s="1">
        <f>DATE(2011,5,1) + TIME(9,5,44)</f>
        <v>40664.378981481481</v>
      </c>
      <c r="C457">
        <v>550</v>
      </c>
      <c r="D457">
        <v>0</v>
      </c>
      <c r="E457">
        <v>0</v>
      </c>
      <c r="F457">
        <v>550</v>
      </c>
      <c r="G457">
        <v>1346.2177733999999</v>
      </c>
      <c r="H457">
        <v>1341.0217285000001</v>
      </c>
      <c r="I457">
        <v>1324.1124268000001</v>
      </c>
      <c r="J457">
        <v>1320.8687743999999</v>
      </c>
      <c r="K457">
        <v>80</v>
      </c>
      <c r="L457">
        <v>58.840698242000002</v>
      </c>
      <c r="M457">
        <v>60</v>
      </c>
      <c r="N457">
        <v>59.709732056</v>
      </c>
    </row>
    <row r="458" spans="1:14" x14ac:dyDescent="0.25">
      <c r="A458">
        <v>365.47986200000003</v>
      </c>
      <c r="B458" s="1">
        <f>DATE(2011,5,1) + TIME(11,31,0)</f>
        <v>40664.479861111111</v>
      </c>
      <c r="C458">
        <v>550</v>
      </c>
      <c r="D458">
        <v>0</v>
      </c>
      <c r="E458">
        <v>0</v>
      </c>
      <c r="F458">
        <v>550</v>
      </c>
      <c r="G458">
        <v>1346.1777344</v>
      </c>
      <c r="H458">
        <v>1341.0202637</v>
      </c>
      <c r="I458">
        <v>1324.1136475000001</v>
      </c>
      <c r="J458">
        <v>1320.8688964999999</v>
      </c>
      <c r="K458">
        <v>80</v>
      </c>
      <c r="L458">
        <v>59.611534118999998</v>
      </c>
      <c r="M458">
        <v>60</v>
      </c>
      <c r="N458">
        <v>59.689434052000003</v>
      </c>
    </row>
    <row r="459" spans="1:14" x14ac:dyDescent="0.25">
      <c r="A459">
        <v>365.58293099999997</v>
      </c>
      <c r="B459" s="1">
        <f>DATE(2011,5,1) + TIME(13,59,25)</f>
        <v>40664.582928240743</v>
      </c>
      <c r="C459">
        <v>550</v>
      </c>
      <c r="D459">
        <v>0</v>
      </c>
      <c r="E459">
        <v>0</v>
      </c>
      <c r="F459">
        <v>550</v>
      </c>
      <c r="G459">
        <v>1346.1405029</v>
      </c>
      <c r="H459">
        <v>1341.0192870999999</v>
      </c>
      <c r="I459">
        <v>1324.1142577999999</v>
      </c>
      <c r="J459">
        <v>1320.8684082</v>
      </c>
      <c r="K459">
        <v>80</v>
      </c>
      <c r="L459">
        <v>60.372589111000003</v>
      </c>
      <c r="M459">
        <v>60</v>
      </c>
      <c r="N459">
        <v>59.668861389</v>
      </c>
    </row>
    <row r="460" spans="1:14" x14ac:dyDescent="0.25">
      <c r="A460">
        <v>365.68831499999999</v>
      </c>
      <c r="B460" s="1">
        <f>DATE(2011,5,1) + TIME(16,31,10)</f>
        <v>40664.688310185185</v>
      </c>
      <c r="C460">
        <v>550</v>
      </c>
      <c r="D460">
        <v>0</v>
      </c>
      <c r="E460">
        <v>0</v>
      </c>
      <c r="F460">
        <v>550</v>
      </c>
      <c r="G460">
        <v>1346.1066894999999</v>
      </c>
      <c r="H460">
        <v>1341.0197754000001</v>
      </c>
      <c r="I460">
        <v>1324.1145019999999</v>
      </c>
      <c r="J460">
        <v>1320.8675536999999</v>
      </c>
      <c r="K460">
        <v>80</v>
      </c>
      <c r="L460">
        <v>61.123729705999999</v>
      </c>
      <c r="M460">
        <v>60</v>
      </c>
      <c r="N460">
        <v>59.648010253999999</v>
      </c>
    </row>
    <row r="461" spans="1:14" x14ac:dyDescent="0.25">
      <c r="A461">
        <v>365.79613499999999</v>
      </c>
      <c r="B461" s="1">
        <f>DATE(2011,5,1) + TIME(19,6,26)</f>
        <v>40664.796134259261</v>
      </c>
      <c r="C461">
        <v>550</v>
      </c>
      <c r="D461">
        <v>0</v>
      </c>
      <c r="E461">
        <v>0</v>
      </c>
      <c r="F461">
        <v>550</v>
      </c>
      <c r="G461">
        <v>1346.0760498</v>
      </c>
      <c r="H461">
        <v>1341.0217285000001</v>
      </c>
      <c r="I461">
        <v>1324.1147461</v>
      </c>
      <c r="J461">
        <v>1320.8665771000001</v>
      </c>
      <c r="K461">
        <v>80</v>
      </c>
      <c r="L461">
        <v>61.865089417</v>
      </c>
      <c r="M461">
        <v>60</v>
      </c>
      <c r="N461">
        <v>59.626857758</v>
      </c>
    </row>
    <row r="462" spans="1:14" x14ac:dyDescent="0.25">
      <c r="A462">
        <v>365.90652299999999</v>
      </c>
      <c r="B462" s="1">
        <f>DATE(2011,5,1) + TIME(21,45,23)</f>
        <v>40664.9065162037</v>
      </c>
      <c r="C462">
        <v>550</v>
      </c>
      <c r="D462">
        <v>0</v>
      </c>
      <c r="E462">
        <v>0</v>
      </c>
      <c r="F462">
        <v>550</v>
      </c>
      <c r="G462">
        <v>1346.0488281</v>
      </c>
      <c r="H462">
        <v>1341.0250243999999</v>
      </c>
      <c r="I462">
        <v>1324.1148682</v>
      </c>
      <c r="J462">
        <v>1320.8654785000001</v>
      </c>
      <c r="K462">
        <v>80</v>
      </c>
      <c r="L462">
        <v>62.596504211000003</v>
      </c>
      <c r="M462">
        <v>60</v>
      </c>
      <c r="N462">
        <v>59.605384827000002</v>
      </c>
    </row>
    <row r="463" spans="1:14" x14ac:dyDescent="0.25">
      <c r="A463">
        <v>366.01961599999998</v>
      </c>
      <c r="B463" s="1">
        <f>DATE(2011,5,2) + TIME(0,28,14)</f>
        <v>40665.019606481481</v>
      </c>
      <c r="C463">
        <v>550</v>
      </c>
      <c r="D463">
        <v>0</v>
      </c>
      <c r="E463">
        <v>0</v>
      </c>
      <c r="F463">
        <v>550</v>
      </c>
      <c r="G463">
        <v>1346.0246582</v>
      </c>
      <c r="H463">
        <v>1341.0297852000001</v>
      </c>
      <c r="I463">
        <v>1324.1149902</v>
      </c>
      <c r="J463">
        <v>1320.8642577999999</v>
      </c>
      <c r="K463">
        <v>80</v>
      </c>
      <c r="L463">
        <v>63.317783356</v>
      </c>
      <c r="M463">
        <v>60</v>
      </c>
      <c r="N463">
        <v>59.583580017000003</v>
      </c>
    </row>
    <row r="464" spans="1:14" x14ac:dyDescent="0.25">
      <c r="A464">
        <v>366.13556299999999</v>
      </c>
      <c r="B464" s="1">
        <f>DATE(2011,5,2) + TIME(3,15,12)</f>
        <v>40665.135555555556</v>
      </c>
      <c r="C464">
        <v>550</v>
      </c>
      <c r="D464">
        <v>0</v>
      </c>
      <c r="E464">
        <v>0</v>
      </c>
      <c r="F464">
        <v>550</v>
      </c>
      <c r="G464">
        <v>1346.003418</v>
      </c>
      <c r="H464">
        <v>1341.0358887</v>
      </c>
      <c r="I464">
        <v>1324.1151123</v>
      </c>
      <c r="J464">
        <v>1320.8630370999999</v>
      </c>
      <c r="K464">
        <v>80</v>
      </c>
      <c r="L464">
        <v>64.028701781999999</v>
      </c>
      <c r="M464">
        <v>60</v>
      </c>
      <c r="N464">
        <v>59.561424254999999</v>
      </c>
    </row>
    <row r="465" spans="1:14" x14ac:dyDescent="0.25">
      <c r="A465">
        <v>366.254436</v>
      </c>
      <c r="B465" s="1">
        <f>DATE(2011,5,2) + TIME(6,6,23)</f>
        <v>40665.254432870373</v>
      </c>
      <c r="C465">
        <v>550</v>
      </c>
      <c r="D465">
        <v>0</v>
      </c>
      <c r="E465">
        <v>0</v>
      </c>
      <c r="F465">
        <v>550</v>
      </c>
      <c r="G465">
        <v>1345.9851074000001</v>
      </c>
      <c r="H465">
        <v>1341.0432129000001</v>
      </c>
      <c r="I465">
        <v>1324.1151123</v>
      </c>
      <c r="J465">
        <v>1320.8616943</v>
      </c>
      <c r="K465">
        <v>80</v>
      </c>
      <c r="L465">
        <v>64.728530883999994</v>
      </c>
      <c r="M465">
        <v>60</v>
      </c>
      <c r="N465">
        <v>59.538906097000002</v>
      </c>
    </row>
    <row r="466" spans="1:14" x14ac:dyDescent="0.25">
      <c r="A466">
        <v>366.37633799999998</v>
      </c>
      <c r="B466" s="1">
        <f>DATE(2011,5,2) + TIME(9,1,55)</f>
        <v>40665.376331018517</v>
      </c>
      <c r="C466">
        <v>550</v>
      </c>
      <c r="D466">
        <v>0</v>
      </c>
      <c r="E466">
        <v>0</v>
      </c>
      <c r="F466">
        <v>550</v>
      </c>
      <c r="G466">
        <v>1345.9694824000001</v>
      </c>
      <c r="H466">
        <v>1341.0517577999999</v>
      </c>
      <c r="I466">
        <v>1324.1151123</v>
      </c>
      <c r="J466">
        <v>1320.8602295000001</v>
      </c>
      <c r="K466">
        <v>80</v>
      </c>
      <c r="L466">
        <v>65.416801453000005</v>
      </c>
      <c r="M466">
        <v>60</v>
      </c>
      <c r="N466">
        <v>59.516025542999998</v>
      </c>
    </row>
    <row r="467" spans="1:14" x14ac:dyDescent="0.25">
      <c r="A467">
        <v>366.501441</v>
      </c>
      <c r="B467" s="1">
        <f>DATE(2011,5,2) + TIME(12,2,4)</f>
        <v>40665.501435185186</v>
      </c>
      <c r="C467">
        <v>550</v>
      </c>
      <c r="D467">
        <v>0</v>
      </c>
      <c r="E467">
        <v>0</v>
      </c>
      <c r="F467">
        <v>550</v>
      </c>
      <c r="G467">
        <v>1345.9564209</v>
      </c>
      <c r="H467">
        <v>1341.0612793</v>
      </c>
      <c r="I467">
        <v>1324.1151123</v>
      </c>
      <c r="J467">
        <v>1320.8587646000001</v>
      </c>
      <c r="K467">
        <v>80</v>
      </c>
      <c r="L467">
        <v>66.093231200999995</v>
      </c>
      <c r="M467">
        <v>60</v>
      </c>
      <c r="N467">
        <v>59.492752074999999</v>
      </c>
    </row>
    <row r="468" spans="1:14" x14ac:dyDescent="0.25">
      <c r="A468">
        <v>366.629929</v>
      </c>
      <c r="B468" s="1">
        <f>DATE(2011,5,2) + TIME(15,7,5)</f>
        <v>40665.629918981482</v>
      </c>
      <c r="C468">
        <v>550</v>
      </c>
      <c r="D468">
        <v>0</v>
      </c>
      <c r="E468">
        <v>0</v>
      </c>
      <c r="F468">
        <v>550</v>
      </c>
      <c r="G468">
        <v>1345.9458007999999</v>
      </c>
      <c r="H468">
        <v>1341.0718993999999</v>
      </c>
      <c r="I468">
        <v>1324.1149902</v>
      </c>
      <c r="J468">
        <v>1320.8570557</v>
      </c>
      <c r="K468">
        <v>80</v>
      </c>
      <c r="L468">
        <v>66.757484435999999</v>
      </c>
      <c r="M468">
        <v>60</v>
      </c>
      <c r="N468">
        <v>59.469070434999999</v>
      </c>
    </row>
    <row r="469" spans="1:14" x14ac:dyDescent="0.25">
      <c r="A469">
        <v>366.761999</v>
      </c>
      <c r="B469" s="1">
        <f>DATE(2011,5,2) + TIME(18,17,16)</f>
        <v>40665.761990740742</v>
      </c>
      <c r="C469">
        <v>550</v>
      </c>
      <c r="D469">
        <v>0</v>
      </c>
      <c r="E469">
        <v>0</v>
      </c>
      <c r="F469">
        <v>550</v>
      </c>
      <c r="G469">
        <v>1345.9375</v>
      </c>
      <c r="H469">
        <v>1341.083374</v>
      </c>
      <c r="I469">
        <v>1324.1147461</v>
      </c>
      <c r="J469">
        <v>1320.8554687999999</v>
      </c>
      <c r="K469">
        <v>80</v>
      </c>
      <c r="L469">
        <v>67.409263611</v>
      </c>
      <c r="M469">
        <v>60</v>
      </c>
      <c r="N469">
        <v>59.444957733000003</v>
      </c>
    </row>
    <row r="470" spans="1:14" x14ac:dyDescent="0.25">
      <c r="A470">
        <v>366.89786299999997</v>
      </c>
      <c r="B470" s="1">
        <f>DATE(2011,5,2) + TIME(21,32,55)</f>
        <v>40665.897858796299</v>
      </c>
      <c r="C470">
        <v>550</v>
      </c>
      <c r="D470">
        <v>0</v>
      </c>
      <c r="E470">
        <v>0</v>
      </c>
      <c r="F470">
        <v>550</v>
      </c>
      <c r="G470">
        <v>1345.9312743999999</v>
      </c>
      <c r="H470">
        <v>1341.0955810999999</v>
      </c>
      <c r="I470">
        <v>1324.114624</v>
      </c>
      <c r="J470">
        <v>1320.8536377</v>
      </c>
      <c r="K470">
        <v>80</v>
      </c>
      <c r="L470">
        <v>68.048233031999999</v>
      </c>
      <c r="M470">
        <v>60</v>
      </c>
      <c r="N470">
        <v>59.420379638999997</v>
      </c>
    </row>
    <row r="471" spans="1:14" x14ac:dyDescent="0.25">
      <c r="A471">
        <v>367.03772500000002</v>
      </c>
      <c r="B471" s="1">
        <f>DATE(2011,5,3) + TIME(0,54,19)</f>
        <v>40666.037719907406</v>
      </c>
      <c r="C471">
        <v>550</v>
      </c>
      <c r="D471">
        <v>0</v>
      </c>
      <c r="E471">
        <v>0</v>
      </c>
      <c r="F471">
        <v>550</v>
      </c>
      <c r="G471">
        <v>1345.9270019999999</v>
      </c>
      <c r="H471">
        <v>1341.1086425999999</v>
      </c>
      <c r="I471">
        <v>1324.1143798999999</v>
      </c>
      <c r="J471">
        <v>1320.8516846</v>
      </c>
      <c r="K471">
        <v>80</v>
      </c>
      <c r="L471">
        <v>68.673973083000007</v>
      </c>
      <c r="M471">
        <v>60</v>
      </c>
      <c r="N471">
        <v>59.395320892000001</v>
      </c>
    </row>
    <row r="472" spans="1:14" x14ac:dyDescent="0.25">
      <c r="A472">
        <v>367.18183800000003</v>
      </c>
      <c r="B472" s="1">
        <f>DATE(2011,5,3) + TIME(4,21,50)</f>
        <v>40666.181828703702</v>
      </c>
      <c r="C472">
        <v>550</v>
      </c>
      <c r="D472">
        <v>0</v>
      </c>
      <c r="E472">
        <v>0</v>
      </c>
      <c r="F472">
        <v>550</v>
      </c>
      <c r="G472">
        <v>1345.9246826000001</v>
      </c>
      <c r="H472">
        <v>1341.1224365</v>
      </c>
      <c r="I472">
        <v>1324.1140137</v>
      </c>
      <c r="J472">
        <v>1320.8497314000001</v>
      </c>
      <c r="K472">
        <v>80</v>
      </c>
      <c r="L472">
        <v>69.286132812000005</v>
      </c>
      <c r="M472">
        <v>60</v>
      </c>
      <c r="N472">
        <v>59.369747162000003</v>
      </c>
    </row>
    <row r="473" spans="1:14" x14ac:dyDescent="0.25">
      <c r="A473">
        <v>367.33047599999998</v>
      </c>
      <c r="B473" s="1">
        <f>DATE(2011,5,3) + TIME(7,55,53)</f>
        <v>40666.330474537041</v>
      </c>
      <c r="C473">
        <v>550</v>
      </c>
      <c r="D473">
        <v>0</v>
      </c>
      <c r="E473">
        <v>0</v>
      </c>
      <c r="F473">
        <v>550</v>
      </c>
      <c r="G473">
        <v>1345.9240723</v>
      </c>
      <c r="H473">
        <v>1341.1367187999999</v>
      </c>
      <c r="I473">
        <v>1324.1137695</v>
      </c>
      <c r="J473">
        <v>1320.8476562000001</v>
      </c>
      <c r="K473">
        <v>80</v>
      </c>
      <c r="L473">
        <v>69.884384155000006</v>
      </c>
      <c r="M473">
        <v>60</v>
      </c>
      <c r="N473">
        <v>59.343624114999997</v>
      </c>
    </row>
    <row r="474" spans="1:14" x14ac:dyDescent="0.25">
      <c r="A474">
        <v>367.483923</v>
      </c>
      <c r="B474" s="1">
        <f>DATE(2011,5,3) + TIME(11,36,50)</f>
        <v>40666.483912037038</v>
      </c>
      <c r="C474">
        <v>550</v>
      </c>
      <c r="D474">
        <v>0</v>
      </c>
      <c r="E474">
        <v>0</v>
      </c>
      <c r="F474">
        <v>550</v>
      </c>
      <c r="G474">
        <v>1345.9250488</v>
      </c>
      <c r="H474">
        <v>1341.1514893000001</v>
      </c>
      <c r="I474">
        <v>1324.1132812000001</v>
      </c>
      <c r="J474">
        <v>1320.8454589999999</v>
      </c>
      <c r="K474">
        <v>80</v>
      </c>
      <c r="L474">
        <v>70.467964171999995</v>
      </c>
      <c r="M474">
        <v>60</v>
      </c>
      <c r="N474">
        <v>59.316925048999998</v>
      </c>
    </row>
    <row r="475" spans="1:14" x14ac:dyDescent="0.25">
      <c r="A475">
        <v>367.64248700000002</v>
      </c>
      <c r="B475" s="1">
        <f>DATE(2011,5,3) + TIME(15,25,10)</f>
        <v>40666.642476851855</v>
      </c>
      <c r="C475">
        <v>550</v>
      </c>
      <c r="D475">
        <v>0</v>
      </c>
      <c r="E475">
        <v>0</v>
      </c>
      <c r="F475">
        <v>550</v>
      </c>
      <c r="G475">
        <v>1345.9274902</v>
      </c>
      <c r="H475">
        <v>1341.1667480000001</v>
      </c>
      <c r="I475">
        <v>1324.112793</v>
      </c>
      <c r="J475">
        <v>1320.8432617000001</v>
      </c>
      <c r="K475">
        <v>80</v>
      </c>
      <c r="L475">
        <v>71.036697387999993</v>
      </c>
      <c r="M475">
        <v>60</v>
      </c>
      <c r="N475">
        <v>59.289611815999997</v>
      </c>
    </row>
    <row r="476" spans="1:14" x14ac:dyDescent="0.25">
      <c r="A476">
        <v>367.80650000000003</v>
      </c>
      <c r="B476" s="1">
        <f>DATE(2011,5,3) + TIME(19,21,21)</f>
        <v>40666.806493055556</v>
      </c>
      <c r="C476">
        <v>550</v>
      </c>
      <c r="D476">
        <v>0</v>
      </c>
      <c r="E476">
        <v>0</v>
      </c>
      <c r="F476">
        <v>550</v>
      </c>
      <c r="G476">
        <v>1345.9313964999999</v>
      </c>
      <c r="H476">
        <v>1341.1823730000001</v>
      </c>
      <c r="I476">
        <v>1324.1123047000001</v>
      </c>
      <c r="J476">
        <v>1320.8408202999999</v>
      </c>
      <c r="K476">
        <v>80</v>
      </c>
      <c r="L476">
        <v>71.590217589999995</v>
      </c>
      <c r="M476">
        <v>60</v>
      </c>
      <c r="N476">
        <v>59.261642455999997</v>
      </c>
    </row>
    <row r="477" spans="1:14" x14ac:dyDescent="0.25">
      <c r="A477">
        <v>367.97632599999997</v>
      </c>
      <c r="B477" s="1">
        <f>DATE(2011,5,3) + TIME(23,25,54)</f>
        <v>40666.976319444446</v>
      </c>
      <c r="C477">
        <v>550</v>
      </c>
      <c r="D477">
        <v>0</v>
      </c>
      <c r="E477">
        <v>0</v>
      </c>
      <c r="F477">
        <v>550</v>
      </c>
      <c r="G477">
        <v>1345.9366454999999</v>
      </c>
      <c r="H477">
        <v>1341.1982422000001</v>
      </c>
      <c r="I477">
        <v>1324.1116943</v>
      </c>
      <c r="J477">
        <v>1320.8383789</v>
      </c>
      <c r="K477">
        <v>80</v>
      </c>
      <c r="L477">
        <v>72.128082274999997</v>
      </c>
      <c r="M477">
        <v>60</v>
      </c>
      <c r="N477">
        <v>59.232982634999999</v>
      </c>
    </row>
    <row r="478" spans="1:14" x14ac:dyDescent="0.25">
      <c r="A478">
        <v>368.15235899999999</v>
      </c>
      <c r="B478" s="1">
        <f>DATE(2011,5,4) + TIME(3,39,23)</f>
        <v>40667.152349537035</v>
      </c>
      <c r="C478">
        <v>550</v>
      </c>
      <c r="D478">
        <v>0</v>
      </c>
      <c r="E478">
        <v>0</v>
      </c>
      <c r="F478">
        <v>550</v>
      </c>
      <c r="G478">
        <v>1345.9428711</v>
      </c>
      <c r="H478">
        <v>1341.2143555</v>
      </c>
      <c r="I478">
        <v>1324.1110839999999</v>
      </c>
      <c r="J478">
        <v>1320.8356934000001</v>
      </c>
      <c r="K478">
        <v>80</v>
      </c>
      <c r="L478">
        <v>72.649833678999997</v>
      </c>
      <c r="M478">
        <v>60</v>
      </c>
      <c r="N478">
        <v>59.203586577999999</v>
      </c>
    </row>
    <row r="479" spans="1:14" x14ac:dyDescent="0.25">
      <c r="A479">
        <v>368.33503000000002</v>
      </c>
      <c r="B479" s="1">
        <f>DATE(2011,5,4) + TIME(8,2,26)</f>
        <v>40667.335023148145</v>
      </c>
      <c r="C479">
        <v>550</v>
      </c>
      <c r="D479">
        <v>0</v>
      </c>
      <c r="E479">
        <v>0</v>
      </c>
      <c r="F479">
        <v>550</v>
      </c>
      <c r="G479">
        <v>1345.9501952999999</v>
      </c>
      <c r="H479">
        <v>1341.2305908000001</v>
      </c>
      <c r="I479">
        <v>1324.1103516000001</v>
      </c>
      <c r="J479">
        <v>1320.8330077999999</v>
      </c>
      <c r="K479">
        <v>80</v>
      </c>
      <c r="L479">
        <v>73.155006408999995</v>
      </c>
      <c r="M479">
        <v>60</v>
      </c>
      <c r="N479">
        <v>59.173400878999999</v>
      </c>
    </row>
    <row r="480" spans="1:14" x14ac:dyDescent="0.25">
      <c r="A480">
        <v>368.52481</v>
      </c>
      <c r="B480" s="1">
        <f>DATE(2011,5,4) + TIME(12,35,43)</f>
        <v>40667.52480324074</v>
      </c>
      <c r="C480">
        <v>550</v>
      </c>
      <c r="D480">
        <v>0</v>
      </c>
      <c r="E480">
        <v>0</v>
      </c>
      <c r="F480">
        <v>550</v>
      </c>
      <c r="G480">
        <v>1345.958374</v>
      </c>
      <c r="H480">
        <v>1341.2468262</v>
      </c>
      <c r="I480">
        <v>1324.1094971</v>
      </c>
      <c r="J480">
        <v>1320.8300781</v>
      </c>
      <c r="K480">
        <v>80</v>
      </c>
      <c r="L480">
        <v>73.643142699999999</v>
      </c>
      <c r="M480">
        <v>60</v>
      </c>
      <c r="N480">
        <v>59.142379761000001</v>
      </c>
    </row>
    <row r="481" spans="1:14" x14ac:dyDescent="0.25">
      <c r="A481">
        <v>368.72224399999999</v>
      </c>
      <c r="B481" s="1">
        <f>DATE(2011,5,4) + TIME(17,20,1)</f>
        <v>40667.722233796296</v>
      </c>
      <c r="C481">
        <v>550</v>
      </c>
      <c r="D481">
        <v>0</v>
      </c>
      <c r="E481">
        <v>0</v>
      </c>
      <c r="F481">
        <v>550</v>
      </c>
      <c r="G481">
        <v>1345.9674072</v>
      </c>
      <c r="H481">
        <v>1341.2630615</v>
      </c>
      <c r="I481">
        <v>1324.1085204999999</v>
      </c>
      <c r="J481">
        <v>1320.8270264</v>
      </c>
      <c r="K481">
        <v>80</v>
      </c>
      <c r="L481">
        <v>74.113853454999997</v>
      </c>
      <c r="M481">
        <v>60</v>
      </c>
      <c r="N481">
        <v>59.110462189000003</v>
      </c>
    </row>
    <row r="482" spans="1:14" x14ac:dyDescent="0.25">
      <c r="A482">
        <v>368.92794600000002</v>
      </c>
      <c r="B482" s="1">
        <f>DATE(2011,5,4) + TIME(22,16,14)</f>
        <v>40667.927939814814</v>
      </c>
      <c r="C482">
        <v>550</v>
      </c>
      <c r="D482">
        <v>0</v>
      </c>
      <c r="E482">
        <v>0</v>
      </c>
      <c r="F482">
        <v>550</v>
      </c>
      <c r="G482">
        <v>1345.9770507999999</v>
      </c>
      <c r="H482">
        <v>1341.2791748</v>
      </c>
      <c r="I482">
        <v>1324.1075439000001</v>
      </c>
      <c r="J482">
        <v>1320.8238524999999</v>
      </c>
      <c r="K482">
        <v>80</v>
      </c>
      <c r="L482">
        <v>74.566764832000004</v>
      </c>
      <c r="M482">
        <v>60</v>
      </c>
      <c r="N482">
        <v>59.077575684000003</v>
      </c>
    </row>
    <row r="483" spans="1:14" x14ac:dyDescent="0.25">
      <c r="A483">
        <v>369.14248300000003</v>
      </c>
      <c r="B483" s="1">
        <f>DATE(2011,5,5) + TIME(3,25,10)</f>
        <v>40668.142476851855</v>
      </c>
      <c r="C483">
        <v>550</v>
      </c>
      <c r="D483">
        <v>0</v>
      </c>
      <c r="E483">
        <v>0</v>
      </c>
      <c r="F483">
        <v>550</v>
      </c>
      <c r="G483">
        <v>1345.9873047000001</v>
      </c>
      <c r="H483">
        <v>1341.2950439000001</v>
      </c>
      <c r="I483">
        <v>1324.1063231999999</v>
      </c>
      <c r="J483">
        <v>1320.8205565999999</v>
      </c>
      <c r="K483">
        <v>80</v>
      </c>
      <c r="L483">
        <v>75.001296996999997</v>
      </c>
      <c r="M483">
        <v>60</v>
      </c>
      <c r="N483">
        <v>59.04366684</v>
      </c>
    </row>
    <row r="484" spans="1:14" x14ac:dyDescent="0.25">
      <c r="A484">
        <v>369.36655000000002</v>
      </c>
      <c r="B484" s="1">
        <f>DATE(2011,5,5) + TIME(8,47,49)</f>
        <v>40668.366539351853</v>
      </c>
      <c r="C484">
        <v>550</v>
      </c>
      <c r="D484">
        <v>0</v>
      </c>
      <c r="E484">
        <v>0</v>
      </c>
      <c r="F484">
        <v>550</v>
      </c>
      <c r="G484">
        <v>1345.9978027</v>
      </c>
      <c r="H484">
        <v>1341.3105469</v>
      </c>
      <c r="I484">
        <v>1324.1051024999999</v>
      </c>
      <c r="J484">
        <v>1320.8170166</v>
      </c>
      <c r="K484">
        <v>80</v>
      </c>
      <c r="L484">
        <v>75.416732788000004</v>
      </c>
      <c r="M484">
        <v>60</v>
      </c>
      <c r="N484">
        <v>59.008659363</v>
      </c>
    </row>
    <row r="485" spans="1:14" x14ac:dyDescent="0.25">
      <c r="A485">
        <v>369.60091999999997</v>
      </c>
      <c r="B485" s="1">
        <f>DATE(2011,5,5) + TIME(14,25,19)</f>
        <v>40668.600914351853</v>
      </c>
      <c r="C485">
        <v>550</v>
      </c>
      <c r="D485">
        <v>0</v>
      </c>
      <c r="E485">
        <v>0</v>
      </c>
      <c r="F485">
        <v>550</v>
      </c>
      <c r="G485">
        <v>1346.0087891000001</v>
      </c>
      <c r="H485">
        <v>1341.3258057</v>
      </c>
      <c r="I485">
        <v>1324.1037598</v>
      </c>
      <c r="J485">
        <v>1320.8133545000001</v>
      </c>
      <c r="K485">
        <v>80</v>
      </c>
      <c r="L485">
        <v>75.812988281000003</v>
      </c>
      <c r="M485">
        <v>60</v>
      </c>
      <c r="N485">
        <v>58.972469330000003</v>
      </c>
    </row>
    <row r="486" spans="1:14" x14ac:dyDescent="0.25">
      <c r="A486">
        <v>369.846452</v>
      </c>
      <c r="B486" s="1">
        <f>DATE(2011,5,5) + TIME(20,18,53)</f>
        <v>40668.846446759257</v>
      </c>
      <c r="C486">
        <v>550</v>
      </c>
      <c r="D486">
        <v>0</v>
      </c>
      <c r="E486">
        <v>0</v>
      </c>
      <c r="F486">
        <v>550</v>
      </c>
      <c r="G486">
        <v>1346.0197754000001</v>
      </c>
      <c r="H486">
        <v>1341.3405762</v>
      </c>
      <c r="I486">
        <v>1324.1022949000001</v>
      </c>
      <c r="J486">
        <v>1320.8094481999999</v>
      </c>
      <c r="K486">
        <v>80</v>
      </c>
      <c r="L486">
        <v>76.189727782999995</v>
      </c>
      <c r="M486">
        <v>60</v>
      </c>
      <c r="N486">
        <v>58.935009002999998</v>
      </c>
    </row>
    <row r="487" spans="1:14" x14ac:dyDescent="0.25">
      <c r="A487">
        <v>370.104107</v>
      </c>
      <c r="B487" s="1">
        <f>DATE(2011,5,6) + TIME(2,29,54)</f>
        <v>40669.104097222225</v>
      </c>
      <c r="C487">
        <v>550</v>
      </c>
      <c r="D487">
        <v>0</v>
      </c>
      <c r="E487">
        <v>0</v>
      </c>
      <c r="F487">
        <v>550</v>
      </c>
      <c r="G487">
        <v>1346.0308838000001</v>
      </c>
      <c r="H487">
        <v>1341.3547363</v>
      </c>
      <c r="I487">
        <v>1324.1005858999999</v>
      </c>
      <c r="J487">
        <v>1320.8052978999999</v>
      </c>
      <c r="K487">
        <v>80</v>
      </c>
      <c r="L487">
        <v>76.546646117999998</v>
      </c>
      <c r="M487">
        <v>60</v>
      </c>
      <c r="N487">
        <v>58.896179199000002</v>
      </c>
    </row>
    <row r="488" spans="1:14" x14ac:dyDescent="0.25">
      <c r="A488">
        <v>370.37496499999997</v>
      </c>
      <c r="B488" s="1">
        <f>DATE(2011,5,6) + TIME(8,59,56)</f>
        <v>40669.3749537037</v>
      </c>
      <c r="C488">
        <v>550</v>
      </c>
      <c r="D488">
        <v>0</v>
      </c>
      <c r="E488">
        <v>0</v>
      </c>
      <c r="F488">
        <v>550</v>
      </c>
      <c r="G488">
        <v>1346.0418701000001</v>
      </c>
      <c r="H488">
        <v>1341.3681641000001</v>
      </c>
      <c r="I488">
        <v>1324.0987548999999</v>
      </c>
      <c r="J488">
        <v>1320.8010254000001</v>
      </c>
      <c r="K488">
        <v>80</v>
      </c>
      <c r="L488">
        <v>76.883491516000007</v>
      </c>
      <c r="M488">
        <v>60</v>
      </c>
      <c r="N488">
        <v>58.855869292999998</v>
      </c>
    </row>
    <row r="489" spans="1:14" x14ac:dyDescent="0.25">
      <c r="A489">
        <v>370.66024099999998</v>
      </c>
      <c r="B489" s="1">
        <f>DATE(2011,5,6) + TIME(15,50,44)</f>
        <v>40669.660231481481</v>
      </c>
      <c r="C489">
        <v>550</v>
      </c>
      <c r="D489">
        <v>0</v>
      </c>
      <c r="E489">
        <v>0</v>
      </c>
      <c r="F489">
        <v>550</v>
      </c>
      <c r="G489">
        <v>1346.0524902</v>
      </c>
      <c r="H489">
        <v>1341.3809814000001</v>
      </c>
      <c r="I489">
        <v>1324.0966797000001</v>
      </c>
      <c r="J489">
        <v>1320.7963867000001</v>
      </c>
      <c r="K489">
        <v>80</v>
      </c>
      <c r="L489">
        <v>77.200065613000007</v>
      </c>
      <c r="M489">
        <v>60</v>
      </c>
      <c r="N489">
        <v>58.813949585000003</v>
      </c>
    </row>
    <row r="490" spans="1:14" x14ac:dyDescent="0.25">
      <c r="A490">
        <v>370.96131200000002</v>
      </c>
      <c r="B490" s="1">
        <f>DATE(2011,5,6) + TIME(23,4,17)</f>
        <v>40669.96130787037</v>
      </c>
      <c r="C490">
        <v>550</v>
      </c>
      <c r="D490">
        <v>0</v>
      </c>
      <c r="E490">
        <v>0</v>
      </c>
      <c r="F490">
        <v>550</v>
      </c>
      <c r="G490">
        <v>1346.0628661999999</v>
      </c>
      <c r="H490">
        <v>1341.3929443</v>
      </c>
      <c r="I490">
        <v>1324.0944824000001</v>
      </c>
      <c r="J490">
        <v>1320.7915039</v>
      </c>
      <c r="K490">
        <v>80</v>
      </c>
      <c r="L490">
        <v>77.496253967000001</v>
      </c>
      <c r="M490">
        <v>60</v>
      </c>
      <c r="N490">
        <v>58.770278931</v>
      </c>
    </row>
    <row r="491" spans="1:14" x14ac:dyDescent="0.25">
      <c r="A491">
        <v>371.27974599999999</v>
      </c>
      <c r="B491" s="1">
        <f>DATE(2011,5,7) + TIME(6,42,50)</f>
        <v>40670.279745370368</v>
      </c>
      <c r="C491">
        <v>550</v>
      </c>
      <c r="D491">
        <v>0</v>
      </c>
      <c r="E491">
        <v>0</v>
      </c>
      <c r="F491">
        <v>550</v>
      </c>
      <c r="G491">
        <v>1346.0726318</v>
      </c>
      <c r="H491">
        <v>1341.4039307</v>
      </c>
      <c r="I491">
        <v>1324.0920410000001</v>
      </c>
      <c r="J491">
        <v>1320.7862548999999</v>
      </c>
      <c r="K491">
        <v>80</v>
      </c>
      <c r="L491">
        <v>77.772003174000005</v>
      </c>
      <c r="M491">
        <v>60</v>
      </c>
      <c r="N491">
        <v>58.724704742</v>
      </c>
    </row>
    <row r="492" spans="1:14" x14ac:dyDescent="0.25">
      <c r="A492">
        <v>371.61753900000002</v>
      </c>
      <c r="B492" s="1">
        <f>DATE(2011,5,7) + TIME(14,49,15)</f>
        <v>40670.617534722223</v>
      </c>
      <c r="C492">
        <v>550</v>
      </c>
      <c r="D492">
        <v>0</v>
      </c>
      <c r="E492">
        <v>0</v>
      </c>
      <c r="F492">
        <v>550</v>
      </c>
      <c r="G492">
        <v>1346.0817870999999</v>
      </c>
      <c r="H492">
        <v>1341.4139404</v>
      </c>
      <c r="I492">
        <v>1324.0892334</v>
      </c>
      <c r="J492">
        <v>1320.7806396000001</v>
      </c>
      <c r="K492">
        <v>80</v>
      </c>
      <c r="L492">
        <v>78.027473450000002</v>
      </c>
      <c r="M492">
        <v>60</v>
      </c>
      <c r="N492">
        <v>58.677021027000002</v>
      </c>
    </row>
    <row r="493" spans="1:14" x14ac:dyDescent="0.25">
      <c r="A493">
        <v>371.97664200000003</v>
      </c>
      <c r="B493" s="1">
        <f>DATE(2011,5,7) + TIME(23,26,21)</f>
        <v>40670.976631944446</v>
      </c>
      <c r="C493">
        <v>550</v>
      </c>
      <c r="D493">
        <v>0</v>
      </c>
      <c r="E493">
        <v>0</v>
      </c>
      <c r="F493">
        <v>550</v>
      </c>
      <c r="G493">
        <v>1346.0900879000001</v>
      </c>
      <c r="H493">
        <v>1341.4227295000001</v>
      </c>
      <c r="I493">
        <v>1324.0863036999999</v>
      </c>
      <c r="J493">
        <v>1320.7746582</v>
      </c>
      <c r="K493">
        <v>80</v>
      </c>
      <c r="L493">
        <v>78.262672424000002</v>
      </c>
      <c r="M493">
        <v>60</v>
      </c>
      <c r="N493">
        <v>58.627033234000002</v>
      </c>
    </row>
    <row r="494" spans="1:14" x14ac:dyDescent="0.25">
      <c r="A494">
        <v>372.359419</v>
      </c>
      <c r="B494" s="1">
        <f>DATE(2011,5,8) + TIME(8,37,33)</f>
        <v>40671.359409722223</v>
      </c>
      <c r="C494">
        <v>550</v>
      </c>
      <c r="D494">
        <v>0</v>
      </c>
      <c r="E494">
        <v>0</v>
      </c>
      <c r="F494">
        <v>550</v>
      </c>
      <c r="G494">
        <v>1346.0974120999999</v>
      </c>
      <c r="H494">
        <v>1341.4302978999999</v>
      </c>
      <c r="I494">
        <v>1324.0830077999999</v>
      </c>
      <c r="J494">
        <v>1320.7683105000001</v>
      </c>
      <c r="K494">
        <v>80</v>
      </c>
      <c r="L494">
        <v>78.477790833</v>
      </c>
      <c r="M494">
        <v>60</v>
      </c>
      <c r="N494">
        <v>58.574512482000003</v>
      </c>
    </row>
    <row r="495" spans="1:14" x14ac:dyDescent="0.25">
      <c r="A495">
        <v>372.76867700000003</v>
      </c>
      <c r="B495" s="1">
        <f>DATE(2011,5,8) + TIME(18,26,53)</f>
        <v>40671.76866898148</v>
      </c>
      <c r="C495">
        <v>550</v>
      </c>
      <c r="D495">
        <v>0</v>
      </c>
      <c r="E495">
        <v>0</v>
      </c>
      <c r="F495">
        <v>550</v>
      </c>
      <c r="G495">
        <v>1346.1035156</v>
      </c>
      <c r="H495">
        <v>1341.4366454999999</v>
      </c>
      <c r="I495">
        <v>1324.0793457</v>
      </c>
      <c r="J495">
        <v>1320.7613524999999</v>
      </c>
      <c r="K495">
        <v>80</v>
      </c>
      <c r="L495">
        <v>78.673141478999995</v>
      </c>
      <c r="M495">
        <v>60</v>
      </c>
      <c r="N495">
        <v>58.519184113000001</v>
      </c>
    </row>
    <row r="496" spans="1:14" x14ac:dyDescent="0.25">
      <c r="A496">
        <v>373.20303899999999</v>
      </c>
      <c r="B496" s="1">
        <f>DATE(2011,5,9) + TIME(4,52,22)</f>
        <v>40672.203032407408</v>
      </c>
      <c r="C496">
        <v>550</v>
      </c>
      <c r="D496">
        <v>0</v>
      </c>
      <c r="E496">
        <v>0</v>
      </c>
      <c r="F496">
        <v>550</v>
      </c>
      <c r="G496">
        <v>1346.1086425999999</v>
      </c>
      <c r="H496">
        <v>1341.4416504000001</v>
      </c>
      <c r="I496">
        <v>1324.0751952999999</v>
      </c>
      <c r="J496">
        <v>1320.7539062000001</v>
      </c>
      <c r="K496">
        <v>80</v>
      </c>
      <c r="L496">
        <v>78.847602843999994</v>
      </c>
      <c r="M496">
        <v>60</v>
      </c>
      <c r="N496">
        <v>58.461292266999997</v>
      </c>
    </row>
    <row r="497" spans="1:14" x14ac:dyDescent="0.25">
      <c r="A497">
        <v>373.644972</v>
      </c>
      <c r="B497" s="1">
        <f>DATE(2011,5,9) + TIME(15,28,45)</f>
        <v>40672.644965277781</v>
      </c>
      <c r="C497">
        <v>550</v>
      </c>
      <c r="D497">
        <v>0</v>
      </c>
      <c r="E497">
        <v>0</v>
      </c>
      <c r="F497">
        <v>550</v>
      </c>
      <c r="G497">
        <v>1346.1131591999999</v>
      </c>
      <c r="H497">
        <v>1341.4455565999999</v>
      </c>
      <c r="I497">
        <v>1324.0706786999999</v>
      </c>
      <c r="J497">
        <v>1320.7459716999999</v>
      </c>
      <c r="K497">
        <v>80</v>
      </c>
      <c r="L497">
        <v>78.996536254999995</v>
      </c>
      <c r="M497">
        <v>60</v>
      </c>
      <c r="N497">
        <v>58.402988434000001</v>
      </c>
    </row>
    <row r="498" spans="1:14" x14ac:dyDescent="0.25">
      <c r="A498">
        <v>374.09399100000002</v>
      </c>
      <c r="B498" s="1">
        <f>DATE(2011,5,10) + TIME(2,15,20)</f>
        <v>40673.093981481485</v>
      </c>
      <c r="C498">
        <v>550</v>
      </c>
      <c r="D498">
        <v>0</v>
      </c>
      <c r="E498">
        <v>0</v>
      </c>
      <c r="F498">
        <v>550</v>
      </c>
      <c r="G498">
        <v>1346.1158447</v>
      </c>
      <c r="H498">
        <v>1341.4477539</v>
      </c>
      <c r="I498">
        <v>1324.065918</v>
      </c>
      <c r="J498">
        <v>1320.737793</v>
      </c>
      <c r="K498">
        <v>80</v>
      </c>
      <c r="L498">
        <v>79.123184203999998</v>
      </c>
      <c r="M498">
        <v>60</v>
      </c>
      <c r="N498">
        <v>58.344322204999997</v>
      </c>
    </row>
    <row r="499" spans="1:14" x14ac:dyDescent="0.25">
      <c r="A499">
        <v>374.55071700000002</v>
      </c>
      <c r="B499" s="1">
        <f>DATE(2011,5,10) + TIME(13,13,1)</f>
        <v>40673.550706018519</v>
      </c>
      <c r="C499">
        <v>550</v>
      </c>
      <c r="D499">
        <v>0</v>
      </c>
      <c r="E499">
        <v>0</v>
      </c>
      <c r="F499">
        <v>550</v>
      </c>
      <c r="G499">
        <v>1346.1169434000001</v>
      </c>
      <c r="H499">
        <v>1341.4484863</v>
      </c>
      <c r="I499">
        <v>1324.0610352000001</v>
      </c>
      <c r="J499">
        <v>1320.7293701000001</v>
      </c>
      <c r="K499">
        <v>80</v>
      </c>
      <c r="L499">
        <v>79.230697632000002</v>
      </c>
      <c r="M499">
        <v>60</v>
      </c>
      <c r="N499">
        <v>58.285221100000001</v>
      </c>
    </row>
    <row r="500" spans="1:14" x14ac:dyDescent="0.25">
      <c r="A500">
        <v>375.01621999999998</v>
      </c>
      <c r="B500" s="1">
        <f>DATE(2011,5,11) + TIME(0,23,21)</f>
        <v>40674.016215277778</v>
      </c>
      <c r="C500">
        <v>550</v>
      </c>
      <c r="D500">
        <v>0</v>
      </c>
      <c r="E500">
        <v>0</v>
      </c>
      <c r="F500">
        <v>550</v>
      </c>
      <c r="G500">
        <v>1346.1162108999999</v>
      </c>
      <c r="H500">
        <v>1341.4477539</v>
      </c>
      <c r="I500">
        <v>1324.0557861</v>
      </c>
      <c r="J500">
        <v>1320.7205810999999</v>
      </c>
      <c r="K500">
        <v>80</v>
      </c>
      <c r="L500">
        <v>79.321899414000001</v>
      </c>
      <c r="M500">
        <v>60</v>
      </c>
      <c r="N500">
        <v>58.225563049000002</v>
      </c>
    </row>
    <row r="501" spans="1:14" x14ac:dyDescent="0.25">
      <c r="A501">
        <v>375.49170700000002</v>
      </c>
      <c r="B501" s="1">
        <f>DATE(2011,5,11) + TIME(11,48,3)</f>
        <v>40674.491701388892</v>
      </c>
      <c r="C501">
        <v>550</v>
      </c>
      <c r="D501">
        <v>0</v>
      </c>
      <c r="E501">
        <v>0</v>
      </c>
      <c r="F501">
        <v>550</v>
      </c>
      <c r="G501">
        <v>1346.1140137</v>
      </c>
      <c r="H501">
        <v>1341.4458007999999</v>
      </c>
      <c r="I501">
        <v>1324.050293</v>
      </c>
      <c r="J501">
        <v>1320.7115478999999</v>
      </c>
      <c r="K501">
        <v>80</v>
      </c>
      <c r="L501">
        <v>79.399185181000007</v>
      </c>
      <c r="M501">
        <v>60</v>
      </c>
      <c r="N501">
        <v>58.165206908999998</v>
      </c>
    </row>
    <row r="502" spans="1:14" x14ac:dyDescent="0.25">
      <c r="A502">
        <v>375.97844800000001</v>
      </c>
      <c r="B502" s="1">
        <f>DATE(2011,5,11) + TIME(23,28,57)</f>
        <v>40674.978437500002</v>
      </c>
      <c r="C502">
        <v>550</v>
      </c>
      <c r="D502">
        <v>0</v>
      </c>
      <c r="E502">
        <v>0</v>
      </c>
      <c r="F502">
        <v>550</v>
      </c>
      <c r="G502">
        <v>1346.1103516000001</v>
      </c>
      <c r="H502">
        <v>1341.4425048999999</v>
      </c>
      <c r="I502">
        <v>1324.0445557</v>
      </c>
      <c r="J502">
        <v>1320.7022704999999</v>
      </c>
      <c r="K502">
        <v>80</v>
      </c>
      <c r="L502">
        <v>79.464599609000004</v>
      </c>
      <c r="M502">
        <v>60</v>
      </c>
      <c r="N502">
        <v>58.104019164999997</v>
      </c>
    </row>
    <row r="503" spans="1:14" x14ac:dyDescent="0.25">
      <c r="A503">
        <v>376.47780299999999</v>
      </c>
      <c r="B503" s="1">
        <f>DATE(2011,5,12) + TIME(11,28,2)</f>
        <v>40675.477800925924</v>
      </c>
      <c r="C503">
        <v>550</v>
      </c>
      <c r="D503">
        <v>0</v>
      </c>
      <c r="E503">
        <v>0</v>
      </c>
      <c r="F503">
        <v>550</v>
      </c>
      <c r="G503">
        <v>1346.1054687999999</v>
      </c>
      <c r="H503">
        <v>1341.4382324000001</v>
      </c>
      <c r="I503">
        <v>1324.0385742000001</v>
      </c>
      <c r="J503">
        <v>1320.6926269999999</v>
      </c>
      <c r="K503">
        <v>80</v>
      </c>
      <c r="L503">
        <v>79.519897460999999</v>
      </c>
      <c r="M503">
        <v>60</v>
      </c>
      <c r="N503">
        <v>58.041854858000001</v>
      </c>
    </row>
    <row r="504" spans="1:14" x14ac:dyDescent="0.25">
      <c r="A504">
        <v>376.99123900000001</v>
      </c>
      <c r="B504" s="1">
        <f>DATE(2011,5,12) + TIME(23,47,23)</f>
        <v>40675.991238425922</v>
      </c>
      <c r="C504">
        <v>550</v>
      </c>
      <c r="D504">
        <v>0</v>
      </c>
      <c r="E504">
        <v>0</v>
      </c>
      <c r="F504">
        <v>550</v>
      </c>
      <c r="G504">
        <v>1346.0991211</v>
      </c>
      <c r="H504">
        <v>1341.4329834</v>
      </c>
      <c r="I504">
        <v>1324.0322266000001</v>
      </c>
      <c r="J504">
        <v>1320.6824951000001</v>
      </c>
      <c r="K504">
        <v>80</v>
      </c>
      <c r="L504">
        <v>79.566551208000007</v>
      </c>
      <c r="M504">
        <v>60</v>
      </c>
      <c r="N504">
        <v>57.978561401</v>
      </c>
    </row>
    <row r="505" spans="1:14" x14ac:dyDescent="0.25">
      <c r="A505">
        <v>377.51685199999997</v>
      </c>
      <c r="B505" s="1">
        <f>DATE(2011,5,13) + TIME(12,24,16)</f>
        <v>40676.516851851855</v>
      </c>
      <c r="C505">
        <v>550</v>
      </c>
      <c r="D505">
        <v>0</v>
      </c>
      <c r="E505">
        <v>0</v>
      </c>
      <c r="F505">
        <v>550</v>
      </c>
      <c r="G505">
        <v>1346.0917969</v>
      </c>
      <c r="H505">
        <v>1341.4267577999999</v>
      </c>
      <c r="I505">
        <v>1324.0256348</v>
      </c>
      <c r="J505">
        <v>1320.6719971</v>
      </c>
      <c r="K505">
        <v>80</v>
      </c>
      <c r="L505">
        <v>79.605644225999995</v>
      </c>
      <c r="M505">
        <v>60</v>
      </c>
      <c r="N505">
        <v>57.914352417000003</v>
      </c>
    </row>
    <row r="506" spans="1:14" x14ac:dyDescent="0.25">
      <c r="A506">
        <v>378.05525399999999</v>
      </c>
      <c r="B506" s="1">
        <f>DATE(2011,5,14) + TIME(1,19,33)</f>
        <v>40677.055243055554</v>
      </c>
      <c r="C506">
        <v>550</v>
      </c>
      <c r="D506">
        <v>0</v>
      </c>
      <c r="E506">
        <v>0</v>
      </c>
      <c r="F506">
        <v>550</v>
      </c>
      <c r="G506">
        <v>1346.0832519999999</v>
      </c>
      <c r="H506">
        <v>1341.4196777</v>
      </c>
      <c r="I506">
        <v>1324.0186768000001</v>
      </c>
      <c r="J506">
        <v>1320.6611327999999</v>
      </c>
      <c r="K506">
        <v>80</v>
      </c>
      <c r="L506">
        <v>79.638320922999995</v>
      </c>
      <c r="M506">
        <v>60</v>
      </c>
      <c r="N506">
        <v>57.849178314</v>
      </c>
    </row>
    <row r="507" spans="1:14" x14ac:dyDescent="0.25">
      <c r="A507">
        <v>378.60777100000001</v>
      </c>
      <c r="B507" s="1">
        <f>DATE(2011,5,14) + TIME(14,35,11)</f>
        <v>40677.607766203706</v>
      </c>
      <c r="C507">
        <v>550</v>
      </c>
      <c r="D507">
        <v>0</v>
      </c>
      <c r="E507">
        <v>0</v>
      </c>
      <c r="F507">
        <v>550</v>
      </c>
      <c r="G507">
        <v>1346.0737305</v>
      </c>
      <c r="H507">
        <v>1341.4119873</v>
      </c>
      <c r="I507">
        <v>1324.0113524999999</v>
      </c>
      <c r="J507">
        <v>1320.6497803</v>
      </c>
      <c r="K507">
        <v>80</v>
      </c>
      <c r="L507">
        <v>79.665611267000003</v>
      </c>
      <c r="M507">
        <v>60</v>
      </c>
      <c r="N507">
        <v>57.782905579000001</v>
      </c>
    </row>
    <row r="508" spans="1:14" x14ac:dyDescent="0.25">
      <c r="A508">
        <v>379.17583100000002</v>
      </c>
      <c r="B508" s="1">
        <f>DATE(2011,5,15) + TIME(4,13,11)</f>
        <v>40678.175821759258</v>
      </c>
      <c r="C508">
        <v>550</v>
      </c>
      <c r="D508">
        <v>0</v>
      </c>
      <c r="E508">
        <v>0</v>
      </c>
      <c r="F508">
        <v>550</v>
      </c>
      <c r="G508">
        <v>1346.0632324000001</v>
      </c>
      <c r="H508">
        <v>1341.4034423999999</v>
      </c>
      <c r="I508">
        <v>1324.0037841999999</v>
      </c>
      <c r="J508">
        <v>1320.6379394999999</v>
      </c>
      <c r="K508">
        <v>80</v>
      </c>
      <c r="L508">
        <v>79.688377380000006</v>
      </c>
      <c r="M508">
        <v>60</v>
      </c>
      <c r="N508">
        <v>57.715393065999997</v>
      </c>
    </row>
    <row r="509" spans="1:14" x14ac:dyDescent="0.25">
      <c r="A509">
        <v>379.76099599999998</v>
      </c>
      <c r="B509" s="1">
        <f>DATE(2011,5,15) + TIME(18,15,50)</f>
        <v>40678.760995370372</v>
      </c>
      <c r="C509">
        <v>550</v>
      </c>
      <c r="D509">
        <v>0</v>
      </c>
      <c r="E509">
        <v>0</v>
      </c>
      <c r="F509">
        <v>550</v>
      </c>
      <c r="G509">
        <v>1346.0518798999999</v>
      </c>
      <c r="H509">
        <v>1341.3942870999999</v>
      </c>
      <c r="I509">
        <v>1323.9958495999999</v>
      </c>
      <c r="J509">
        <v>1320.6257324000001</v>
      </c>
      <c r="K509">
        <v>80</v>
      </c>
      <c r="L509">
        <v>79.707344054999993</v>
      </c>
      <c r="M509">
        <v>60</v>
      </c>
      <c r="N509">
        <v>57.646492004000002</v>
      </c>
    </row>
    <row r="510" spans="1:14" x14ac:dyDescent="0.25">
      <c r="A510">
        <v>380.36498999999998</v>
      </c>
      <c r="B510" s="1">
        <f>DATE(2011,5,16) + TIME(8,45,35)</f>
        <v>40679.364988425928</v>
      </c>
      <c r="C510">
        <v>550</v>
      </c>
      <c r="D510">
        <v>0</v>
      </c>
      <c r="E510">
        <v>0</v>
      </c>
      <c r="F510">
        <v>550</v>
      </c>
      <c r="G510">
        <v>1346.0396728999999</v>
      </c>
      <c r="H510">
        <v>1341.3846435999999</v>
      </c>
      <c r="I510">
        <v>1323.9874268000001</v>
      </c>
      <c r="J510">
        <v>1320.6129149999999</v>
      </c>
      <c r="K510">
        <v>80</v>
      </c>
      <c r="L510">
        <v>79.723144531000003</v>
      </c>
      <c r="M510">
        <v>60</v>
      </c>
      <c r="N510">
        <v>57.576045989999997</v>
      </c>
    </row>
    <row r="511" spans="1:14" x14ac:dyDescent="0.25">
      <c r="A511">
        <v>380.98972099999997</v>
      </c>
      <c r="B511" s="1">
        <f>DATE(2011,5,16) + TIME(23,45,11)</f>
        <v>40679.989710648151</v>
      </c>
      <c r="C511">
        <v>550</v>
      </c>
      <c r="D511">
        <v>0</v>
      </c>
      <c r="E511">
        <v>0</v>
      </c>
      <c r="F511">
        <v>550</v>
      </c>
      <c r="G511">
        <v>1346.0266113</v>
      </c>
      <c r="H511">
        <v>1341.3742675999999</v>
      </c>
      <c r="I511">
        <v>1323.9787598</v>
      </c>
      <c r="J511">
        <v>1320.5994873</v>
      </c>
      <c r="K511">
        <v>80</v>
      </c>
      <c r="L511">
        <v>79.736289978000002</v>
      </c>
      <c r="M511">
        <v>60</v>
      </c>
      <c r="N511">
        <v>57.503871918000002</v>
      </c>
    </row>
    <row r="512" spans="1:14" x14ac:dyDescent="0.25">
      <c r="A512">
        <v>381.63569899999999</v>
      </c>
      <c r="B512" s="1">
        <f>DATE(2011,5,17) + TIME(15,15,24)</f>
        <v>40680.635694444441</v>
      </c>
      <c r="C512">
        <v>550</v>
      </c>
      <c r="D512">
        <v>0</v>
      </c>
      <c r="E512">
        <v>0</v>
      </c>
      <c r="F512">
        <v>550</v>
      </c>
      <c r="G512">
        <v>1346.0128173999999</v>
      </c>
      <c r="H512">
        <v>1341.3635254000001</v>
      </c>
      <c r="I512">
        <v>1323.9694824000001</v>
      </c>
      <c r="J512">
        <v>1320.5854492000001</v>
      </c>
      <c r="K512">
        <v>80</v>
      </c>
      <c r="L512">
        <v>79.747192382999998</v>
      </c>
      <c r="M512">
        <v>60</v>
      </c>
      <c r="N512">
        <v>57.429946899000001</v>
      </c>
    </row>
    <row r="513" spans="1:14" x14ac:dyDescent="0.25">
      <c r="A513">
        <v>382.30031400000001</v>
      </c>
      <c r="B513" s="1">
        <f>DATE(2011,5,18) + TIME(7,12,27)</f>
        <v>40681.300312500003</v>
      </c>
      <c r="C513">
        <v>550</v>
      </c>
      <c r="D513">
        <v>0</v>
      </c>
      <c r="E513">
        <v>0</v>
      </c>
      <c r="F513">
        <v>550</v>
      </c>
      <c r="G513">
        <v>1345.9982910000001</v>
      </c>
      <c r="H513">
        <v>1341.3521728999999</v>
      </c>
      <c r="I513">
        <v>1323.9598389</v>
      </c>
      <c r="J513">
        <v>1320.5706786999999</v>
      </c>
      <c r="K513">
        <v>80</v>
      </c>
      <c r="L513">
        <v>79.756195067999997</v>
      </c>
      <c r="M513">
        <v>60</v>
      </c>
      <c r="N513">
        <v>57.354537964000002</v>
      </c>
    </row>
    <row r="514" spans="1:14" x14ac:dyDescent="0.25">
      <c r="A514">
        <v>382.98543000000001</v>
      </c>
      <c r="B514" s="1">
        <f>DATE(2011,5,18) + TIME(23,39,1)</f>
        <v>40681.98542824074</v>
      </c>
      <c r="C514">
        <v>550</v>
      </c>
      <c r="D514">
        <v>0</v>
      </c>
      <c r="E514">
        <v>0</v>
      </c>
      <c r="F514">
        <v>550</v>
      </c>
      <c r="G514">
        <v>1345.9831543</v>
      </c>
      <c r="H514">
        <v>1341.3404541</v>
      </c>
      <c r="I514">
        <v>1323.949707</v>
      </c>
      <c r="J514">
        <v>1320.5552978999999</v>
      </c>
      <c r="K514">
        <v>80</v>
      </c>
      <c r="L514">
        <v>79.763626099000007</v>
      </c>
      <c r="M514">
        <v>60</v>
      </c>
      <c r="N514">
        <v>57.277481078999998</v>
      </c>
    </row>
    <row r="515" spans="1:14" x14ac:dyDescent="0.25">
      <c r="A515">
        <v>383.69290699999999</v>
      </c>
      <c r="B515" s="1">
        <f>DATE(2011,5,19) + TIME(16,37,47)</f>
        <v>40682.69290509259</v>
      </c>
      <c r="C515">
        <v>550</v>
      </c>
      <c r="D515">
        <v>0</v>
      </c>
      <c r="E515">
        <v>0</v>
      </c>
      <c r="F515">
        <v>550</v>
      </c>
      <c r="G515">
        <v>1345.9672852000001</v>
      </c>
      <c r="H515">
        <v>1341.3283690999999</v>
      </c>
      <c r="I515">
        <v>1323.9390868999999</v>
      </c>
      <c r="J515">
        <v>1320.5393065999999</v>
      </c>
      <c r="K515">
        <v>80</v>
      </c>
      <c r="L515">
        <v>79.769783020000006</v>
      </c>
      <c r="M515">
        <v>60</v>
      </c>
      <c r="N515">
        <v>57.198623656999999</v>
      </c>
    </row>
    <row r="516" spans="1:14" x14ac:dyDescent="0.25">
      <c r="A516">
        <v>384.42482000000001</v>
      </c>
      <c r="B516" s="1">
        <f>DATE(2011,5,20) + TIME(10,11,44)</f>
        <v>40683.424814814818</v>
      </c>
      <c r="C516">
        <v>550</v>
      </c>
      <c r="D516">
        <v>0</v>
      </c>
      <c r="E516">
        <v>0</v>
      </c>
      <c r="F516">
        <v>550</v>
      </c>
      <c r="G516">
        <v>1345.9509277</v>
      </c>
      <c r="H516">
        <v>1341.3157959</v>
      </c>
      <c r="I516">
        <v>1323.9279785000001</v>
      </c>
      <c r="J516">
        <v>1320.5224608999999</v>
      </c>
      <c r="K516">
        <v>80</v>
      </c>
      <c r="L516">
        <v>79.774887085000003</v>
      </c>
      <c r="M516">
        <v>60</v>
      </c>
      <c r="N516">
        <v>57.117778778000002</v>
      </c>
    </row>
    <row r="517" spans="1:14" x14ac:dyDescent="0.25">
      <c r="A517">
        <v>385.183967</v>
      </c>
      <c r="B517" s="1">
        <f>DATE(2011,5,21) + TIME(4,24,54)</f>
        <v>40684.183958333335</v>
      </c>
      <c r="C517">
        <v>550</v>
      </c>
      <c r="D517">
        <v>0</v>
      </c>
      <c r="E517">
        <v>0</v>
      </c>
      <c r="F517">
        <v>550</v>
      </c>
      <c r="G517">
        <v>1345.934082</v>
      </c>
      <c r="H517">
        <v>1341.3029785000001</v>
      </c>
      <c r="I517">
        <v>1323.9163818</v>
      </c>
      <c r="J517">
        <v>1320.5047606999999</v>
      </c>
      <c r="K517">
        <v>80</v>
      </c>
      <c r="L517">
        <v>79.779129028</v>
      </c>
      <c r="M517">
        <v>60</v>
      </c>
      <c r="N517">
        <v>57.034713744999998</v>
      </c>
    </row>
    <row r="518" spans="1:14" x14ac:dyDescent="0.25">
      <c r="A518">
        <v>385.97330399999998</v>
      </c>
      <c r="B518" s="1">
        <f>DATE(2011,5,21) + TIME(23,21,33)</f>
        <v>40684.973298611112</v>
      </c>
      <c r="C518">
        <v>550</v>
      </c>
      <c r="D518">
        <v>0</v>
      </c>
      <c r="E518">
        <v>0</v>
      </c>
      <c r="F518">
        <v>550</v>
      </c>
      <c r="G518">
        <v>1345.916626</v>
      </c>
      <c r="H518">
        <v>1341.2897949000001</v>
      </c>
      <c r="I518">
        <v>1323.9040527</v>
      </c>
      <c r="J518">
        <v>1320.4862060999999</v>
      </c>
      <c r="K518">
        <v>80</v>
      </c>
      <c r="L518">
        <v>79.782669067</v>
      </c>
      <c r="M518">
        <v>60</v>
      </c>
      <c r="N518">
        <v>56.949176788000003</v>
      </c>
    </row>
    <row r="519" spans="1:14" x14ac:dyDescent="0.25">
      <c r="A519">
        <v>386.79249199999998</v>
      </c>
      <c r="B519" s="1">
        <f>DATE(2011,5,22) + TIME(19,1,11)</f>
        <v>40685.792488425926</v>
      </c>
      <c r="C519">
        <v>550</v>
      </c>
      <c r="D519">
        <v>0</v>
      </c>
      <c r="E519">
        <v>0</v>
      </c>
      <c r="F519">
        <v>550</v>
      </c>
      <c r="G519">
        <v>1345.8985596</v>
      </c>
      <c r="H519">
        <v>1341.2763672000001</v>
      </c>
      <c r="I519">
        <v>1323.8911132999999</v>
      </c>
      <c r="J519">
        <v>1320.4666748</v>
      </c>
      <c r="K519">
        <v>80</v>
      </c>
      <c r="L519">
        <v>79.785621642999999</v>
      </c>
      <c r="M519">
        <v>60</v>
      </c>
      <c r="N519">
        <v>56.861221313000001</v>
      </c>
    </row>
    <row r="520" spans="1:14" x14ac:dyDescent="0.25">
      <c r="A520">
        <v>387.62148000000002</v>
      </c>
      <c r="B520" s="1">
        <f>DATE(2011,5,23) + TIME(14,54,55)</f>
        <v>40686.621469907404</v>
      </c>
      <c r="C520">
        <v>550</v>
      </c>
      <c r="D520">
        <v>0</v>
      </c>
      <c r="E520">
        <v>0</v>
      </c>
      <c r="F520">
        <v>550</v>
      </c>
      <c r="G520">
        <v>1345.8800048999999</v>
      </c>
      <c r="H520">
        <v>1341.2624512</v>
      </c>
      <c r="I520">
        <v>1323.8775635</v>
      </c>
      <c r="J520">
        <v>1320.4462891000001</v>
      </c>
      <c r="K520">
        <v>80</v>
      </c>
      <c r="L520">
        <v>79.788032532000003</v>
      </c>
      <c r="M520">
        <v>60</v>
      </c>
      <c r="N520">
        <v>56.772640228</v>
      </c>
    </row>
    <row r="521" spans="1:14" x14ac:dyDescent="0.25">
      <c r="A521">
        <v>388.46290599999998</v>
      </c>
      <c r="B521" s="1">
        <f>DATE(2011,5,24) + TIME(11,6,35)</f>
        <v>40687.462905092594</v>
      </c>
      <c r="C521">
        <v>550</v>
      </c>
      <c r="D521">
        <v>0</v>
      </c>
      <c r="E521">
        <v>0</v>
      </c>
      <c r="F521">
        <v>550</v>
      </c>
      <c r="G521">
        <v>1345.8615723</v>
      </c>
      <c r="H521">
        <v>1341.2487793</v>
      </c>
      <c r="I521">
        <v>1323.8636475000001</v>
      </c>
      <c r="J521">
        <v>1320.4251709</v>
      </c>
      <c r="K521">
        <v>80</v>
      </c>
      <c r="L521">
        <v>79.790031432999996</v>
      </c>
      <c r="M521">
        <v>60</v>
      </c>
      <c r="N521">
        <v>56.683242798000002</v>
      </c>
    </row>
    <row r="522" spans="1:14" x14ac:dyDescent="0.25">
      <c r="A522">
        <v>389.31924900000001</v>
      </c>
      <c r="B522" s="1">
        <f>DATE(2011,5,25) + TIME(7,39,43)</f>
        <v>40688.319247685184</v>
      </c>
      <c r="C522">
        <v>550</v>
      </c>
      <c r="D522">
        <v>0</v>
      </c>
      <c r="E522">
        <v>0</v>
      </c>
      <c r="F522">
        <v>550</v>
      </c>
      <c r="G522">
        <v>1345.8430175999999</v>
      </c>
      <c r="H522">
        <v>1341.2349853999999</v>
      </c>
      <c r="I522">
        <v>1323.8492432</v>
      </c>
      <c r="J522">
        <v>1320.4034423999999</v>
      </c>
      <c r="K522">
        <v>80</v>
      </c>
      <c r="L522">
        <v>79.791687011999997</v>
      </c>
      <c r="M522">
        <v>60</v>
      </c>
      <c r="N522">
        <v>56.592842101999999</v>
      </c>
    </row>
    <row r="523" spans="1:14" x14ac:dyDescent="0.25">
      <c r="A523">
        <v>390.193153</v>
      </c>
      <c r="B523" s="1">
        <f>DATE(2011,5,26) + TIME(4,38,8)</f>
        <v>40689.193148148152</v>
      </c>
      <c r="C523">
        <v>550</v>
      </c>
      <c r="D523">
        <v>0</v>
      </c>
      <c r="E523">
        <v>0</v>
      </c>
      <c r="F523">
        <v>550</v>
      </c>
      <c r="G523">
        <v>1345.8243408000001</v>
      </c>
      <c r="H523">
        <v>1341.2213135</v>
      </c>
      <c r="I523">
        <v>1323.8343506000001</v>
      </c>
      <c r="J523">
        <v>1320.3811035000001</v>
      </c>
      <c r="K523">
        <v>80</v>
      </c>
      <c r="L523">
        <v>79.793083190999994</v>
      </c>
      <c r="M523">
        <v>60</v>
      </c>
      <c r="N523">
        <v>56.501224518000001</v>
      </c>
    </row>
    <row r="524" spans="1:14" x14ac:dyDescent="0.25">
      <c r="A524">
        <v>391.08346</v>
      </c>
      <c r="B524" s="1">
        <f>DATE(2011,5,27) + TIME(2,0,10)</f>
        <v>40690.083449074074</v>
      </c>
      <c r="C524">
        <v>550</v>
      </c>
      <c r="D524">
        <v>0</v>
      </c>
      <c r="E524">
        <v>0</v>
      </c>
      <c r="F524">
        <v>550</v>
      </c>
      <c r="G524">
        <v>1345.8056641000001</v>
      </c>
      <c r="H524">
        <v>1341.2076416</v>
      </c>
      <c r="I524">
        <v>1323.8190918</v>
      </c>
      <c r="J524">
        <v>1320.3579102000001</v>
      </c>
      <c r="K524">
        <v>80</v>
      </c>
      <c r="L524">
        <v>79.794258118000002</v>
      </c>
      <c r="M524">
        <v>60</v>
      </c>
      <c r="N524">
        <v>56.408512115000001</v>
      </c>
    </row>
    <row r="525" spans="1:14" x14ac:dyDescent="0.25">
      <c r="A525">
        <v>391.98601300000001</v>
      </c>
      <c r="B525" s="1">
        <f>DATE(2011,5,27) + TIME(23,39,51)</f>
        <v>40690.986006944448</v>
      </c>
      <c r="C525">
        <v>550</v>
      </c>
      <c r="D525">
        <v>0</v>
      </c>
      <c r="E525">
        <v>0</v>
      </c>
      <c r="F525">
        <v>550</v>
      </c>
      <c r="G525">
        <v>1345.7869873</v>
      </c>
      <c r="H525">
        <v>1341.1939697</v>
      </c>
      <c r="I525">
        <v>1323.8032227000001</v>
      </c>
      <c r="J525">
        <v>1320.3339844</v>
      </c>
      <c r="K525">
        <v>80</v>
      </c>
      <c r="L525">
        <v>79.795249939000001</v>
      </c>
      <c r="M525">
        <v>60</v>
      </c>
      <c r="N525">
        <v>56.315067290999998</v>
      </c>
    </row>
    <row r="526" spans="1:14" x14ac:dyDescent="0.25">
      <c r="A526">
        <v>392.903144</v>
      </c>
      <c r="B526" s="1">
        <f>DATE(2011,5,28) + TIME(21,40,31)</f>
        <v>40691.903136574074</v>
      </c>
      <c r="C526">
        <v>550</v>
      </c>
      <c r="D526">
        <v>0</v>
      </c>
      <c r="E526">
        <v>0</v>
      </c>
      <c r="F526">
        <v>550</v>
      </c>
      <c r="G526">
        <v>1345.7683105000001</v>
      </c>
      <c r="H526">
        <v>1341.1804199000001</v>
      </c>
      <c r="I526">
        <v>1323.7869873</v>
      </c>
      <c r="J526">
        <v>1320.3094481999999</v>
      </c>
      <c r="K526">
        <v>80</v>
      </c>
      <c r="L526">
        <v>79.796089171999995</v>
      </c>
      <c r="M526">
        <v>60</v>
      </c>
      <c r="N526">
        <v>56.220714569000002</v>
      </c>
    </row>
    <row r="527" spans="1:14" x14ac:dyDescent="0.25">
      <c r="A527">
        <v>393.83719100000002</v>
      </c>
      <c r="B527" s="1">
        <f>DATE(2011,5,29) + TIME(20,5,33)</f>
        <v>40692.837187500001</v>
      </c>
      <c r="C527">
        <v>550</v>
      </c>
      <c r="D527">
        <v>0</v>
      </c>
      <c r="E527">
        <v>0</v>
      </c>
      <c r="F527">
        <v>550</v>
      </c>
      <c r="G527">
        <v>1345.7496338000001</v>
      </c>
      <c r="H527">
        <v>1341.1668701000001</v>
      </c>
      <c r="I527">
        <v>1323.7702637</v>
      </c>
      <c r="J527">
        <v>1320.2840576000001</v>
      </c>
      <c r="K527">
        <v>80</v>
      </c>
      <c r="L527">
        <v>79.796806334999999</v>
      </c>
      <c r="M527">
        <v>60</v>
      </c>
      <c r="N527">
        <v>56.125274658000002</v>
      </c>
    </row>
    <row r="528" spans="1:14" x14ac:dyDescent="0.25">
      <c r="A528">
        <v>394.790616</v>
      </c>
      <c r="B528" s="1">
        <f>DATE(2011,5,30) + TIME(18,58,29)</f>
        <v>40693.790613425925</v>
      </c>
      <c r="C528">
        <v>550</v>
      </c>
      <c r="D528">
        <v>0</v>
      </c>
      <c r="E528">
        <v>0</v>
      </c>
      <c r="F528">
        <v>550</v>
      </c>
      <c r="G528">
        <v>1345.7310791</v>
      </c>
      <c r="H528">
        <v>1341.1534423999999</v>
      </c>
      <c r="I528">
        <v>1323.7530518000001</v>
      </c>
      <c r="J528">
        <v>1320.2579346</v>
      </c>
      <c r="K528">
        <v>80</v>
      </c>
      <c r="L528">
        <v>79.797416686999995</v>
      </c>
      <c r="M528">
        <v>60</v>
      </c>
      <c r="N528">
        <v>56.028549194</v>
      </c>
    </row>
    <row r="529" spans="1:14" x14ac:dyDescent="0.25">
      <c r="A529">
        <v>395.76612999999998</v>
      </c>
      <c r="B529" s="1">
        <f>DATE(2011,5,31) + TIME(18,23,13)</f>
        <v>40694.766122685185</v>
      </c>
      <c r="C529">
        <v>550</v>
      </c>
      <c r="D529">
        <v>0</v>
      </c>
      <c r="E529">
        <v>0</v>
      </c>
      <c r="F529">
        <v>550</v>
      </c>
      <c r="G529">
        <v>1345.7124022999999</v>
      </c>
      <c r="H529">
        <v>1341.1400146000001</v>
      </c>
      <c r="I529">
        <v>1323.7353516000001</v>
      </c>
      <c r="J529">
        <v>1320.230957</v>
      </c>
      <c r="K529">
        <v>80</v>
      </c>
      <c r="L529">
        <v>79.797950744999994</v>
      </c>
      <c r="M529">
        <v>60</v>
      </c>
      <c r="N529">
        <v>55.930316925</v>
      </c>
    </row>
    <row r="530" spans="1:14" x14ac:dyDescent="0.25">
      <c r="A530">
        <v>396</v>
      </c>
      <c r="B530" s="1">
        <f>DATE(2011,6,1) + TIME(0,0,0)</f>
        <v>40695</v>
      </c>
      <c r="C530">
        <v>550</v>
      </c>
      <c r="D530">
        <v>0</v>
      </c>
      <c r="E530">
        <v>0</v>
      </c>
      <c r="F530">
        <v>550</v>
      </c>
      <c r="G530">
        <v>1345.6940918</v>
      </c>
      <c r="H530">
        <v>1341.1268310999999</v>
      </c>
      <c r="I530">
        <v>1323.7182617000001</v>
      </c>
      <c r="J530">
        <v>1320.2082519999999</v>
      </c>
      <c r="K530">
        <v>80</v>
      </c>
      <c r="L530">
        <v>79.798057556000003</v>
      </c>
      <c r="M530">
        <v>60</v>
      </c>
      <c r="N530">
        <v>55.902805327999999</v>
      </c>
    </row>
    <row r="531" spans="1:14" x14ac:dyDescent="0.25">
      <c r="A531">
        <v>397.00177500000001</v>
      </c>
      <c r="B531" s="1">
        <f>DATE(2011,6,2) + TIME(0,2,33)</f>
        <v>40696.001770833333</v>
      </c>
      <c r="C531">
        <v>550</v>
      </c>
      <c r="D531">
        <v>0</v>
      </c>
      <c r="E531">
        <v>0</v>
      </c>
      <c r="F531">
        <v>550</v>
      </c>
      <c r="G531">
        <v>1345.6893310999999</v>
      </c>
      <c r="H531">
        <v>1341.1234131000001</v>
      </c>
      <c r="I531">
        <v>1323.7121582</v>
      </c>
      <c r="J531">
        <v>1320.1955565999999</v>
      </c>
      <c r="K531">
        <v>80</v>
      </c>
      <c r="L531">
        <v>79.798507689999994</v>
      </c>
      <c r="M531">
        <v>60</v>
      </c>
      <c r="N531">
        <v>55.803592682000001</v>
      </c>
    </row>
    <row r="532" spans="1:14" x14ac:dyDescent="0.25">
      <c r="A532">
        <v>398.03364199999999</v>
      </c>
      <c r="B532" s="1">
        <f>DATE(2011,6,3) + TIME(0,48,26)</f>
        <v>40697.033634259256</v>
      </c>
      <c r="C532">
        <v>550</v>
      </c>
      <c r="D532">
        <v>0</v>
      </c>
      <c r="E532">
        <v>0</v>
      </c>
      <c r="F532">
        <v>550</v>
      </c>
      <c r="G532">
        <v>1345.6705322</v>
      </c>
      <c r="H532">
        <v>1341.1099853999999</v>
      </c>
      <c r="I532">
        <v>1323.6931152</v>
      </c>
      <c r="J532">
        <v>1320.1665039</v>
      </c>
      <c r="K532">
        <v>80</v>
      </c>
      <c r="L532">
        <v>79.798896790000001</v>
      </c>
      <c r="M532">
        <v>60</v>
      </c>
      <c r="N532">
        <v>55.702091217000003</v>
      </c>
    </row>
    <row r="533" spans="1:14" x14ac:dyDescent="0.25">
      <c r="A533">
        <v>399.083213</v>
      </c>
      <c r="B533" s="1">
        <f>DATE(2011,6,4) + TIME(1,59,49)</f>
        <v>40698.08320601852</v>
      </c>
      <c r="C533">
        <v>550</v>
      </c>
      <c r="D533">
        <v>0</v>
      </c>
      <c r="E533">
        <v>0</v>
      </c>
      <c r="F533">
        <v>550</v>
      </c>
      <c r="G533">
        <v>1345.6517334</v>
      </c>
      <c r="H533">
        <v>1341.0965576000001</v>
      </c>
      <c r="I533">
        <v>1323.6733397999999</v>
      </c>
      <c r="J533">
        <v>1320.1363524999999</v>
      </c>
      <c r="K533">
        <v>80</v>
      </c>
      <c r="L533">
        <v>79.799232482999997</v>
      </c>
      <c r="M533">
        <v>60</v>
      </c>
      <c r="N533">
        <v>55.599269866999997</v>
      </c>
    </row>
    <row r="534" spans="1:14" x14ac:dyDescent="0.25">
      <c r="A534">
        <v>400.15313500000002</v>
      </c>
      <c r="B534" s="1">
        <f>DATE(2011,6,5) + TIME(3,40,30)</f>
        <v>40699.153124999997</v>
      </c>
      <c r="C534">
        <v>550</v>
      </c>
      <c r="D534">
        <v>0</v>
      </c>
      <c r="E534">
        <v>0</v>
      </c>
      <c r="F534">
        <v>550</v>
      </c>
      <c r="G534">
        <v>1345.6328125</v>
      </c>
      <c r="H534">
        <v>1341.0831298999999</v>
      </c>
      <c r="I534">
        <v>1323.6530762</v>
      </c>
      <c r="J534">
        <v>1320.1052245999999</v>
      </c>
      <c r="K534">
        <v>80</v>
      </c>
      <c r="L534">
        <v>79.799530028999996</v>
      </c>
      <c r="M534">
        <v>60</v>
      </c>
      <c r="N534">
        <v>55.494960785000004</v>
      </c>
    </row>
    <row r="535" spans="1:14" x14ac:dyDescent="0.25">
      <c r="A535">
        <v>401.24598500000002</v>
      </c>
      <c r="B535" s="1">
        <f>DATE(2011,6,6) + TIME(5,54,13)</f>
        <v>40700.245983796296</v>
      </c>
      <c r="C535">
        <v>550</v>
      </c>
      <c r="D535">
        <v>0</v>
      </c>
      <c r="E535">
        <v>0</v>
      </c>
      <c r="F535">
        <v>550</v>
      </c>
      <c r="G535">
        <v>1345.6141356999999</v>
      </c>
      <c r="H535">
        <v>1341.0698242000001</v>
      </c>
      <c r="I535">
        <v>1323.6320800999999</v>
      </c>
      <c r="J535">
        <v>1320.0731201000001</v>
      </c>
      <c r="K535">
        <v>80</v>
      </c>
      <c r="L535">
        <v>79.799781799000002</v>
      </c>
      <c r="M535">
        <v>60</v>
      </c>
      <c r="N535">
        <v>55.38898468</v>
      </c>
    </row>
    <row r="536" spans="1:14" x14ac:dyDescent="0.25">
      <c r="A536">
        <v>402.36460499999998</v>
      </c>
      <c r="B536" s="1">
        <f>DATE(2011,6,7) + TIME(8,45,1)</f>
        <v>40701.364594907405</v>
      </c>
      <c r="C536">
        <v>550</v>
      </c>
      <c r="D536">
        <v>0</v>
      </c>
      <c r="E536">
        <v>0</v>
      </c>
      <c r="F536">
        <v>550</v>
      </c>
      <c r="G536">
        <v>1345.5953368999999</v>
      </c>
      <c r="H536">
        <v>1341.0565185999999</v>
      </c>
      <c r="I536">
        <v>1323.6104736</v>
      </c>
      <c r="J536">
        <v>1320.0399170000001</v>
      </c>
      <c r="K536">
        <v>80</v>
      </c>
      <c r="L536">
        <v>79.800010681000003</v>
      </c>
      <c r="M536">
        <v>60</v>
      </c>
      <c r="N536">
        <v>55.281135558999999</v>
      </c>
    </row>
    <row r="537" spans="1:14" x14ac:dyDescent="0.25">
      <c r="A537">
        <v>403.51398</v>
      </c>
      <c r="B537" s="1">
        <f>DATE(2011,6,8) + TIME(12,20,7)</f>
        <v>40702.513969907406</v>
      </c>
      <c r="C537">
        <v>550</v>
      </c>
      <c r="D537">
        <v>0</v>
      </c>
      <c r="E537">
        <v>0</v>
      </c>
      <c r="F537">
        <v>550</v>
      </c>
      <c r="G537">
        <v>1345.5765381000001</v>
      </c>
      <c r="H537">
        <v>1341.0432129000001</v>
      </c>
      <c r="I537">
        <v>1323.5881348</v>
      </c>
      <c r="J537">
        <v>1320.0054932</v>
      </c>
      <c r="K537">
        <v>80</v>
      </c>
      <c r="L537">
        <v>79.800209045000003</v>
      </c>
      <c r="M537">
        <v>60</v>
      </c>
      <c r="N537">
        <v>55.171035766999999</v>
      </c>
    </row>
    <row r="538" spans="1:14" x14ac:dyDescent="0.25">
      <c r="A538">
        <v>404.69770499999998</v>
      </c>
      <c r="B538" s="1">
        <f>DATE(2011,6,9) + TIME(16,44,41)</f>
        <v>40703.697696759256</v>
      </c>
      <c r="C538">
        <v>550</v>
      </c>
      <c r="D538">
        <v>0</v>
      </c>
      <c r="E538">
        <v>0</v>
      </c>
      <c r="F538">
        <v>550</v>
      </c>
      <c r="G538">
        <v>1345.5576172000001</v>
      </c>
      <c r="H538">
        <v>1341.0299072</v>
      </c>
      <c r="I538">
        <v>1323.5649414</v>
      </c>
      <c r="J538">
        <v>1319.9698486</v>
      </c>
      <c r="K538">
        <v>80</v>
      </c>
      <c r="L538">
        <v>79.800384520999998</v>
      </c>
      <c r="M538">
        <v>60</v>
      </c>
      <c r="N538">
        <v>55.058403015000003</v>
      </c>
    </row>
    <row r="539" spans="1:14" x14ac:dyDescent="0.25">
      <c r="A539">
        <v>405.91983099999999</v>
      </c>
      <c r="B539" s="1">
        <f>DATE(2011,6,10) + TIME(22,4,33)</f>
        <v>40704.91982638889</v>
      </c>
      <c r="C539">
        <v>550</v>
      </c>
      <c r="D539">
        <v>0</v>
      </c>
      <c r="E539">
        <v>0</v>
      </c>
      <c r="F539">
        <v>550</v>
      </c>
      <c r="G539">
        <v>1345.5384521000001</v>
      </c>
      <c r="H539">
        <v>1341.0164795000001</v>
      </c>
      <c r="I539">
        <v>1323.5410156</v>
      </c>
      <c r="J539">
        <v>1319.9327393000001</v>
      </c>
      <c r="K539">
        <v>80</v>
      </c>
      <c r="L539">
        <v>79.800544739000003</v>
      </c>
      <c r="M539">
        <v>60</v>
      </c>
      <c r="N539">
        <v>54.942920684999997</v>
      </c>
    </row>
    <row r="540" spans="1:14" x14ac:dyDescent="0.25">
      <c r="A540">
        <v>407.18490800000001</v>
      </c>
      <c r="B540" s="1">
        <f>DATE(2011,6,12) + TIME(4,26,16)</f>
        <v>40706.184907407405</v>
      </c>
      <c r="C540">
        <v>550</v>
      </c>
      <c r="D540">
        <v>0</v>
      </c>
      <c r="E540">
        <v>0</v>
      </c>
      <c r="F540">
        <v>550</v>
      </c>
      <c r="G540">
        <v>1345.5192870999999</v>
      </c>
      <c r="H540">
        <v>1341.0030518000001</v>
      </c>
      <c r="I540">
        <v>1323.5159911999999</v>
      </c>
      <c r="J540">
        <v>1319.894043</v>
      </c>
      <c r="K540">
        <v>80</v>
      </c>
      <c r="L540">
        <v>79.800697326999995</v>
      </c>
      <c r="M540">
        <v>60</v>
      </c>
      <c r="N540">
        <v>54.82421875</v>
      </c>
    </row>
    <row r="541" spans="1:14" x14ac:dyDescent="0.25">
      <c r="A541">
        <v>408.48664000000002</v>
      </c>
      <c r="B541" s="1">
        <f>DATE(2011,6,13) + TIME(11,40,45)</f>
        <v>40707.486631944441</v>
      </c>
      <c r="C541">
        <v>550</v>
      </c>
      <c r="D541">
        <v>0</v>
      </c>
      <c r="E541">
        <v>0</v>
      </c>
      <c r="F541">
        <v>550</v>
      </c>
      <c r="G541">
        <v>1345.4997559000001</v>
      </c>
      <c r="H541">
        <v>1340.9893798999999</v>
      </c>
      <c r="I541">
        <v>1323.4899902</v>
      </c>
      <c r="J541">
        <v>1319.8536377</v>
      </c>
      <c r="K541">
        <v>80</v>
      </c>
      <c r="L541">
        <v>79.800827025999993</v>
      </c>
      <c r="M541">
        <v>60</v>
      </c>
      <c r="N541">
        <v>54.702697753999999</v>
      </c>
    </row>
    <row r="542" spans="1:14" x14ac:dyDescent="0.25">
      <c r="A542">
        <v>409.79940399999998</v>
      </c>
      <c r="B542" s="1">
        <f>DATE(2011,6,14) + TIME(19,11,8)</f>
        <v>40708.799398148149</v>
      </c>
      <c r="C542">
        <v>550</v>
      </c>
      <c r="D542">
        <v>0</v>
      </c>
      <c r="E542">
        <v>0</v>
      </c>
      <c r="F542">
        <v>550</v>
      </c>
      <c r="G542">
        <v>1345.4801024999999</v>
      </c>
      <c r="H542">
        <v>1340.9755858999999</v>
      </c>
      <c r="I542">
        <v>1323.4630127</v>
      </c>
      <c r="J542">
        <v>1319.8117675999999</v>
      </c>
      <c r="K542">
        <v>80</v>
      </c>
      <c r="L542">
        <v>79.800949097</v>
      </c>
      <c r="M542">
        <v>60</v>
      </c>
      <c r="N542">
        <v>54.580135345000002</v>
      </c>
    </row>
    <row r="543" spans="1:14" x14ac:dyDescent="0.25">
      <c r="A543">
        <v>411.12696899999997</v>
      </c>
      <c r="B543" s="1">
        <f>DATE(2011,6,16) + TIME(3,2,50)</f>
        <v>40710.126967592594</v>
      </c>
      <c r="C543">
        <v>550</v>
      </c>
      <c r="D543">
        <v>0</v>
      </c>
      <c r="E543">
        <v>0</v>
      </c>
      <c r="F543">
        <v>550</v>
      </c>
      <c r="G543">
        <v>1345.4608154</v>
      </c>
      <c r="H543">
        <v>1340.9621582</v>
      </c>
      <c r="I543">
        <v>1323.4355469</v>
      </c>
      <c r="J543">
        <v>1319.769043</v>
      </c>
      <c r="K543">
        <v>80</v>
      </c>
      <c r="L543">
        <v>79.801055907999995</v>
      </c>
      <c r="M543">
        <v>60</v>
      </c>
      <c r="N543">
        <v>54.456375121999997</v>
      </c>
    </row>
    <row r="544" spans="1:14" x14ac:dyDescent="0.25">
      <c r="A544">
        <v>412.47423700000002</v>
      </c>
      <c r="B544" s="1">
        <f>DATE(2011,6,17) + TIME(11,22,54)</f>
        <v>40711.474236111113</v>
      </c>
      <c r="C544">
        <v>550</v>
      </c>
      <c r="D544">
        <v>0</v>
      </c>
      <c r="E544">
        <v>0</v>
      </c>
      <c r="F544">
        <v>550</v>
      </c>
      <c r="G544">
        <v>1345.4416504000001</v>
      </c>
      <c r="H544">
        <v>1340.9487305</v>
      </c>
      <c r="I544">
        <v>1323.4075928</v>
      </c>
      <c r="J544">
        <v>1319.7253418</v>
      </c>
      <c r="K544">
        <v>80</v>
      </c>
      <c r="L544">
        <v>79.801155089999995</v>
      </c>
      <c r="M544">
        <v>60</v>
      </c>
      <c r="N544">
        <v>54.331134796000001</v>
      </c>
    </row>
    <row r="545" spans="1:14" x14ac:dyDescent="0.25">
      <c r="A545">
        <v>413.84643799999998</v>
      </c>
      <c r="B545" s="1">
        <f>DATE(2011,6,18) + TIME(20,18,52)</f>
        <v>40712.846435185187</v>
      </c>
      <c r="C545">
        <v>550</v>
      </c>
      <c r="D545">
        <v>0</v>
      </c>
      <c r="E545">
        <v>0</v>
      </c>
      <c r="F545">
        <v>550</v>
      </c>
      <c r="G545">
        <v>1345.4227295000001</v>
      </c>
      <c r="H545">
        <v>1340.9355469</v>
      </c>
      <c r="I545">
        <v>1323.3790283000001</v>
      </c>
      <c r="J545">
        <v>1319.6805420000001</v>
      </c>
      <c r="K545">
        <v>80</v>
      </c>
      <c r="L545">
        <v>79.801246642999999</v>
      </c>
      <c r="M545">
        <v>60</v>
      </c>
      <c r="N545">
        <v>54.20406723</v>
      </c>
    </row>
    <row r="546" spans="1:14" x14ac:dyDescent="0.25">
      <c r="A546">
        <v>415.24775099999999</v>
      </c>
      <c r="B546" s="1">
        <f>DATE(2011,6,20) + TIME(5,56,45)</f>
        <v>40714.247743055559</v>
      </c>
      <c r="C546">
        <v>550</v>
      </c>
      <c r="D546">
        <v>0</v>
      </c>
      <c r="E546">
        <v>0</v>
      </c>
      <c r="F546">
        <v>550</v>
      </c>
      <c r="G546">
        <v>1345.4036865</v>
      </c>
      <c r="H546">
        <v>1340.9223632999999</v>
      </c>
      <c r="I546">
        <v>1323.3497314000001</v>
      </c>
      <c r="J546">
        <v>1319.6345214999999</v>
      </c>
      <c r="K546">
        <v>80</v>
      </c>
      <c r="L546">
        <v>79.801338196000003</v>
      </c>
      <c r="M546">
        <v>60</v>
      </c>
      <c r="N546">
        <v>54.074863434000001</v>
      </c>
    </row>
    <row r="547" spans="1:14" x14ac:dyDescent="0.25">
      <c r="A547">
        <v>416.682659</v>
      </c>
      <c r="B547" s="1">
        <f>DATE(2011,6,21) + TIME(16,23,1)</f>
        <v>40715.682650462964</v>
      </c>
      <c r="C547">
        <v>550</v>
      </c>
      <c r="D547">
        <v>0</v>
      </c>
      <c r="E547">
        <v>0</v>
      </c>
      <c r="F547">
        <v>550</v>
      </c>
      <c r="G547">
        <v>1345.3847656</v>
      </c>
      <c r="H547">
        <v>1340.9091797000001</v>
      </c>
      <c r="I547">
        <v>1323.3197021000001</v>
      </c>
      <c r="J547">
        <v>1319.5870361</v>
      </c>
      <c r="K547">
        <v>80</v>
      </c>
      <c r="L547">
        <v>79.801429748999993</v>
      </c>
      <c r="M547">
        <v>60</v>
      </c>
      <c r="N547">
        <v>53.943183898999997</v>
      </c>
    </row>
    <row r="548" spans="1:14" x14ac:dyDescent="0.25">
      <c r="A548">
        <v>418.14649900000001</v>
      </c>
      <c r="B548" s="1">
        <f>DATE(2011,6,23) + TIME(3,30,57)</f>
        <v>40717.146493055552</v>
      </c>
      <c r="C548">
        <v>550</v>
      </c>
      <c r="D548">
        <v>0</v>
      </c>
      <c r="E548">
        <v>0</v>
      </c>
      <c r="F548">
        <v>550</v>
      </c>
      <c r="G548">
        <v>1345.3658447</v>
      </c>
      <c r="H548">
        <v>1340.895874</v>
      </c>
      <c r="I548">
        <v>1323.2888184000001</v>
      </c>
      <c r="J548">
        <v>1319.5382079999999</v>
      </c>
      <c r="K548">
        <v>80</v>
      </c>
      <c r="L548">
        <v>79.801513671999999</v>
      </c>
      <c r="M548">
        <v>60</v>
      </c>
      <c r="N548">
        <v>53.809280395999998</v>
      </c>
    </row>
    <row r="549" spans="1:14" x14ac:dyDescent="0.25">
      <c r="A549">
        <v>419.627228</v>
      </c>
      <c r="B549" s="1">
        <f>DATE(2011,6,24) + TIME(15,3,12)</f>
        <v>40718.627222222225</v>
      </c>
      <c r="C549">
        <v>550</v>
      </c>
      <c r="D549">
        <v>0</v>
      </c>
      <c r="E549">
        <v>0</v>
      </c>
      <c r="F549">
        <v>550</v>
      </c>
      <c r="G549">
        <v>1345.3468018000001</v>
      </c>
      <c r="H549">
        <v>1340.8828125</v>
      </c>
      <c r="I549">
        <v>1323.2572021000001</v>
      </c>
      <c r="J549">
        <v>1319.4880370999999</v>
      </c>
      <c r="K549">
        <v>80</v>
      </c>
      <c r="L549">
        <v>79.801605225000003</v>
      </c>
      <c r="M549">
        <v>60</v>
      </c>
      <c r="N549">
        <v>53.673931121999999</v>
      </c>
    </row>
    <row r="550" spans="1:14" x14ac:dyDescent="0.25">
      <c r="A550">
        <v>421.12814300000002</v>
      </c>
      <c r="B550" s="1">
        <f>DATE(2011,6,26) + TIME(3,4,31)</f>
        <v>40720.128136574072</v>
      </c>
      <c r="C550">
        <v>550</v>
      </c>
      <c r="D550">
        <v>0</v>
      </c>
      <c r="E550">
        <v>0</v>
      </c>
      <c r="F550">
        <v>550</v>
      </c>
      <c r="G550">
        <v>1345.3280029</v>
      </c>
      <c r="H550">
        <v>1340.869751</v>
      </c>
      <c r="I550">
        <v>1323.2250977000001</v>
      </c>
      <c r="J550">
        <v>1319.4368896000001</v>
      </c>
      <c r="K550">
        <v>80</v>
      </c>
      <c r="L550">
        <v>79.801689147999994</v>
      </c>
      <c r="M550">
        <v>60</v>
      </c>
      <c r="N550">
        <v>53.536975861000002</v>
      </c>
    </row>
    <row r="551" spans="1:14" x14ac:dyDescent="0.25">
      <c r="A551">
        <v>422.65525300000002</v>
      </c>
      <c r="B551" s="1">
        <f>DATE(2011,6,27) + TIME(15,43,33)</f>
        <v>40721.655243055553</v>
      </c>
      <c r="C551">
        <v>550</v>
      </c>
      <c r="D551">
        <v>0</v>
      </c>
      <c r="E551">
        <v>0</v>
      </c>
      <c r="F551">
        <v>550</v>
      </c>
      <c r="G551">
        <v>1345.3093262</v>
      </c>
      <c r="H551">
        <v>1340.8568115</v>
      </c>
      <c r="I551">
        <v>1323.1925048999999</v>
      </c>
      <c r="J551">
        <v>1319.3846435999999</v>
      </c>
      <c r="K551">
        <v>80</v>
      </c>
      <c r="L551">
        <v>79.801773071</v>
      </c>
      <c r="M551">
        <v>60</v>
      </c>
      <c r="N551">
        <v>53.398040770999998</v>
      </c>
    </row>
    <row r="552" spans="1:14" x14ac:dyDescent="0.25">
      <c r="A552">
        <v>424.21398099999999</v>
      </c>
      <c r="B552" s="1">
        <f>DATE(2011,6,29) + TIME(5,8,7)</f>
        <v>40723.213969907411</v>
      </c>
      <c r="C552">
        <v>550</v>
      </c>
      <c r="D552">
        <v>0</v>
      </c>
      <c r="E552">
        <v>0</v>
      </c>
      <c r="F552">
        <v>550</v>
      </c>
      <c r="G552">
        <v>1345.2907714999999</v>
      </c>
      <c r="H552">
        <v>1340.8438721</v>
      </c>
      <c r="I552">
        <v>1323.1590576000001</v>
      </c>
      <c r="J552">
        <v>1319.3311768000001</v>
      </c>
      <c r="K552">
        <v>80</v>
      </c>
      <c r="L552">
        <v>79.801864624000004</v>
      </c>
      <c r="M552">
        <v>60</v>
      </c>
      <c r="N552">
        <v>53.256744384999998</v>
      </c>
    </row>
    <row r="553" spans="1:14" x14ac:dyDescent="0.25">
      <c r="A553">
        <v>425.80892799999998</v>
      </c>
      <c r="B553" s="1">
        <f>DATE(2011,6,30) + TIME(19,24,51)</f>
        <v>40724.808923611112</v>
      </c>
      <c r="C553">
        <v>550</v>
      </c>
      <c r="D553">
        <v>0</v>
      </c>
      <c r="E553">
        <v>0</v>
      </c>
      <c r="F553">
        <v>550</v>
      </c>
      <c r="G553">
        <v>1345.2720947</v>
      </c>
      <c r="H553">
        <v>1340.8309326000001</v>
      </c>
      <c r="I553">
        <v>1323.125</v>
      </c>
      <c r="J553">
        <v>1319.2762451000001</v>
      </c>
      <c r="K553">
        <v>80</v>
      </c>
      <c r="L553">
        <v>79.801963806000003</v>
      </c>
      <c r="M553">
        <v>60</v>
      </c>
      <c r="N553">
        <v>53.112751007</v>
      </c>
    </row>
    <row r="554" spans="1:14" x14ac:dyDescent="0.25">
      <c r="A554">
        <v>426</v>
      </c>
      <c r="B554" s="1">
        <f>DATE(2011,7,1) + TIME(0,0,0)</f>
        <v>40725</v>
      </c>
      <c r="C554">
        <v>550</v>
      </c>
      <c r="D554">
        <v>0</v>
      </c>
      <c r="E554">
        <v>0</v>
      </c>
      <c r="F554">
        <v>550</v>
      </c>
      <c r="G554">
        <v>1345.2531738</v>
      </c>
      <c r="H554">
        <v>1340.8178711</v>
      </c>
      <c r="I554">
        <v>1323.0944824000001</v>
      </c>
      <c r="J554">
        <v>1319.2336425999999</v>
      </c>
      <c r="K554">
        <v>80</v>
      </c>
      <c r="L554">
        <v>79.801948546999995</v>
      </c>
      <c r="M554">
        <v>60</v>
      </c>
      <c r="N554">
        <v>53.089542389000002</v>
      </c>
    </row>
    <row r="555" spans="1:14" x14ac:dyDescent="0.25">
      <c r="A555">
        <v>427.63621000000001</v>
      </c>
      <c r="B555" s="1">
        <f>DATE(2011,7,2) + TIME(15,16,8)</f>
        <v>40726.636203703703</v>
      </c>
      <c r="C555">
        <v>550</v>
      </c>
      <c r="D555">
        <v>0</v>
      </c>
      <c r="E555">
        <v>0</v>
      </c>
      <c r="F555">
        <v>550</v>
      </c>
      <c r="G555">
        <v>1345.2512207</v>
      </c>
      <c r="H555">
        <v>1340.8164062000001</v>
      </c>
      <c r="I555">
        <v>1323.0852050999999</v>
      </c>
      <c r="J555">
        <v>1319.2116699000001</v>
      </c>
      <c r="K555">
        <v>80</v>
      </c>
      <c r="L555">
        <v>79.802062988000003</v>
      </c>
      <c r="M555">
        <v>60</v>
      </c>
      <c r="N555">
        <v>52.944168091000002</v>
      </c>
    </row>
    <row r="556" spans="1:14" x14ac:dyDescent="0.25">
      <c r="A556">
        <v>429.32522699999998</v>
      </c>
      <c r="B556" s="1">
        <f>DATE(2011,7,4) + TIME(7,48,19)</f>
        <v>40728.325219907405</v>
      </c>
      <c r="C556">
        <v>550</v>
      </c>
      <c r="D556">
        <v>0</v>
      </c>
      <c r="E556">
        <v>0</v>
      </c>
      <c r="F556">
        <v>550</v>
      </c>
      <c r="G556">
        <v>1345.2324219</v>
      </c>
      <c r="H556">
        <v>1340.8034668</v>
      </c>
      <c r="I556">
        <v>1323.0496826000001</v>
      </c>
      <c r="J556">
        <v>1319.1538086</v>
      </c>
      <c r="K556">
        <v>80</v>
      </c>
      <c r="L556">
        <v>79.802169800000001</v>
      </c>
      <c r="M556">
        <v>60</v>
      </c>
      <c r="N556">
        <v>52.794464111000003</v>
      </c>
    </row>
    <row r="557" spans="1:14" x14ac:dyDescent="0.25">
      <c r="A557">
        <v>431.05312300000003</v>
      </c>
      <c r="B557" s="1">
        <f>DATE(2011,7,6) + TIME(1,16,29)</f>
        <v>40730.053113425929</v>
      </c>
      <c r="C557">
        <v>550</v>
      </c>
      <c r="D557">
        <v>0</v>
      </c>
      <c r="E557">
        <v>0</v>
      </c>
      <c r="F557">
        <v>550</v>
      </c>
      <c r="G557">
        <v>1345.213501</v>
      </c>
      <c r="H557">
        <v>1340.7902832</v>
      </c>
      <c r="I557">
        <v>1323.0129394999999</v>
      </c>
      <c r="J557">
        <v>1319.0939940999999</v>
      </c>
      <c r="K557">
        <v>80</v>
      </c>
      <c r="L557">
        <v>79.802276610999996</v>
      </c>
      <c r="M557">
        <v>60</v>
      </c>
      <c r="N557">
        <v>52.641292571999998</v>
      </c>
    </row>
    <row r="558" spans="1:14" x14ac:dyDescent="0.25">
      <c r="A558">
        <v>432.81087300000002</v>
      </c>
      <c r="B558" s="1">
        <f>DATE(2011,7,7) + TIME(19,27,39)</f>
        <v>40731.810868055552</v>
      </c>
      <c r="C558">
        <v>550</v>
      </c>
      <c r="D558">
        <v>0</v>
      </c>
      <c r="E558">
        <v>0</v>
      </c>
      <c r="F558">
        <v>550</v>
      </c>
      <c r="G558">
        <v>1345.1944579999999</v>
      </c>
      <c r="H558">
        <v>1340.7770995999999</v>
      </c>
      <c r="I558">
        <v>1322.9754639</v>
      </c>
      <c r="J558">
        <v>1319.0325928</v>
      </c>
      <c r="K558">
        <v>80</v>
      </c>
      <c r="L558">
        <v>79.802391052000004</v>
      </c>
      <c r="M558">
        <v>60</v>
      </c>
      <c r="N558">
        <v>52.485351561999998</v>
      </c>
    </row>
    <row r="559" spans="1:14" x14ac:dyDescent="0.25">
      <c r="A559">
        <v>434.60407300000003</v>
      </c>
      <c r="B559" s="1">
        <f>DATE(2011,7,9) + TIME(14,29,51)</f>
        <v>40733.604062500002</v>
      </c>
      <c r="C559">
        <v>550</v>
      </c>
      <c r="D559">
        <v>0</v>
      </c>
      <c r="E559">
        <v>0</v>
      </c>
      <c r="F559">
        <v>550</v>
      </c>
      <c r="G559">
        <v>1345.1754149999999</v>
      </c>
      <c r="H559">
        <v>1340.7639160000001</v>
      </c>
      <c r="I559">
        <v>1322.9372559000001</v>
      </c>
      <c r="J559">
        <v>1318.9697266000001</v>
      </c>
      <c r="K559">
        <v>80</v>
      </c>
      <c r="L559">
        <v>79.802513122999997</v>
      </c>
      <c r="M559">
        <v>60</v>
      </c>
      <c r="N559">
        <v>52.326503754000001</v>
      </c>
    </row>
    <row r="560" spans="1:14" x14ac:dyDescent="0.25">
      <c r="A560">
        <v>436.43853799999999</v>
      </c>
      <c r="B560" s="1">
        <f>DATE(2011,7,11) + TIME(10,31,29)</f>
        <v>40735.438530092593</v>
      </c>
      <c r="C560">
        <v>550</v>
      </c>
      <c r="D560">
        <v>0</v>
      </c>
      <c r="E560">
        <v>0</v>
      </c>
      <c r="F560">
        <v>550</v>
      </c>
      <c r="G560">
        <v>1345.1563721</v>
      </c>
      <c r="H560">
        <v>1340.7507324000001</v>
      </c>
      <c r="I560">
        <v>1322.8983154</v>
      </c>
      <c r="J560">
        <v>1318.9053954999999</v>
      </c>
      <c r="K560">
        <v>80</v>
      </c>
      <c r="L560">
        <v>79.802635193</v>
      </c>
      <c r="M560">
        <v>60</v>
      </c>
      <c r="N560">
        <v>52.164558411000002</v>
      </c>
    </row>
    <row r="561" spans="1:14" x14ac:dyDescent="0.25">
      <c r="A561">
        <v>438.30643400000002</v>
      </c>
      <c r="B561" s="1">
        <f>DATE(2011,7,13) + TIME(7,21,15)</f>
        <v>40737.306423611109</v>
      </c>
      <c r="C561">
        <v>550</v>
      </c>
      <c r="D561">
        <v>0</v>
      </c>
      <c r="E561">
        <v>0</v>
      </c>
      <c r="F561">
        <v>550</v>
      </c>
      <c r="G561">
        <v>1345.137207</v>
      </c>
      <c r="H561">
        <v>1340.7375488</v>
      </c>
      <c r="I561">
        <v>1322.8587646000001</v>
      </c>
      <c r="J561">
        <v>1318.8395995999999</v>
      </c>
      <c r="K561">
        <v>80</v>
      </c>
      <c r="L561">
        <v>79.802757263000004</v>
      </c>
      <c r="M561">
        <v>60</v>
      </c>
      <c r="N561">
        <v>52.000080109000002</v>
      </c>
    </row>
    <row r="562" spans="1:14" x14ac:dyDescent="0.25">
      <c r="A562">
        <v>440.19282099999998</v>
      </c>
      <c r="B562" s="1">
        <f>DATE(2011,7,15) + TIME(4,37,39)</f>
        <v>40739.192812499998</v>
      </c>
      <c r="C562">
        <v>550</v>
      </c>
      <c r="D562">
        <v>0</v>
      </c>
      <c r="E562">
        <v>0</v>
      </c>
      <c r="F562">
        <v>550</v>
      </c>
      <c r="G562">
        <v>1345.1180420000001</v>
      </c>
      <c r="H562">
        <v>1340.7242432</v>
      </c>
      <c r="I562">
        <v>1322.8186035000001</v>
      </c>
      <c r="J562">
        <v>1318.7725829999999</v>
      </c>
      <c r="K562">
        <v>80</v>
      </c>
      <c r="L562">
        <v>79.802886963000006</v>
      </c>
      <c r="M562">
        <v>60</v>
      </c>
      <c r="N562">
        <v>51.834167479999998</v>
      </c>
    </row>
    <row r="563" spans="1:14" x14ac:dyDescent="0.25">
      <c r="A563">
        <v>442.10242599999998</v>
      </c>
      <c r="B563" s="1">
        <f>DATE(2011,7,17) + TIME(2,27,29)</f>
        <v>40741.102418981478</v>
      </c>
      <c r="C563">
        <v>550</v>
      </c>
      <c r="D563">
        <v>0</v>
      </c>
      <c r="E563">
        <v>0</v>
      </c>
      <c r="F563">
        <v>550</v>
      </c>
      <c r="G563">
        <v>1345.098999</v>
      </c>
      <c r="H563">
        <v>1340.7110596</v>
      </c>
      <c r="I563">
        <v>1322.7783202999999</v>
      </c>
      <c r="J563">
        <v>1318.7047118999999</v>
      </c>
      <c r="K563">
        <v>80</v>
      </c>
      <c r="L563">
        <v>79.803024292000003</v>
      </c>
      <c r="M563">
        <v>60</v>
      </c>
      <c r="N563">
        <v>51.666893004999999</v>
      </c>
    </row>
    <row r="564" spans="1:14" x14ac:dyDescent="0.25">
      <c r="A564">
        <v>444.04196400000001</v>
      </c>
      <c r="B564" s="1">
        <f>DATE(2011,7,19) + TIME(1,0,25)</f>
        <v>40743.041956018518</v>
      </c>
      <c r="C564">
        <v>550</v>
      </c>
      <c r="D564">
        <v>0</v>
      </c>
      <c r="E564">
        <v>0</v>
      </c>
      <c r="F564">
        <v>550</v>
      </c>
      <c r="G564">
        <v>1345.0802002</v>
      </c>
      <c r="H564">
        <v>1340.6979980000001</v>
      </c>
      <c r="I564">
        <v>1322.7376709</v>
      </c>
      <c r="J564">
        <v>1318.6361084</v>
      </c>
      <c r="K564">
        <v>80</v>
      </c>
      <c r="L564">
        <v>79.803161621000001</v>
      </c>
      <c r="M564">
        <v>60</v>
      </c>
      <c r="N564">
        <v>51.498161316000001</v>
      </c>
    </row>
    <row r="565" spans="1:14" x14ac:dyDescent="0.25">
      <c r="A565">
        <v>446.020197</v>
      </c>
      <c r="B565" s="1">
        <f>DATE(2011,7,21) + TIME(0,29,4)</f>
        <v>40745.020185185182</v>
      </c>
      <c r="C565">
        <v>550</v>
      </c>
      <c r="D565">
        <v>0</v>
      </c>
      <c r="E565">
        <v>0</v>
      </c>
      <c r="F565">
        <v>550</v>
      </c>
      <c r="G565">
        <v>1345.0612793</v>
      </c>
      <c r="H565">
        <v>1340.6848144999999</v>
      </c>
      <c r="I565">
        <v>1322.6967772999999</v>
      </c>
      <c r="J565">
        <v>1318.5665283000001</v>
      </c>
      <c r="K565">
        <v>80</v>
      </c>
      <c r="L565">
        <v>79.803306579999997</v>
      </c>
      <c r="M565">
        <v>60</v>
      </c>
      <c r="N565">
        <v>51.327720642000003</v>
      </c>
    </row>
    <row r="566" spans="1:14" x14ac:dyDescent="0.25">
      <c r="A566">
        <v>448.04310500000003</v>
      </c>
      <c r="B566" s="1">
        <f>DATE(2011,7,23) + TIME(1,2,4)</f>
        <v>40747.04310185185</v>
      </c>
      <c r="C566">
        <v>550</v>
      </c>
      <c r="D566">
        <v>0</v>
      </c>
      <c r="E566">
        <v>0</v>
      </c>
      <c r="F566">
        <v>550</v>
      </c>
      <c r="G566">
        <v>1345.0423584</v>
      </c>
      <c r="H566">
        <v>1340.6716309000001</v>
      </c>
      <c r="I566">
        <v>1322.6555175999999</v>
      </c>
      <c r="J566">
        <v>1318.4957274999999</v>
      </c>
      <c r="K566">
        <v>80</v>
      </c>
      <c r="L566">
        <v>79.803459167</v>
      </c>
      <c r="M566">
        <v>60</v>
      </c>
      <c r="N566">
        <v>51.155467987000002</v>
      </c>
    </row>
    <row r="567" spans="1:14" x14ac:dyDescent="0.25">
      <c r="A567">
        <v>450.11724700000002</v>
      </c>
      <c r="B567" s="1">
        <f>DATE(2011,7,25) + TIME(2,48,50)</f>
        <v>40749.117245370369</v>
      </c>
      <c r="C567">
        <v>550</v>
      </c>
      <c r="D567">
        <v>0</v>
      </c>
      <c r="E567">
        <v>0</v>
      </c>
      <c r="F567">
        <v>550</v>
      </c>
      <c r="G567">
        <v>1345.0233154</v>
      </c>
      <c r="H567">
        <v>1340.6584473</v>
      </c>
      <c r="I567">
        <v>1322.6138916</v>
      </c>
      <c r="J567">
        <v>1318.4238281</v>
      </c>
      <c r="K567">
        <v>80</v>
      </c>
      <c r="L567">
        <v>79.803619385000005</v>
      </c>
      <c r="M567">
        <v>60</v>
      </c>
      <c r="N567">
        <v>50.981319427000003</v>
      </c>
    </row>
    <row r="568" spans="1:14" x14ac:dyDescent="0.25">
      <c r="A568">
        <v>452.23303399999998</v>
      </c>
      <c r="B568" s="1">
        <f>DATE(2011,7,27) + TIME(5,35,34)</f>
        <v>40751.233032407406</v>
      </c>
      <c r="C568">
        <v>550</v>
      </c>
      <c r="D568">
        <v>0</v>
      </c>
      <c r="E568">
        <v>0</v>
      </c>
      <c r="F568">
        <v>550</v>
      </c>
      <c r="G568">
        <v>1345.0041504000001</v>
      </c>
      <c r="H568">
        <v>1340.6450195</v>
      </c>
      <c r="I568">
        <v>1322.5717772999999</v>
      </c>
      <c r="J568">
        <v>1318.3508300999999</v>
      </c>
      <c r="K568">
        <v>80</v>
      </c>
      <c r="L568">
        <v>79.803787231000001</v>
      </c>
      <c r="M568">
        <v>60</v>
      </c>
      <c r="N568">
        <v>50.806114196999999</v>
      </c>
    </row>
    <row r="569" spans="1:14" x14ac:dyDescent="0.25">
      <c r="A569">
        <v>454.37407300000001</v>
      </c>
      <c r="B569" s="1">
        <f>DATE(2011,7,29) + TIME(8,58,39)</f>
        <v>40753.374062499999</v>
      </c>
      <c r="C569">
        <v>550</v>
      </c>
      <c r="D569">
        <v>0</v>
      </c>
      <c r="E569">
        <v>0</v>
      </c>
      <c r="F569">
        <v>550</v>
      </c>
      <c r="G569">
        <v>1344.9847411999999</v>
      </c>
      <c r="H569">
        <v>1340.6315918</v>
      </c>
      <c r="I569">
        <v>1322.5294189000001</v>
      </c>
      <c r="J569">
        <v>1318.2769774999999</v>
      </c>
      <c r="K569">
        <v>80</v>
      </c>
      <c r="L569">
        <v>79.803955078000001</v>
      </c>
      <c r="M569">
        <v>60</v>
      </c>
      <c r="N569">
        <v>50.631256104000002</v>
      </c>
    </row>
    <row r="570" spans="1:14" x14ac:dyDescent="0.25">
      <c r="A570">
        <v>456.54699699999998</v>
      </c>
      <c r="B570" s="1">
        <f>DATE(2011,7,31) + TIME(13,7,40)</f>
        <v>40755.546990740739</v>
      </c>
      <c r="C570">
        <v>550</v>
      </c>
      <c r="D570">
        <v>0</v>
      </c>
      <c r="E570">
        <v>0</v>
      </c>
      <c r="F570">
        <v>550</v>
      </c>
      <c r="G570">
        <v>1344.9655762</v>
      </c>
      <c r="H570">
        <v>1340.6180420000001</v>
      </c>
      <c r="I570">
        <v>1322.4873047000001</v>
      </c>
      <c r="J570">
        <v>1318.2027588000001</v>
      </c>
      <c r="K570">
        <v>80</v>
      </c>
      <c r="L570">
        <v>79.804130553999997</v>
      </c>
      <c r="M570">
        <v>60</v>
      </c>
      <c r="N570">
        <v>50.457141876000001</v>
      </c>
    </row>
    <row r="571" spans="1:14" x14ac:dyDescent="0.25">
      <c r="A571">
        <v>457</v>
      </c>
      <c r="B571" s="1">
        <f>DATE(2011,8,1) + TIME(0,0,0)</f>
        <v>40756</v>
      </c>
      <c r="C571">
        <v>550</v>
      </c>
      <c r="D571">
        <v>0</v>
      </c>
      <c r="E571">
        <v>0</v>
      </c>
      <c r="F571">
        <v>550</v>
      </c>
      <c r="G571">
        <v>1344.9459228999999</v>
      </c>
      <c r="H571">
        <v>1340.6043701000001</v>
      </c>
      <c r="I571">
        <v>1322.4505615</v>
      </c>
      <c r="J571">
        <v>1318.1452637</v>
      </c>
      <c r="K571">
        <v>80</v>
      </c>
      <c r="L571">
        <v>79.804130553999997</v>
      </c>
      <c r="M571">
        <v>60</v>
      </c>
      <c r="N571">
        <v>50.406669616999999</v>
      </c>
    </row>
    <row r="572" spans="1:14" x14ac:dyDescent="0.25">
      <c r="A572">
        <v>459.21160600000002</v>
      </c>
      <c r="B572" s="1">
        <f>DATE(2011,8,3) + TIME(5,4,42)</f>
        <v>40758.211597222224</v>
      </c>
      <c r="C572">
        <v>550</v>
      </c>
      <c r="D572">
        <v>0</v>
      </c>
      <c r="E572">
        <v>0</v>
      </c>
      <c r="F572">
        <v>550</v>
      </c>
      <c r="G572">
        <v>1344.9422606999999</v>
      </c>
      <c r="H572">
        <v>1340.6016846</v>
      </c>
      <c r="I572">
        <v>1322.4348144999999</v>
      </c>
      <c r="J572">
        <v>1318.1091309000001</v>
      </c>
      <c r="K572">
        <v>80</v>
      </c>
      <c r="L572">
        <v>79.804328917999996</v>
      </c>
      <c r="M572">
        <v>60</v>
      </c>
      <c r="N572">
        <v>50.240009307999998</v>
      </c>
    </row>
    <row r="573" spans="1:14" x14ac:dyDescent="0.25">
      <c r="A573">
        <v>461.479962</v>
      </c>
      <c r="B573" s="1">
        <f>DATE(2011,8,5) + TIME(11,31,8)</f>
        <v>40760.479953703703</v>
      </c>
      <c r="C573">
        <v>550</v>
      </c>
      <c r="D573">
        <v>0</v>
      </c>
      <c r="E573">
        <v>0</v>
      </c>
      <c r="F573">
        <v>550</v>
      </c>
      <c r="G573">
        <v>1344.9230957</v>
      </c>
      <c r="H573">
        <v>1340.5882568</v>
      </c>
      <c r="I573">
        <v>1322.3936768000001</v>
      </c>
      <c r="J573">
        <v>1318.0357666</v>
      </c>
      <c r="K573">
        <v>80</v>
      </c>
      <c r="L573">
        <v>79.804527282999999</v>
      </c>
      <c r="M573">
        <v>60</v>
      </c>
      <c r="N573">
        <v>50.072486877000003</v>
      </c>
    </row>
    <row r="574" spans="1:14" x14ac:dyDescent="0.25">
      <c r="A574">
        <v>463.80343099999999</v>
      </c>
      <c r="B574" s="1">
        <f>DATE(2011,8,7) + TIME(19,16,56)</f>
        <v>40762.803425925929</v>
      </c>
      <c r="C574">
        <v>550</v>
      </c>
      <c r="D574">
        <v>0</v>
      </c>
      <c r="E574">
        <v>0</v>
      </c>
      <c r="F574">
        <v>550</v>
      </c>
      <c r="G574">
        <v>1344.9035644999999</v>
      </c>
      <c r="H574">
        <v>1340.5745850000001</v>
      </c>
      <c r="I574">
        <v>1322.3524170000001</v>
      </c>
      <c r="J574">
        <v>1317.9611815999999</v>
      </c>
      <c r="K574">
        <v>80</v>
      </c>
      <c r="L574">
        <v>79.804733275999993</v>
      </c>
      <c r="M574">
        <v>60</v>
      </c>
      <c r="N574">
        <v>49.905548095999997</v>
      </c>
    </row>
    <row r="575" spans="1:14" x14ac:dyDescent="0.25">
      <c r="A575">
        <v>466.14625699999999</v>
      </c>
      <c r="B575" s="1">
        <f>DATE(2011,8,10) + TIME(3,30,36)</f>
        <v>40765.146249999998</v>
      </c>
      <c r="C575">
        <v>550</v>
      </c>
      <c r="D575">
        <v>0</v>
      </c>
      <c r="E575">
        <v>0</v>
      </c>
      <c r="F575">
        <v>550</v>
      </c>
      <c r="G575">
        <v>1344.8839111</v>
      </c>
      <c r="H575">
        <v>1340.5606689000001</v>
      </c>
      <c r="I575">
        <v>1322.3110352000001</v>
      </c>
      <c r="J575">
        <v>1317.8862305</v>
      </c>
      <c r="K575">
        <v>80</v>
      </c>
      <c r="L575">
        <v>79.804939270000006</v>
      </c>
      <c r="M575">
        <v>60</v>
      </c>
      <c r="N575">
        <v>49.742134094000001</v>
      </c>
    </row>
    <row r="576" spans="1:14" x14ac:dyDescent="0.25">
      <c r="A576">
        <v>468.50951600000002</v>
      </c>
      <c r="B576" s="1">
        <f>DATE(2011,8,12) + TIME(12,13,42)</f>
        <v>40767.509513888886</v>
      </c>
      <c r="C576">
        <v>550</v>
      </c>
      <c r="D576">
        <v>0</v>
      </c>
      <c r="E576">
        <v>0</v>
      </c>
      <c r="F576">
        <v>550</v>
      </c>
      <c r="G576">
        <v>1344.8643798999999</v>
      </c>
      <c r="H576">
        <v>1340.546875</v>
      </c>
      <c r="I576">
        <v>1322.2702637</v>
      </c>
      <c r="J576">
        <v>1317.8116454999999</v>
      </c>
      <c r="K576">
        <v>80</v>
      </c>
      <c r="L576">
        <v>79.805137634000005</v>
      </c>
      <c r="M576">
        <v>60</v>
      </c>
      <c r="N576">
        <v>49.583827972000002</v>
      </c>
    </row>
    <row r="577" spans="1:14" x14ac:dyDescent="0.25">
      <c r="A577">
        <v>470.9049</v>
      </c>
      <c r="B577" s="1">
        <f>DATE(2011,8,14) + TIME(21,43,3)</f>
        <v>40769.904895833337</v>
      </c>
      <c r="C577">
        <v>550</v>
      </c>
      <c r="D577">
        <v>0</v>
      </c>
      <c r="E577">
        <v>0</v>
      </c>
      <c r="F577">
        <v>550</v>
      </c>
      <c r="G577">
        <v>1344.8448486</v>
      </c>
      <c r="H577">
        <v>1340.5330810999999</v>
      </c>
      <c r="I577">
        <v>1322.2302245999999</v>
      </c>
      <c r="J577">
        <v>1317.737793</v>
      </c>
      <c r="K577">
        <v>80</v>
      </c>
      <c r="L577">
        <v>79.805351256999998</v>
      </c>
      <c r="M577">
        <v>60</v>
      </c>
      <c r="N577">
        <v>49.431560515999998</v>
      </c>
    </row>
    <row r="578" spans="1:14" x14ac:dyDescent="0.25">
      <c r="A578">
        <v>473.34156100000001</v>
      </c>
      <c r="B578" s="1">
        <f>DATE(2011,8,17) + TIME(8,11,50)</f>
        <v>40772.341550925928</v>
      </c>
      <c r="C578">
        <v>550</v>
      </c>
      <c r="D578">
        <v>0</v>
      </c>
      <c r="E578">
        <v>0</v>
      </c>
      <c r="F578">
        <v>550</v>
      </c>
      <c r="G578">
        <v>1344.8253173999999</v>
      </c>
      <c r="H578">
        <v>1340.5191649999999</v>
      </c>
      <c r="I578">
        <v>1322.1910399999999</v>
      </c>
      <c r="J578">
        <v>1317.6646728999999</v>
      </c>
      <c r="K578">
        <v>80</v>
      </c>
      <c r="L578">
        <v>79.805564880000006</v>
      </c>
      <c r="M578">
        <v>60</v>
      </c>
      <c r="N578">
        <v>49.286247252999999</v>
      </c>
    </row>
    <row r="579" spans="1:14" x14ac:dyDescent="0.25">
      <c r="A579">
        <v>475.82692800000001</v>
      </c>
      <c r="B579" s="1">
        <f>DATE(2011,8,19) + TIME(19,50,46)</f>
        <v>40774.826921296299</v>
      </c>
      <c r="C579">
        <v>550</v>
      </c>
      <c r="D579">
        <v>0</v>
      </c>
      <c r="E579">
        <v>0</v>
      </c>
      <c r="F579">
        <v>550</v>
      </c>
      <c r="G579">
        <v>1344.8057861</v>
      </c>
      <c r="H579">
        <v>1340.505249</v>
      </c>
      <c r="I579">
        <v>1322.1524658000001</v>
      </c>
      <c r="J579">
        <v>1317.5922852000001</v>
      </c>
      <c r="K579">
        <v>80</v>
      </c>
      <c r="L579">
        <v>79.805793761999993</v>
      </c>
      <c r="M579">
        <v>60</v>
      </c>
      <c r="N579">
        <v>49.148895263999997</v>
      </c>
    </row>
    <row r="580" spans="1:14" x14ac:dyDescent="0.25">
      <c r="A580">
        <v>478.36926</v>
      </c>
      <c r="B580" s="1">
        <f>DATE(2011,8,22) + TIME(8,51,44)</f>
        <v>40777.369259259256</v>
      </c>
      <c r="C580">
        <v>550</v>
      </c>
      <c r="D580">
        <v>0</v>
      </c>
      <c r="E580">
        <v>0</v>
      </c>
      <c r="F580">
        <v>550</v>
      </c>
      <c r="G580">
        <v>1344.7860106999999</v>
      </c>
      <c r="H580">
        <v>1340.4910889</v>
      </c>
      <c r="I580">
        <v>1322.1147461</v>
      </c>
      <c r="J580">
        <v>1317.5207519999999</v>
      </c>
      <c r="K580">
        <v>80</v>
      </c>
      <c r="L580">
        <v>79.806022643999995</v>
      </c>
      <c r="M580">
        <v>60</v>
      </c>
      <c r="N580">
        <v>49.020606995000001</v>
      </c>
    </row>
    <row r="581" spans="1:14" x14ac:dyDescent="0.25">
      <c r="A581">
        <v>480.97740599999997</v>
      </c>
      <c r="B581" s="1">
        <f>DATE(2011,8,24) + TIME(23,27,27)</f>
        <v>40779.977395833332</v>
      </c>
      <c r="C581">
        <v>550</v>
      </c>
      <c r="D581">
        <v>0</v>
      </c>
      <c r="E581">
        <v>0</v>
      </c>
      <c r="F581">
        <v>550</v>
      </c>
      <c r="G581">
        <v>1344.7661132999999</v>
      </c>
      <c r="H581">
        <v>1340.4768065999999</v>
      </c>
      <c r="I581">
        <v>1322.0776367000001</v>
      </c>
      <c r="J581">
        <v>1317.4501952999999</v>
      </c>
      <c r="K581">
        <v>80</v>
      </c>
      <c r="L581">
        <v>79.806266785000005</v>
      </c>
      <c r="M581">
        <v>60</v>
      </c>
      <c r="N581">
        <v>48.902603149000001</v>
      </c>
    </row>
    <row r="582" spans="1:14" x14ac:dyDescent="0.25">
      <c r="A582">
        <v>483.63808499999999</v>
      </c>
      <c r="B582" s="1">
        <f>DATE(2011,8,27) + TIME(15,18,50)</f>
        <v>40782.638078703705</v>
      </c>
      <c r="C582">
        <v>550</v>
      </c>
      <c r="D582">
        <v>0</v>
      </c>
      <c r="E582">
        <v>0</v>
      </c>
      <c r="F582">
        <v>550</v>
      </c>
      <c r="G582">
        <v>1344.7458495999999</v>
      </c>
      <c r="H582">
        <v>1340.4624022999999</v>
      </c>
      <c r="I582">
        <v>1322.0415039</v>
      </c>
      <c r="J582">
        <v>1317.3807373</v>
      </c>
      <c r="K582">
        <v>80</v>
      </c>
      <c r="L582">
        <v>79.806510924999998</v>
      </c>
      <c r="M582">
        <v>60</v>
      </c>
      <c r="N582">
        <v>48.796806334999999</v>
      </c>
    </row>
    <row r="583" spans="1:14" x14ac:dyDescent="0.25">
      <c r="A583">
        <v>486.34090800000001</v>
      </c>
      <c r="B583" s="1">
        <f>DATE(2011,8,30) + TIME(8,10,54)</f>
        <v>40785.340902777774</v>
      </c>
      <c r="C583">
        <v>550</v>
      </c>
      <c r="D583">
        <v>0</v>
      </c>
      <c r="E583">
        <v>0</v>
      </c>
      <c r="F583">
        <v>550</v>
      </c>
      <c r="G583">
        <v>1344.7254639</v>
      </c>
      <c r="H583">
        <v>1340.4476318</v>
      </c>
      <c r="I583">
        <v>1322.0064697</v>
      </c>
      <c r="J583">
        <v>1317.3128661999999</v>
      </c>
      <c r="K583">
        <v>80</v>
      </c>
      <c r="L583">
        <v>79.806762695000003</v>
      </c>
      <c r="M583">
        <v>60</v>
      </c>
      <c r="N583">
        <v>48.705089569000002</v>
      </c>
    </row>
    <row r="584" spans="1:14" x14ac:dyDescent="0.25">
      <c r="A584">
        <v>488</v>
      </c>
      <c r="B584" s="1">
        <f>DATE(2011,9,1) + TIME(0,0,0)</f>
        <v>40787</v>
      </c>
      <c r="C584">
        <v>550</v>
      </c>
      <c r="D584">
        <v>0</v>
      </c>
      <c r="E584">
        <v>0</v>
      </c>
      <c r="F584">
        <v>550</v>
      </c>
      <c r="G584">
        <v>1344.7048339999999</v>
      </c>
      <c r="H584">
        <v>1340.4328613</v>
      </c>
      <c r="I584">
        <v>1321.9757079999999</v>
      </c>
      <c r="J584">
        <v>1317.2537841999999</v>
      </c>
      <c r="K584">
        <v>80</v>
      </c>
      <c r="L584">
        <v>79.806877135999997</v>
      </c>
      <c r="M584">
        <v>60</v>
      </c>
      <c r="N584">
        <v>48.649444580000001</v>
      </c>
    </row>
    <row r="585" spans="1:14" x14ac:dyDescent="0.25">
      <c r="A585">
        <v>490.754186</v>
      </c>
      <c r="B585" s="1">
        <f>DATE(2011,9,3) + TIME(18,6,1)</f>
        <v>40789.754178240742</v>
      </c>
      <c r="C585">
        <v>550</v>
      </c>
      <c r="D585">
        <v>0</v>
      </c>
      <c r="E585">
        <v>0</v>
      </c>
      <c r="F585">
        <v>550</v>
      </c>
      <c r="G585">
        <v>1344.6925048999999</v>
      </c>
      <c r="H585">
        <v>1340.4238281</v>
      </c>
      <c r="I585">
        <v>1321.9508057</v>
      </c>
      <c r="J585">
        <v>1317.2043457</v>
      </c>
      <c r="K585">
        <v>80</v>
      </c>
      <c r="L585">
        <v>79.807159424000005</v>
      </c>
      <c r="M585">
        <v>60</v>
      </c>
      <c r="N585">
        <v>48.588054657000001</v>
      </c>
    </row>
    <row r="586" spans="1:14" x14ac:dyDescent="0.25">
      <c r="A586">
        <v>493.611672</v>
      </c>
      <c r="B586" s="1">
        <f>DATE(2011,9,6) + TIME(14,40,48)</f>
        <v>40792.611666666664</v>
      </c>
      <c r="C586">
        <v>550</v>
      </c>
      <c r="D586">
        <v>0</v>
      </c>
      <c r="E586">
        <v>0</v>
      </c>
      <c r="F586">
        <v>550</v>
      </c>
      <c r="G586">
        <v>1344.6721190999999</v>
      </c>
      <c r="H586">
        <v>1340.4090576000001</v>
      </c>
      <c r="I586">
        <v>1321.9204102000001</v>
      </c>
      <c r="J586">
        <v>1317.1444091999999</v>
      </c>
      <c r="K586">
        <v>80</v>
      </c>
      <c r="L586">
        <v>79.807449340999995</v>
      </c>
      <c r="M586">
        <v>60</v>
      </c>
      <c r="N586">
        <v>48.542045592999997</v>
      </c>
    </row>
    <row r="587" spans="1:14" x14ac:dyDescent="0.25">
      <c r="A587">
        <v>496.51842299999998</v>
      </c>
      <c r="B587" s="1">
        <f>DATE(2011,9,9) + TIME(12,26,31)</f>
        <v>40795.518414351849</v>
      </c>
      <c r="C587">
        <v>550</v>
      </c>
      <c r="D587">
        <v>0</v>
      </c>
      <c r="E587">
        <v>0</v>
      </c>
      <c r="F587">
        <v>550</v>
      </c>
      <c r="G587">
        <v>1344.6511230000001</v>
      </c>
      <c r="H587">
        <v>1340.3937988</v>
      </c>
      <c r="I587">
        <v>1321.8908690999999</v>
      </c>
      <c r="J587">
        <v>1317.0856934000001</v>
      </c>
      <c r="K587">
        <v>80</v>
      </c>
      <c r="L587">
        <v>79.807731627999999</v>
      </c>
      <c r="M587">
        <v>60</v>
      </c>
      <c r="N587">
        <v>48.514312744000001</v>
      </c>
    </row>
    <row r="588" spans="1:14" x14ac:dyDescent="0.25">
      <c r="A588">
        <v>499.44225599999999</v>
      </c>
      <c r="B588" s="1">
        <f>DATE(2011,9,12) + TIME(10,36,50)</f>
        <v>40798.442245370374</v>
      </c>
      <c r="C588">
        <v>550</v>
      </c>
      <c r="D588">
        <v>0</v>
      </c>
      <c r="E588">
        <v>0</v>
      </c>
      <c r="F588">
        <v>550</v>
      </c>
      <c r="G588">
        <v>1344.6301269999999</v>
      </c>
      <c r="H588">
        <v>1340.378418</v>
      </c>
      <c r="I588">
        <v>1321.8626709</v>
      </c>
      <c r="J588">
        <v>1317.0295410000001</v>
      </c>
      <c r="K588">
        <v>80</v>
      </c>
      <c r="L588">
        <v>79.808013915999993</v>
      </c>
      <c r="M588">
        <v>60</v>
      </c>
      <c r="N588">
        <v>48.506664276000002</v>
      </c>
    </row>
    <row r="589" spans="1:14" x14ac:dyDescent="0.25">
      <c r="A589">
        <v>502.40186899999998</v>
      </c>
      <c r="B589" s="1">
        <f>DATE(2011,9,15) + TIME(9,38,41)</f>
        <v>40801.401863425926</v>
      </c>
      <c r="C589">
        <v>550</v>
      </c>
      <c r="D589">
        <v>0</v>
      </c>
      <c r="E589">
        <v>0</v>
      </c>
      <c r="F589">
        <v>550</v>
      </c>
      <c r="G589">
        <v>1344.6091309000001</v>
      </c>
      <c r="H589">
        <v>1340.3631591999999</v>
      </c>
      <c r="I589">
        <v>1321.8363036999999</v>
      </c>
      <c r="J589">
        <v>1316.9766846</v>
      </c>
      <c r="K589">
        <v>80</v>
      </c>
      <c r="L589">
        <v>79.808303832999997</v>
      </c>
      <c r="M589">
        <v>60</v>
      </c>
      <c r="N589">
        <v>48.520000457999998</v>
      </c>
    </row>
    <row r="590" spans="1:14" x14ac:dyDescent="0.25">
      <c r="A590">
        <v>505.407599</v>
      </c>
      <c r="B590" s="1">
        <f>DATE(2011,9,18) + TIME(9,46,56)</f>
        <v>40804.407592592594</v>
      </c>
      <c r="C590">
        <v>550</v>
      </c>
      <c r="D590">
        <v>0</v>
      </c>
      <c r="E590">
        <v>0</v>
      </c>
      <c r="F590">
        <v>550</v>
      </c>
      <c r="G590">
        <v>1344.5882568</v>
      </c>
      <c r="H590">
        <v>1340.3479004000001</v>
      </c>
      <c r="I590">
        <v>1321.8116454999999</v>
      </c>
      <c r="J590">
        <v>1316.9272461</v>
      </c>
      <c r="K590">
        <v>80</v>
      </c>
      <c r="L590">
        <v>79.808601378999995</v>
      </c>
      <c r="M590">
        <v>60</v>
      </c>
      <c r="N590">
        <v>48.554977417000003</v>
      </c>
    </row>
    <row r="591" spans="1:14" x14ac:dyDescent="0.25">
      <c r="A591">
        <v>508.468639</v>
      </c>
      <c r="B591" s="1">
        <f>DATE(2011,9,21) + TIME(11,14,50)</f>
        <v>40807.468634259261</v>
      </c>
      <c r="C591">
        <v>550</v>
      </c>
      <c r="D591">
        <v>0</v>
      </c>
      <c r="E591">
        <v>0</v>
      </c>
      <c r="F591">
        <v>550</v>
      </c>
      <c r="G591">
        <v>1344.5673827999999</v>
      </c>
      <c r="H591">
        <v>1340.3325195</v>
      </c>
      <c r="I591">
        <v>1321.7888184000001</v>
      </c>
      <c r="J591">
        <v>1316.8811035000001</v>
      </c>
      <c r="K591">
        <v>80</v>
      </c>
      <c r="L591">
        <v>79.808898925999998</v>
      </c>
      <c r="M591">
        <v>60</v>
      </c>
      <c r="N591">
        <v>48.612094878999997</v>
      </c>
    </row>
    <row r="592" spans="1:14" x14ac:dyDescent="0.25">
      <c r="A592">
        <v>511.58668599999999</v>
      </c>
      <c r="B592" s="1">
        <f>DATE(2011,9,24) + TIME(14,4,49)</f>
        <v>40810.586678240739</v>
      </c>
      <c r="C592">
        <v>550</v>
      </c>
      <c r="D592">
        <v>0</v>
      </c>
      <c r="E592">
        <v>0</v>
      </c>
      <c r="F592">
        <v>550</v>
      </c>
      <c r="G592">
        <v>1344.5463867000001</v>
      </c>
      <c r="H592">
        <v>1340.3170166</v>
      </c>
      <c r="I592">
        <v>1321.7677002</v>
      </c>
      <c r="J592">
        <v>1316.8387451000001</v>
      </c>
      <c r="K592">
        <v>80</v>
      </c>
      <c r="L592">
        <v>79.809211731000005</v>
      </c>
      <c r="M592">
        <v>60</v>
      </c>
      <c r="N592">
        <v>48.691596984999997</v>
      </c>
    </row>
    <row r="593" spans="1:14" x14ac:dyDescent="0.25">
      <c r="A593">
        <v>514.762159</v>
      </c>
      <c r="B593" s="1">
        <f>DATE(2011,9,27) + TIME(18,17,30)</f>
        <v>40813.762152777781</v>
      </c>
      <c r="C593">
        <v>550</v>
      </c>
      <c r="D593">
        <v>0</v>
      </c>
      <c r="E593">
        <v>0</v>
      </c>
      <c r="F593">
        <v>550</v>
      </c>
      <c r="G593">
        <v>1344.5252685999999</v>
      </c>
      <c r="H593">
        <v>1340.3015137</v>
      </c>
      <c r="I593">
        <v>1321.7485352000001</v>
      </c>
      <c r="J593">
        <v>1316.7999268000001</v>
      </c>
      <c r="K593">
        <v>80</v>
      </c>
      <c r="L593">
        <v>79.809524535999998</v>
      </c>
      <c r="M593">
        <v>60</v>
      </c>
      <c r="N593">
        <v>48.793418883999998</v>
      </c>
    </row>
    <row r="594" spans="1:14" x14ac:dyDescent="0.25">
      <c r="A594">
        <v>518</v>
      </c>
      <c r="B594" s="1">
        <f>DATE(2011,10,1) + TIME(0,0,0)</f>
        <v>40817</v>
      </c>
      <c r="C594">
        <v>550</v>
      </c>
      <c r="D594">
        <v>0</v>
      </c>
      <c r="E594">
        <v>0</v>
      </c>
      <c r="F594">
        <v>550</v>
      </c>
      <c r="G594">
        <v>1344.5041504000001</v>
      </c>
      <c r="H594">
        <v>1340.2858887</v>
      </c>
      <c r="I594">
        <v>1321.7312012</v>
      </c>
      <c r="J594">
        <v>1316.7648925999999</v>
      </c>
      <c r="K594">
        <v>80</v>
      </c>
      <c r="L594">
        <v>79.809844971000004</v>
      </c>
      <c r="M594">
        <v>60</v>
      </c>
      <c r="N594">
        <v>48.917243958</v>
      </c>
    </row>
    <row r="595" spans="1:14" x14ac:dyDescent="0.25">
      <c r="A595">
        <v>521.24405300000001</v>
      </c>
      <c r="B595" s="1">
        <f>DATE(2011,10,4) + TIME(5,51,26)</f>
        <v>40820.244050925925</v>
      </c>
      <c r="C595">
        <v>550</v>
      </c>
      <c r="D595">
        <v>0</v>
      </c>
      <c r="E595">
        <v>0</v>
      </c>
      <c r="F595">
        <v>550</v>
      </c>
      <c r="G595">
        <v>1344.4829102000001</v>
      </c>
      <c r="H595">
        <v>1340.2701416</v>
      </c>
      <c r="I595">
        <v>1321.7160644999999</v>
      </c>
      <c r="J595">
        <v>1316.7340088000001</v>
      </c>
      <c r="K595">
        <v>80</v>
      </c>
      <c r="L595">
        <v>79.810165405000006</v>
      </c>
      <c r="M595">
        <v>60</v>
      </c>
      <c r="N595">
        <v>49.061210631999998</v>
      </c>
    </row>
    <row r="596" spans="1:14" x14ac:dyDescent="0.25">
      <c r="A596">
        <v>524.65241100000003</v>
      </c>
      <c r="B596" s="1">
        <f>DATE(2011,10,7) + TIME(15,39,28)</f>
        <v>40823.652407407404</v>
      </c>
      <c r="C596">
        <v>550</v>
      </c>
      <c r="D596">
        <v>0</v>
      </c>
      <c r="E596">
        <v>0</v>
      </c>
      <c r="F596">
        <v>550</v>
      </c>
      <c r="G596">
        <v>1344.4619141000001</v>
      </c>
      <c r="H596">
        <v>1340.2546387</v>
      </c>
      <c r="I596">
        <v>1321.7025146000001</v>
      </c>
      <c r="J596">
        <v>1316.7067870999999</v>
      </c>
      <c r="K596">
        <v>80</v>
      </c>
      <c r="L596">
        <v>79.810508728000002</v>
      </c>
      <c r="M596">
        <v>60</v>
      </c>
      <c r="N596">
        <v>49.226970672999997</v>
      </c>
    </row>
    <row r="597" spans="1:14" x14ac:dyDescent="0.25">
      <c r="A597">
        <v>528.07467099999997</v>
      </c>
      <c r="B597" s="1">
        <f>DATE(2011,10,11) + TIME(1,47,31)</f>
        <v>40827.074664351851</v>
      </c>
      <c r="C597">
        <v>550</v>
      </c>
      <c r="D597">
        <v>0</v>
      </c>
      <c r="E597">
        <v>0</v>
      </c>
      <c r="F597">
        <v>550</v>
      </c>
      <c r="G597">
        <v>1344.4403076000001</v>
      </c>
      <c r="H597">
        <v>1340.2386475000001</v>
      </c>
      <c r="I597">
        <v>1321.6910399999999</v>
      </c>
      <c r="J597">
        <v>1316.6833495999999</v>
      </c>
      <c r="K597">
        <v>80</v>
      </c>
      <c r="L597">
        <v>79.810852050999998</v>
      </c>
      <c r="M597">
        <v>60</v>
      </c>
      <c r="N597">
        <v>49.411987304999997</v>
      </c>
    </row>
    <row r="598" spans="1:14" x14ac:dyDescent="0.25">
      <c r="A598">
        <v>531.52018499999997</v>
      </c>
      <c r="B598" s="1">
        <f>DATE(2011,10,14) + TIME(12,29,4)</f>
        <v>40830.520185185182</v>
      </c>
      <c r="C598">
        <v>550</v>
      </c>
      <c r="D598">
        <v>0</v>
      </c>
      <c r="E598">
        <v>0</v>
      </c>
      <c r="F598">
        <v>550</v>
      </c>
      <c r="G598">
        <v>1344.4189452999999</v>
      </c>
      <c r="H598">
        <v>1340.2229004000001</v>
      </c>
      <c r="I598">
        <v>1321.6816406</v>
      </c>
      <c r="J598">
        <v>1316.6640625</v>
      </c>
      <c r="K598">
        <v>80</v>
      </c>
      <c r="L598">
        <v>79.811195373999993</v>
      </c>
      <c r="M598">
        <v>60</v>
      </c>
      <c r="N598">
        <v>49.613407135000003</v>
      </c>
    </row>
    <row r="599" spans="1:14" x14ac:dyDescent="0.25">
      <c r="A599">
        <v>534.99993400000005</v>
      </c>
      <c r="B599" s="1">
        <f>DATE(2011,10,17) + TIME(23,59,54)</f>
        <v>40833.999930555554</v>
      </c>
      <c r="C599">
        <v>550</v>
      </c>
      <c r="D599">
        <v>0</v>
      </c>
      <c r="E599">
        <v>0</v>
      </c>
      <c r="F599">
        <v>550</v>
      </c>
      <c r="G599">
        <v>1344.3978271000001</v>
      </c>
      <c r="H599">
        <v>1340.2072754000001</v>
      </c>
      <c r="I599">
        <v>1321.6741943</v>
      </c>
      <c r="J599">
        <v>1316.6486815999999</v>
      </c>
      <c r="K599">
        <v>80</v>
      </c>
      <c r="L599">
        <v>79.811546325999998</v>
      </c>
      <c r="M599">
        <v>60</v>
      </c>
      <c r="N599">
        <v>49.829044342000003</v>
      </c>
    </row>
    <row r="600" spans="1:14" x14ac:dyDescent="0.25">
      <c r="A600">
        <v>538.51649299999997</v>
      </c>
      <c r="B600" s="1">
        <f>DATE(2011,10,21) + TIME(12,23,44)</f>
        <v>40837.516481481478</v>
      </c>
      <c r="C600">
        <v>550</v>
      </c>
      <c r="D600">
        <v>0</v>
      </c>
      <c r="E600">
        <v>0</v>
      </c>
      <c r="F600">
        <v>550</v>
      </c>
      <c r="G600">
        <v>1344.3769531</v>
      </c>
      <c r="H600">
        <v>1340.1918945</v>
      </c>
      <c r="I600">
        <v>1321.6687012</v>
      </c>
      <c r="J600">
        <v>1316.6370850000001</v>
      </c>
      <c r="K600">
        <v>80</v>
      </c>
      <c r="L600">
        <v>79.811897278000004</v>
      </c>
      <c r="M600">
        <v>60</v>
      </c>
      <c r="N600">
        <v>50.056842803999999</v>
      </c>
    </row>
    <row r="601" spans="1:14" x14ac:dyDescent="0.25">
      <c r="A601">
        <v>542.07487500000002</v>
      </c>
      <c r="B601" s="1">
        <f>DATE(2011,10,25) + TIME(1,47,49)</f>
        <v>40841.074872685182</v>
      </c>
      <c r="C601">
        <v>550</v>
      </c>
      <c r="D601">
        <v>0</v>
      </c>
      <c r="E601">
        <v>0</v>
      </c>
      <c r="F601">
        <v>550</v>
      </c>
      <c r="G601">
        <v>1344.3562012</v>
      </c>
      <c r="H601">
        <v>1340.1765137</v>
      </c>
      <c r="I601">
        <v>1321.6650391000001</v>
      </c>
      <c r="J601">
        <v>1316.6291504000001</v>
      </c>
      <c r="K601">
        <v>80</v>
      </c>
      <c r="L601">
        <v>79.812248229999994</v>
      </c>
      <c r="M601">
        <v>60</v>
      </c>
      <c r="N601">
        <v>50.294841765999998</v>
      </c>
    </row>
    <row r="602" spans="1:14" x14ac:dyDescent="0.25">
      <c r="A602">
        <v>545.70102499999996</v>
      </c>
      <c r="B602" s="1">
        <f>DATE(2011,10,28) + TIME(16,49,28)</f>
        <v>40844.701018518521</v>
      </c>
      <c r="C602">
        <v>550</v>
      </c>
      <c r="D602">
        <v>0</v>
      </c>
      <c r="E602">
        <v>0</v>
      </c>
      <c r="F602">
        <v>550</v>
      </c>
      <c r="G602">
        <v>1344.3356934000001</v>
      </c>
      <c r="H602">
        <v>1340.1613769999999</v>
      </c>
      <c r="I602">
        <v>1321.6632079999999</v>
      </c>
      <c r="J602">
        <v>1316.6245117000001</v>
      </c>
      <c r="K602">
        <v>80</v>
      </c>
      <c r="L602">
        <v>79.812614440999994</v>
      </c>
      <c r="M602">
        <v>60</v>
      </c>
      <c r="N602">
        <v>50.542083740000002</v>
      </c>
    </row>
    <row r="603" spans="1:14" x14ac:dyDescent="0.25">
      <c r="A603">
        <v>549</v>
      </c>
      <c r="B603" s="1">
        <f>DATE(2011,11,1) + TIME(0,0,0)</f>
        <v>40848</v>
      </c>
      <c r="C603">
        <v>550</v>
      </c>
      <c r="D603">
        <v>0</v>
      </c>
      <c r="E603">
        <v>0</v>
      </c>
      <c r="F603">
        <v>550</v>
      </c>
      <c r="G603">
        <v>1344.3151855000001</v>
      </c>
      <c r="H603">
        <v>1340.1462402</v>
      </c>
      <c r="I603">
        <v>1321.6639404</v>
      </c>
      <c r="J603">
        <v>1316.6234131000001</v>
      </c>
      <c r="K603">
        <v>80</v>
      </c>
      <c r="L603">
        <v>79.812927246000001</v>
      </c>
      <c r="M603">
        <v>60</v>
      </c>
      <c r="N603">
        <v>50.784030913999999</v>
      </c>
    </row>
    <row r="604" spans="1:14" x14ac:dyDescent="0.25">
      <c r="A604">
        <v>549.000001</v>
      </c>
      <c r="B604" s="1">
        <f>DATE(2011,11,1) + TIME(0,0,0)</f>
        <v>40848</v>
      </c>
      <c r="C604">
        <v>0</v>
      </c>
      <c r="D604">
        <v>550</v>
      </c>
      <c r="E604">
        <v>550</v>
      </c>
      <c r="F604">
        <v>0</v>
      </c>
      <c r="G604">
        <v>1339.9465332</v>
      </c>
      <c r="H604">
        <v>1338.3071289</v>
      </c>
      <c r="I604">
        <v>1327.2131348</v>
      </c>
      <c r="J604">
        <v>1321.9040527</v>
      </c>
      <c r="K604">
        <v>80</v>
      </c>
      <c r="L604">
        <v>79.812896729000002</v>
      </c>
      <c r="M604">
        <v>60</v>
      </c>
      <c r="N604">
        <v>50.784065247000001</v>
      </c>
    </row>
    <row r="605" spans="1:14" x14ac:dyDescent="0.25">
      <c r="A605">
        <v>549.00000399999999</v>
      </c>
      <c r="B605" s="1">
        <f>DATE(2011,11,1) + TIME(0,0,0)</f>
        <v>40848</v>
      </c>
      <c r="C605">
        <v>0</v>
      </c>
      <c r="D605">
        <v>550</v>
      </c>
      <c r="E605">
        <v>550</v>
      </c>
      <c r="F605">
        <v>0</v>
      </c>
      <c r="G605">
        <v>1339.4418945</v>
      </c>
      <c r="H605">
        <v>1337.802124</v>
      </c>
      <c r="I605">
        <v>1327.7733154</v>
      </c>
      <c r="J605">
        <v>1322.5407714999999</v>
      </c>
      <c r="K605">
        <v>80</v>
      </c>
      <c r="L605">
        <v>79.812828064000001</v>
      </c>
      <c r="M605">
        <v>60</v>
      </c>
      <c r="N605">
        <v>50.784156799000002</v>
      </c>
    </row>
    <row r="606" spans="1:14" x14ac:dyDescent="0.25">
      <c r="A606">
        <v>549.00001299999997</v>
      </c>
      <c r="B606" s="1">
        <f>DATE(2011,11,1) + TIME(0,0,1)</f>
        <v>40848.000011574077</v>
      </c>
      <c r="C606">
        <v>0</v>
      </c>
      <c r="D606">
        <v>550</v>
      </c>
      <c r="E606">
        <v>550</v>
      </c>
      <c r="F606">
        <v>0</v>
      </c>
      <c r="G606">
        <v>1338.4219971</v>
      </c>
      <c r="H606">
        <v>1336.7801514</v>
      </c>
      <c r="I606">
        <v>1329.0688477000001</v>
      </c>
      <c r="J606">
        <v>1323.9564209</v>
      </c>
      <c r="K606">
        <v>80</v>
      </c>
      <c r="L606">
        <v>79.812683105000005</v>
      </c>
      <c r="M606">
        <v>60</v>
      </c>
      <c r="N606">
        <v>50.784362793</v>
      </c>
    </row>
    <row r="607" spans="1:14" x14ac:dyDescent="0.25">
      <c r="A607">
        <v>549.00004000000001</v>
      </c>
      <c r="B607" s="1">
        <f>DATE(2011,11,1) + TIME(0,0,3)</f>
        <v>40848.000034722223</v>
      </c>
      <c r="C607">
        <v>0</v>
      </c>
      <c r="D607">
        <v>550</v>
      </c>
      <c r="E607">
        <v>550</v>
      </c>
      <c r="F607">
        <v>0</v>
      </c>
      <c r="G607">
        <v>1336.9259033000001</v>
      </c>
      <c r="H607">
        <v>1335.2735596</v>
      </c>
      <c r="I607">
        <v>1331.3212891000001</v>
      </c>
      <c r="J607">
        <v>1326.2725829999999</v>
      </c>
      <c r="K607">
        <v>80</v>
      </c>
      <c r="L607">
        <v>79.812461853000002</v>
      </c>
      <c r="M607">
        <v>60</v>
      </c>
      <c r="N607">
        <v>50.784736633000001</v>
      </c>
    </row>
    <row r="608" spans="1:14" x14ac:dyDescent="0.25">
      <c r="A608">
        <v>549.00012100000004</v>
      </c>
      <c r="B608" s="1">
        <f>DATE(2011,11,1) + TIME(0,0,10)</f>
        <v>40848.000115740739</v>
      </c>
      <c r="C608">
        <v>0</v>
      </c>
      <c r="D608">
        <v>550</v>
      </c>
      <c r="E608">
        <v>550</v>
      </c>
      <c r="F608">
        <v>0</v>
      </c>
      <c r="G608">
        <v>1335.2371826000001</v>
      </c>
      <c r="H608">
        <v>1333.5585937999999</v>
      </c>
      <c r="I608">
        <v>1334.2125243999999</v>
      </c>
      <c r="J608">
        <v>1329.1430664</v>
      </c>
      <c r="K608">
        <v>80</v>
      </c>
      <c r="L608">
        <v>79.812217712000006</v>
      </c>
      <c r="M608">
        <v>60</v>
      </c>
      <c r="N608">
        <v>50.785335541000002</v>
      </c>
    </row>
    <row r="609" spans="1:14" x14ac:dyDescent="0.25">
      <c r="A609">
        <v>549.00036399999999</v>
      </c>
      <c r="B609" s="1">
        <f>DATE(2011,11,1) + TIME(0,0,31)</f>
        <v>40848.000358796293</v>
      </c>
      <c r="C609">
        <v>0</v>
      </c>
      <c r="D609">
        <v>550</v>
      </c>
      <c r="E609">
        <v>550</v>
      </c>
      <c r="F609">
        <v>0</v>
      </c>
      <c r="G609">
        <v>1333.4747314000001</v>
      </c>
      <c r="H609">
        <v>1331.7238769999999</v>
      </c>
      <c r="I609">
        <v>1337.3013916</v>
      </c>
      <c r="J609">
        <v>1332.1903076000001</v>
      </c>
      <c r="K609">
        <v>80</v>
      </c>
      <c r="L609">
        <v>79.811927795000003</v>
      </c>
      <c r="M609">
        <v>60</v>
      </c>
      <c r="N609">
        <v>50.786434174</v>
      </c>
    </row>
    <row r="610" spans="1:14" x14ac:dyDescent="0.25">
      <c r="A610">
        <v>549.00109299999997</v>
      </c>
      <c r="B610" s="1">
        <f>DATE(2011,11,1) + TIME(0,1,34)</f>
        <v>40848.001087962963</v>
      </c>
      <c r="C610">
        <v>0</v>
      </c>
      <c r="D610">
        <v>550</v>
      </c>
      <c r="E610">
        <v>550</v>
      </c>
      <c r="F610">
        <v>0</v>
      </c>
      <c r="G610">
        <v>1331.6394043</v>
      </c>
      <c r="H610">
        <v>1329.7476807</v>
      </c>
      <c r="I610">
        <v>1340.3817139</v>
      </c>
      <c r="J610">
        <v>1335.2287598</v>
      </c>
      <c r="K610">
        <v>80</v>
      </c>
      <c r="L610">
        <v>79.811538696</v>
      </c>
      <c r="M610">
        <v>60</v>
      </c>
      <c r="N610">
        <v>50.788978577000002</v>
      </c>
    </row>
    <row r="611" spans="1:14" x14ac:dyDescent="0.25">
      <c r="A611">
        <v>549.00328000000002</v>
      </c>
      <c r="B611" s="1">
        <f>DATE(2011,11,1) + TIME(0,4,43)</f>
        <v>40848.003275462965</v>
      </c>
      <c r="C611">
        <v>0</v>
      </c>
      <c r="D611">
        <v>550</v>
      </c>
      <c r="E611">
        <v>550</v>
      </c>
      <c r="F611">
        <v>0</v>
      </c>
      <c r="G611">
        <v>1329.9051514</v>
      </c>
      <c r="H611">
        <v>1327.8645019999999</v>
      </c>
      <c r="I611">
        <v>1343.0539550999999</v>
      </c>
      <c r="J611">
        <v>1337.8549805</v>
      </c>
      <c r="K611">
        <v>80</v>
      </c>
      <c r="L611">
        <v>79.810897827000005</v>
      </c>
      <c r="M611">
        <v>60</v>
      </c>
      <c r="N611">
        <v>50.795848845999998</v>
      </c>
    </row>
    <row r="612" spans="1:14" x14ac:dyDescent="0.25">
      <c r="A612">
        <v>549.00984100000005</v>
      </c>
      <c r="B612" s="1">
        <f>DATE(2011,11,1) + TIME(0,14,10)</f>
        <v>40848.009837962964</v>
      </c>
      <c r="C612">
        <v>0</v>
      </c>
      <c r="D612">
        <v>550</v>
      </c>
      <c r="E612">
        <v>550</v>
      </c>
      <c r="F612">
        <v>0</v>
      </c>
      <c r="G612">
        <v>1328.5817870999999</v>
      </c>
      <c r="H612">
        <v>1326.4659423999999</v>
      </c>
      <c r="I612">
        <v>1344.8216553</v>
      </c>
      <c r="J612">
        <v>1339.5838623</v>
      </c>
      <c r="K612">
        <v>80</v>
      </c>
      <c r="L612">
        <v>79.809509277000004</v>
      </c>
      <c r="M612">
        <v>60</v>
      </c>
      <c r="N612">
        <v>50.815788269000002</v>
      </c>
    </row>
    <row r="613" spans="1:14" x14ac:dyDescent="0.25">
      <c r="A613">
        <v>549.02952400000004</v>
      </c>
      <c r="B613" s="1">
        <f>DATE(2011,11,1) + TIME(0,42,30)</f>
        <v>40848.029513888891</v>
      </c>
      <c r="C613">
        <v>0</v>
      </c>
      <c r="D613">
        <v>550</v>
      </c>
      <c r="E613">
        <v>550</v>
      </c>
      <c r="F613">
        <v>0</v>
      </c>
      <c r="G613">
        <v>1327.8040771000001</v>
      </c>
      <c r="H613">
        <v>1325.6690673999999</v>
      </c>
      <c r="I613">
        <v>1345.6531981999999</v>
      </c>
      <c r="J613">
        <v>1340.3945312000001</v>
      </c>
      <c r="K613">
        <v>80</v>
      </c>
      <c r="L613">
        <v>79.805770874000004</v>
      </c>
      <c r="M613">
        <v>60</v>
      </c>
      <c r="N613">
        <v>50.874961853000002</v>
      </c>
    </row>
    <row r="614" spans="1:14" x14ac:dyDescent="0.25">
      <c r="A614">
        <v>549.088573</v>
      </c>
      <c r="B614" s="1">
        <f>DATE(2011,11,1) + TIME(2,7,32)</f>
        <v>40848.088564814818</v>
      </c>
      <c r="C614">
        <v>0</v>
      </c>
      <c r="D614">
        <v>550</v>
      </c>
      <c r="E614">
        <v>550</v>
      </c>
      <c r="F614">
        <v>0</v>
      </c>
      <c r="G614">
        <v>1327.4544678</v>
      </c>
      <c r="H614">
        <v>1325.3168945</v>
      </c>
      <c r="I614">
        <v>1345.8736572</v>
      </c>
      <c r="J614">
        <v>1340.6224365</v>
      </c>
      <c r="K614">
        <v>80</v>
      </c>
      <c r="L614">
        <v>79.794952393000003</v>
      </c>
      <c r="M614">
        <v>60</v>
      </c>
      <c r="N614">
        <v>51.048995972</v>
      </c>
    </row>
    <row r="615" spans="1:14" x14ac:dyDescent="0.25">
      <c r="A615">
        <v>549.23759199999995</v>
      </c>
      <c r="B615" s="1">
        <f>DATE(2011,11,1) + TIME(5,42,7)</f>
        <v>40848.237581018519</v>
      </c>
      <c r="C615">
        <v>0</v>
      </c>
      <c r="D615">
        <v>550</v>
      </c>
      <c r="E615">
        <v>550</v>
      </c>
      <c r="F615">
        <v>0</v>
      </c>
      <c r="G615">
        <v>1327.3510742000001</v>
      </c>
      <c r="H615">
        <v>1325.2127685999999</v>
      </c>
      <c r="I615">
        <v>1345.8178711</v>
      </c>
      <c r="J615">
        <v>1340.6068115</v>
      </c>
      <c r="K615">
        <v>80</v>
      </c>
      <c r="L615">
        <v>79.768386840999995</v>
      </c>
      <c r="M615">
        <v>60</v>
      </c>
      <c r="N615">
        <v>51.466751099</v>
      </c>
    </row>
    <row r="616" spans="1:14" x14ac:dyDescent="0.25">
      <c r="A616">
        <v>549.39020100000005</v>
      </c>
      <c r="B616" s="1">
        <f>DATE(2011,11,1) + TIME(9,21,53)</f>
        <v>40848.390196759261</v>
      </c>
      <c r="C616">
        <v>0</v>
      </c>
      <c r="D616">
        <v>550</v>
      </c>
      <c r="E616">
        <v>550</v>
      </c>
      <c r="F616">
        <v>0</v>
      </c>
      <c r="G616">
        <v>1327.3314209</v>
      </c>
      <c r="H616">
        <v>1325.1917725000001</v>
      </c>
      <c r="I616">
        <v>1345.7659911999999</v>
      </c>
      <c r="J616">
        <v>1340.5843506000001</v>
      </c>
      <c r="K616">
        <v>80</v>
      </c>
      <c r="L616">
        <v>79.741462708</v>
      </c>
      <c r="M616">
        <v>60</v>
      </c>
      <c r="N616">
        <v>51.874050140000001</v>
      </c>
    </row>
    <row r="617" spans="1:14" x14ac:dyDescent="0.25">
      <c r="A617">
        <v>549.54693199999997</v>
      </c>
      <c r="B617" s="1">
        <f>DATE(2011,11,1) + TIME(13,7,34)</f>
        <v>40848.5469212963</v>
      </c>
      <c r="C617">
        <v>0</v>
      </c>
      <c r="D617">
        <v>550</v>
      </c>
      <c r="E617">
        <v>550</v>
      </c>
      <c r="F617">
        <v>0</v>
      </c>
      <c r="G617">
        <v>1327.3248291</v>
      </c>
      <c r="H617">
        <v>1325.1838379000001</v>
      </c>
      <c r="I617">
        <v>1345.7189940999999</v>
      </c>
      <c r="J617">
        <v>1340.5656738</v>
      </c>
      <c r="K617">
        <v>80</v>
      </c>
      <c r="L617">
        <v>79.714096068999993</v>
      </c>
      <c r="M617">
        <v>60</v>
      </c>
      <c r="N617">
        <v>52.271739959999998</v>
      </c>
    </row>
    <row r="618" spans="1:14" x14ac:dyDescent="0.25">
      <c r="A618">
        <v>549.70811800000001</v>
      </c>
      <c r="B618" s="1">
        <f>DATE(2011,11,1) + TIME(16,59,41)</f>
        <v>40848.708113425928</v>
      </c>
      <c r="C618">
        <v>0</v>
      </c>
      <c r="D618">
        <v>550</v>
      </c>
      <c r="E618">
        <v>550</v>
      </c>
      <c r="F618">
        <v>0</v>
      </c>
      <c r="G618">
        <v>1327.3204346</v>
      </c>
      <c r="H618">
        <v>1325.1779785000001</v>
      </c>
      <c r="I618">
        <v>1345.6759033000001</v>
      </c>
      <c r="J618">
        <v>1340.5495605000001</v>
      </c>
      <c r="K618">
        <v>80</v>
      </c>
      <c r="L618">
        <v>79.686248778999996</v>
      </c>
      <c r="M618">
        <v>60</v>
      </c>
      <c r="N618">
        <v>52.660022736000002</v>
      </c>
    </row>
    <row r="619" spans="1:14" x14ac:dyDescent="0.25">
      <c r="A619">
        <v>549.87408100000005</v>
      </c>
      <c r="B619" s="1">
        <f>DATE(2011,11,1) + TIME(20,58,40)</f>
        <v>40848.874074074076</v>
      </c>
      <c r="C619">
        <v>0</v>
      </c>
      <c r="D619">
        <v>550</v>
      </c>
      <c r="E619">
        <v>550</v>
      </c>
      <c r="F619">
        <v>0</v>
      </c>
      <c r="G619">
        <v>1327.3164062000001</v>
      </c>
      <c r="H619">
        <v>1325.1723632999999</v>
      </c>
      <c r="I619">
        <v>1345.6356201000001</v>
      </c>
      <c r="J619">
        <v>1340.534668</v>
      </c>
      <c r="K619">
        <v>80</v>
      </c>
      <c r="L619">
        <v>79.657882689999994</v>
      </c>
      <c r="M619">
        <v>60</v>
      </c>
      <c r="N619">
        <v>53.038974762000002</v>
      </c>
    </row>
    <row r="620" spans="1:14" x14ac:dyDescent="0.25">
      <c r="A620">
        <v>550.04517299999998</v>
      </c>
      <c r="B620" s="1">
        <f>DATE(2011,11,2) + TIME(1,5,2)</f>
        <v>40849.045162037037</v>
      </c>
      <c r="C620">
        <v>0</v>
      </c>
      <c r="D620">
        <v>550</v>
      </c>
      <c r="E620">
        <v>550</v>
      </c>
      <c r="F620">
        <v>0</v>
      </c>
      <c r="G620">
        <v>1327.3122559000001</v>
      </c>
      <c r="H620">
        <v>1325.166626</v>
      </c>
      <c r="I620">
        <v>1345.5975341999999</v>
      </c>
      <c r="J620">
        <v>1340.520874</v>
      </c>
      <c r="K620">
        <v>80</v>
      </c>
      <c r="L620">
        <v>79.628944396999998</v>
      </c>
      <c r="M620">
        <v>60</v>
      </c>
      <c r="N620">
        <v>53.408660888999997</v>
      </c>
    </row>
    <row r="621" spans="1:14" x14ac:dyDescent="0.25">
      <c r="A621">
        <v>550.221766</v>
      </c>
      <c r="B621" s="1">
        <f>DATE(2011,11,2) + TIME(5,19,20)</f>
        <v>40849.221759259257</v>
      </c>
      <c r="C621">
        <v>0</v>
      </c>
      <c r="D621">
        <v>550</v>
      </c>
      <c r="E621">
        <v>550</v>
      </c>
      <c r="F621">
        <v>0</v>
      </c>
      <c r="G621">
        <v>1327.3079834</v>
      </c>
      <c r="H621">
        <v>1325.1607666</v>
      </c>
      <c r="I621">
        <v>1345.5616454999999</v>
      </c>
      <c r="J621">
        <v>1340.5081786999999</v>
      </c>
      <c r="K621">
        <v>80</v>
      </c>
      <c r="L621">
        <v>79.599403381000002</v>
      </c>
      <c r="M621">
        <v>60</v>
      </c>
      <c r="N621">
        <v>53.769092559999997</v>
      </c>
    </row>
    <row r="622" spans="1:14" x14ac:dyDescent="0.25">
      <c r="A622">
        <v>550.404269</v>
      </c>
      <c r="B622" s="1">
        <f>DATE(2011,11,2) + TIME(9,42,8)</f>
        <v>40849.40425925926</v>
      </c>
      <c r="C622">
        <v>0</v>
      </c>
      <c r="D622">
        <v>550</v>
      </c>
      <c r="E622">
        <v>550</v>
      </c>
      <c r="F622">
        <v>0</v>
      </c>
      <c r="G622">
        <v>1327.3035889</v>
      </c>
      <c r="H622">
        <v>1325.1545410000001</v>
      </c>
      <c r="I622">
        <v>1345.527832</v>
      </c>
      <c r="J622">
        <v>1340.4962158000001</v>
      </c>
      <c r="K622">
        <v>80</v>
      </c>
      <c r="L622">
        <v>79.569206238000007</v>
      </c>
      <c r="M622">
        <v>60</v>
      </c>
      <c r="N622">
        <v>54.120269774999997</v>
      </c>
    </row>
    <row r="623" spans="1:14" x14ac:dyDescent="0.25">
      <c r="A623">
        <v>550.59317399999998</v>
      </c>
      <c r="B623" s="1">
        <f>DATE(2011,11,2) + TIME(14,14,10)</f>
        <v>40849.593171296299</v>
      </c>
      <c r="C623">
        <v>0</v>
      </c>
      <c r="D623">
        <v>550</v>
      </c>
      <c r="E623">
        <v>550</v>
      </c>
      <c r="F623">
        <v>0</v>
      </c>
      <c r="G623">
        <v>1327.2989502</v>
      </c>
      <c r="H623">
        <v>1325.1481934000001</v>
      </c>
      <c r="I623">
        <v>1345.4959716999999</v>
      </c>
      <c r="J623">
        <v>1340.4851074000001</v>
      </c>
      <c r="K623">
        <v>80</v>
      </c>
      <c r="L623">
        <v>79.538307189999998</v>
      </c>
      <c r="M623">
        <v>60</v>
      </c>
      <c r="N623">
        <v>54.462242126</v>
      </c>
    </row>
    <row r="624" spans="1:14" x14ac:dyDescent="0.25">
      <c r="A624">
        <v>550.788994</v>
      </c>
      <c r="B624" s="1">
        <f>DATE(2011,11,2) + TIME(18,56,9)</f>
        <v>40849.788993055554</v>
      </c>
      <c r="C624">
        <v>0</v>
      </c>
      <c r="D624">
        <v>550</v>
      </c>
      <c r="E624">
        <v>550</v>
      </c>
      <c r="F624">
        <v>0</v>
      </c>
      <c r="G624">
        <v>1327.2941894999999</v>
      </c>
      <c r="H624">
        <v>1325.1414795000001</v>
      </c>
      <c r="I624">
        <v>1345.4658202999999</v>
      </c>
      <c r="J624">
        <v>1340.4747314000001</v>
      </c>
      <c r="K624">
        <v>80</v>
      </c>
      <c r="L624">
        <v>79.506629943999997</v>
      </c>
      <c r="M624">
        <v>60</v>
      </c>
      <c r="N624">
        <v>54.794979095000002</v>
      </c>
    </row>
    <row r="625" spans="1:14" x14ac:dyDescent="0.25">
      <c r="A625">
        <v>550.992301</v>
      </c>
      <c r="B625" s="1">
        <f>DATE(2011,11,2) + TIME(23,48,54)</f>
        <v>40849.992291666669</v>
      </c>
      <c r="C625">
        <v>0</v>
      </c>
      <c r="D625">
        <v>550</v>
      </c>
      <c r="E625">
        <v>550</v>
      </c>
      <c r="F625">
        <v>0</v>
      </c>
      <c r="G625">
        <v>1327.2891846</v>
      </c>
      <c r="H625">
        <v>1325.1345214999999</v>
      </c>
      <c r="I625">
        <v>1345.4373779</v>
      </c>
      <c r="J625">
        <v>1340.4649658000001</v>
      </c>
      <c r="K625">
        <v>80</v>
      </c>
      <c r="L625">
        <v>79.474128723000007</v>
      </c>
      <c r="M625">
        <v>60</v>
      </c>
      <c r="N625">
        <v>55.118446349999999</v>
      </c>
    </row>
    <row r="626" spans="1:14" x14ac:dyDescent="0.25">
      <c r="A626">
        <v>551.20372999999995</v>
      </c>
      <c r="B626" s="1">
        <f>DATE(2011,11,3) + TIME(4,53,22)</f>
        <v>40850.203726851854</v>
      </c>
      <c r="C626">
        <v>0</v>
      </c>
      <c r="D626">
        <v>550</v>
      </c>
      <c r="E626">
        <v>550</v>
      </c>
      <c r="F626">
        <v>0</v>
      </c>
      <c r="G626">
        <v>1327.2839355000001</v>
      </c>
      <c r="H626">
        <v>1325.1271973</v>
      </c>
      <c r="I626">
        <v>1345.4105225000001</v>
      </c>
      <c r="J626">
        <v>1340.4559326000001</v>
      </c>
      <c r="K626">
        <v>80</v>
      </c>
      <c r="L626">
        <v>79.440727233999993</v>
      </c>
      <c r="M626">
        <v>60</v>
      </c>
      <c r="N626">
        <v>55.432582855</v>
      </c>
    </row>
    <row r="627" spans="1:14" x14ac:dyDescent="0.25">
      <c r="A627">
        <v>551.423993</v>
      </c>
      <c r="B627" s="1">
        <f>DATE(2011,11,3) + TIME(10,10,32)</f>
        <v>40850.423981481479</v>
      </c>
      <c r="C627">
        <v>0</v>
      </c>
      <c r="D627">
        <v>550</v>
      </c>
      <c r="E627">
        <v>550</v>
      </c>
      <c r="F627">
        <v>0</v>
      </c>
      <c r="G627">
        <v>1327.2784423999999</v>
      </c>
      <c r="H627">
        <v>1325.1195068</v>
      </c>
      <c r="I627">
        <v>1345.3851318</v>
      </c>
      <c r="J627">
        <v>1340.4473877</v>
      </c>
      <c r="K627">
        <v>80</v>
      </c>
      <c r="L627">
        <v>79.406349182</v>
      </c>
      <c r="M627">
        <v>60</v>
      </c>
      <c r="N627">
        <v>55.737304688000002</v>
      </c>
    </row>
    <row r="628" spans="1:14" x14ac:dyDescent="0.25">
      <c r="A628">
        <v>551.65388600000006</v>
      </c>
      <c r="B628" s="1">
        <f>DATE(2011,11,3) + TIME(15,41,35)</f>
        <v>40850.653877314813</v>
      </c>
      <c r="C628">
        <v>0</v>
      </c>
      <c r="D628">
        <v>550</v>
      </c>
      <c r="E628">
        <v>550</v>
      </c>
      <c r="F628">
        <v>0</v>
      </c>
      <c r="G628">
        <v>1327.2728271000001</v>
      </c>
      <c r="H628">
        <v>1325.1115723</v>
      </c>
      <c r="I628">
        <v>1345.3610839999999</v>
      </c>
      <c r="J628">
        <v>1340.4393310999999</v>
      </c>
      <c r="K628">
        <v>80</v>
      </c>
      <c r="L628">
        <v>79.370910644999995</v>
      </c>
      <c r="M628">
        <v>60</v>
      </c>
      <c r="N628">
        <v>56.032512664999999</v>
      </c>
    </row>
    <row r="629" spans="1:14" x14ac:dyDescent="0.25">
      <c r="A629">
        <v>551.89431000000002</v>
      </c>
      <c r="B629" s="1">
        <f>DATE(2011,11,3) + TIME(21,27,48)</f>
        <v>40850.894305555557</v>
      </c>
      <c r="C629">
        <v>0</v>
      </c>
      <c r="D629">
        <v>550</v>
      </c>
      <c r="E629">
        <v>550</v>
      </c>
      <c r="F629">
        <v>0</v>
      </c>
      <c r="G629">
        <v>1327.2668457</v>
      </c>
      <c r="H629">
        <v>1325.1031493999999</v>
      </c>
      <c r="I629">
        <v>1345.3383789</v>
      </c>
      <c r="J629">
        <v>1340.4316406</v>
      </c>
      <c r="K629">
        <v>80</v>
      </c>
      <c r="L629">
        <v>79.334312439000001</v>
      </c>
      <c r="M629">
        <v>60</v>
      </c>
      <c r="N629">
        <v>56.318096161</v>
      </c>
    </row>
    <row r="630" spans="1:14" x14ac:dyDescent="0.25">
      <c r="A630">
        <v>552.14628600000003</v>
      </c>
      <c r="B630" s="1">
        <f>DATE(2011,11,4) + TIME(3,30,39)</f>
        <v>40851.146284722221</v>
      </c>
      <c r="C630">
        <v>0</v>
      </c>
      <c r="D630">
        <v>550</v>
      </c>
      <c r="E630">
        <v>550</v>
      </c>
      <c r="F630">
        <v>0</v>
      </c>
      <c r="G630">
        <v>1327.2604980000001</v>
      </c>
      <c r="H630">
        <v>1325.0943603999999</v>
      </c>
      <c r="I630">
        <v>1345.3167725000001</v>
      </c>
      <c r="J630">
        <v>1340.4243164</v>
      </c>
      <c r="K630">
        <v>80</v>
      </c>
      <c r="L630">
        <v>79.296447753999999</v>
      </c>
      <c r="M630">
        <v>60</v>
      </c>
      <c r="N630">
        <v>56.593910217000001</v>
      </c>
    </row>
    <row r="631" spans="1:14" x14ac:dyDescent="0.25">
      <c r="A631">
        <v>552.41097500000001</v>
      </c>
      <c r="B631" s="1">
        <f>DATE(2011,11,4) + TIME(9,51,48)</f>
        <v>40851.41097222222</v>
      </c>
      <c r="C631">
        <v>0</v>
      </c>
      <c r="D631">
        <v>550</v>
      </c>
      <c r="E631">
        <v>550</v>
      </c>
      <c r="F631">
        <v>0</v>
      </c>
      <c r="G631">
        <v>1327.2539062000001</v>
      </c>
      <c r="H631">
        <v>1325.0850829999999</v>
      </c>
      <c r="I631">
        <v>1345.2962646000001</v>
      </c>
      <c r="J631">
        <v>1340.4173584</v>
      </c>
      <c r="K631">
        <v>80</v>
      </c>
      <c r="L631">
        <v>79.257194518999995</v>
      </c>
      <c r="M631">
        <v>60</v>
      </c>
      <c r="N631">
        <v>56.859813690000003</v>
      </c>
    </row>
    <row r="632" spans="1:14" x14ac:dyDescent="0.25">
      <c r="A632">
        <v>552.68964600000004</v>
      </c>
      <c r="B632" s="1">
        <f>DATE(2011,11,4) + TIME(16,33,5)</f>
        <v>40851.689641203702</v>
      </c>
      <c r="C632">
        <v>0</v>
      </c>
      <c r="D632">
        <v>550</v>
      </c>
      <c r="E632">
        <v>550</v>
      </c>
      <c r="F632">
        <v>0</v>
      </c>
      <c r="G632">
        <v>1327.2468262</v>
      </c>
      <c r="H632">
        <v>1325.0753173999999</v>
      </c>
      <c r="I632">
        <v>1345.2768555</v>
      </c>
      <c r="J632">
        <v>1340.4106445</v>
      </c>
      <c r="K632">
        <v>80</v>
      </c>
      <c r="L632">
        <v>79.216438292999996</v>
      </c>
      <c r="M632">
        <v>60</v>
      </c>
      <c r="N632">
        <v>57.115573883000003</v>
      </c>
    </row>
    <row r="633" spans="1:14" x14ac:dyDescent="0.25">
      <c r="A633">
        <v>552.98388899999998</v>
      </c>
      <c r="B633" s="1">
        <f>DATE(2011,11,4) + TIME(23,36,48)</f>
        <v>40851.983888888892</v>
      </c>
      <c r="C633">
        <v>0</v>
      </c>
      <c r="D633">
        <v>550</v>
      </c>
      <c r="E633">
        <v>550</v>
      </c>
      <c r="F633">
        <v>0</v>
      </c>
      <c r="G633">
        <v>1327.2395019999999</v>
      </c>
      <c r="H633">
        <v>1325.0649414</v>
      </c>
      <c r="I633">
        <v>1345.2581786999999</v>
      </c>
      <c r="J633">
        <v>1340.4040527</v>
      </c>
      <c r="K633">
        <v>80</v>
      </c>
      <c r="L633">
        <v>79.173995972</v>
      </c>
      <c r="M633">
        <v>60</v>
      </c>
      <c r="N633">
        <v>57.361068725999999</v>
      </c>
    </row>
    <row r="634" spans="1:14" x14ac:dyDescent="0.25">
      <c r="A634">
        <v>553.29549099999997</v>
      </c>
      <c r="B634" s="1">
        <f>DATE(2011,11,5) + TIME(7,5,30)</f>
        <v>40852.295486111114</v>
      </c>
      <c r="C634">
        <v>0</v>
      </c>
      <c r="D634">
        <v>550</v>
      </c>
      <c r="E634">
        <v>550</v>
      </c>
      <c r="F634">
        <v>0</v>
      </c>
      <c r="G634">
        <v>1327.2315673999999</v>
      </c>
      <c r="H634">
        <v>1325.0539550999999</v>
      </c>
      <c r="I634">
        <v>1345.2403564000001</v>
      </c>
      <c r="J634">
        <v>1340.3974608999999</v>
      </c>
      <c r="K634">
        <v>80</v>
      </c>
      <c r="L634">
        <v>79.129699707</v>
      </c>
      <c r="M634">
        <v>60</v>
      </c>
      <c r="N634">
        <v>57.596092224000003</v>
      </c>
    </row>
    <row r="635" spans="1:14" x14ac:dyDescent="0.25">
      <c r="A635">
        <v>553.62654099999997</v>
      </c>
      <c r="B635" s="1">
        <f>DATE(2011,11,5) + TIME(15,2,13)</f>
        <v>40852.626539351855</v>
      </c>
      <c r="C635">
        <v>0</v>
      </c>
      <c r="D635">
        <v>550</v>
      </c>
      <c r="E635">
        <v>550</v>
      </c>
      <c r="F635">
        <v>0</v>
      </c>
      <c r="G635">
        <v>1327.2232666</v>
      </c>
      <c r="H635">
        <v>1325.0423584</v>
      </c>
      <c r="I635">
        <v>1345.2231445</v>
      </c>
      <c r="J635">
        <v>1340.3909911999999</v>
      </c>
      <c r="K635">
        <v>80</v>
      </c>
      <c r="L635">
        <v>79.083343506000006</v>
      </c>
      <c r="M635">
        <v>60</v>
      </c>
      <c r="N635">
        <v>57.820442200000002</v>
      </c>
    </row>
    <row r="636" spans="1:14" x14ac:dyDescent="0.25">
      <c r="A636">
        <v>553.97950800000001</v>
      </c>
      <c r="B636" s="1">
        <f>DATE(2011,11,5) + TIME(23,30,29)</f>
        <v>40852.979502314818</v>
      </c>
      <c r="C636">
        <v>0</v>
      </c>
      <c r="D636">
        <v>550</v>
      </c>
      <c r="E636">
        <v>550</v>
      </c>
      <c r="F636">
        <v>0</v>
      </c>
      <c r="G636">
        <v>1327.2142334</v>
      </c>
      <c r="H636">
        <v>1325.0299072</v>
      </c>
      <c r="I636">
        <v>1345.206543</v>
      </c>
      <c r="J636">
        <v>1340.3843993999999</v>
      </c>
      <c r="K636">
        <v>80</v>
      </c>
      <c r="L636">
        <v>79.034675598000007</v>
      </c>
      <c r="M636">
        <v>60</v>
      </c>
      <c r="N636">
        <v>58.033889770999998</v>
      </c>
    </row>
    <row r="637" spans="1:14" x14ac:dyDescent="0.25">
      <c r="A637">
        <v>554.35733100000004</v>
      </c>
      <c r="B637" s="1">
        <f>DATE(2011,11,6) + TIME(8,34,33)</f>
        <v>40853.35732638889</v>
      </c>
      <c r="C637">
        <v>0</v>
      </c>
      <c r="D637">
        <v>550</v>
      </c>
      <c r="E637">
        <v>550</v>
      </c>
      <c r="F637">
        <v>0</v>
      </c>
      <c r="G637">
        <v>1327.2047118999999</v>
      </c>
      <c r="H637">
        <v>1325.0166016000001</v>
      </c>
      <c r="I637">
        <v>1345.1904297000001</v>
      </c>
      <c r="J637">
        <v>1340.3776855000001</v>
      </c>
      <c r="K637">
        <v>80</v>
      </c>
      <c r="L637">
        <v>78.983421325999998</v>
      </c>
      <c r="M637">
        <v>60</v>
      </c>
      <c r="N637">
        <v>58.236198424999998</v>
      </c>
    </row>
    <row r="638" spans="1:14" x14ac:dyDescent="0.25">
      <c r="A638">
        <v>554.763552</v>
      </c>
      <c r="B638" s="1">
        <f>DATE(2011,11,6) + TIME(18,19,30)</f>
        <v>40853.763541666667</v>
      </c>
      <c r="C638">
        <v>0</v>
      </c>
      <c r="D638">
        <v>550</v>
      </c>
      <c r="E638">
        <v>550</v>
      </c>
      <c r="F638">
        <v>0</v>
      </c>
      <c r="G638">
        <v>1327.1943358999999</v>
      </c>
      <c r="H638">
        <v>1325.0024414</v>
      </c>
      <c r="I638">
        <v>1345.1745605000001</v>
      </c>
      <c r="J638">
        <v>1340.3707274999999</v>
      </c>
      <c r="K638">
        <v>80</v>
      </c>
      <c r="L638">
        <v>78.929237365999995</v>
      </c>
      <c r="M638">
        <v>60</v>
      </c>
      <c r="N638">
        <v>58.427135468000003</v>
      </c>
    </row>
    <row r="639" spans="1:14" x14ac:dyDescent="0.25">
      <c r="A639">
        <v>555.20248400000003</v>
      </c>
      <c r="B639" s="1">
        <f>DATE(2011,11,7) + TIME(4,51,34)</f>
        <v>40854.202476851853</v>
      </c>
      <c r="C639">
        <v>0</v>
      </c>
      <c r="D639">
        <v>550</v>
      </c>
      <c r="E639">
        <v>550</v>
      </c>
      <c r="F639">
        <v>0</v>
      </c>
      <c r="G639">
        <v>1327.1832274999999</v>
      </c>
      <c r="H639">
        <v>1324.9869385</v>
      </c>
      <c r="I639">
        <v>1345.1589355000001</v>
      </c>
      <c r="J639">
        <v>1340.3634033000001</v>
      </c>
      <c r="K639">
        <v>80</v>
      </c>
      <c r="L639">
        <v>78.87171936</v>
      </c>
      <c r="M639">
        <v>60</v>
      </c>
      <c r="N639">
        <v>58.606445311999998</v>
      </c>
    </row>
    <row r="640" spans="1:14" x14ac:dyDescent="0.25">
      <c r="A640">
        <v>555.67945299999997</v>
      </c>
      <c r="B640" s="1">
        <f>DATE(2011,11,7) + TIME(16,18,24)</f>
        <v>40854.679444444446</v>
      </c>
      <c r="C640">
        <v>0</v>
      </c>
      <c r="D640">
        <v>550</v>
      </c>
      <c r="E640">
        <v>550</v>
      </c>
      <c r="F640">
        <v>0</v>
      </c>
      <c r="G640">
        <v>1327.1711425999999</v>
      </c>
      <c r="H640">
        <v>1324.9703368999999</v>
      </c>
      <c r="I640">
        <v>1345.1433105000001</v>
      </c>
      <c r="J640">
        <v>1340.3555908000001</v>
      </c>
      <c r="K640">
        <v>80</v>
      </c>
      <c r="L640">
        <v>78.810363769999995</v>
      </c>
      <c r="M640">
        <v>60</v>
      </c>
      <c r="N640">
        <v>58.773887633999998</v>
      </c>
    </row>
    <row r="641" spans="1:14" x14ac:dyDescent="0.25">
      <c r="A641">
        <v>556.20112800000004</v>
      </c>
      <c r="B641" s="1">
        <f>DATE(2011,11,8) + TIME(4,49,37)</f>
        <v>40855.201122685183</v>
      </c>
      <c r="C641">
        <v>0</v>
      </c>
      <c r="D641">
        <v>550</v>
      </c>
      <c r="E641">
        <v>550</v>
      </c>
      <c r="F641">
        <v>0</v>
      </c>
      <c r="G641">
        <v>1327.1579589999999</v>
      </c>
      <c r="H641">
        <v>1324.9521483999999</v>
      </c>
      <c r="I641">
        <v>1345.1276855000001</v>
      </c>
      <c r="J641">
        <v>1340.3472899999999</v>
      </c>
      <c r="K641">
        <v>80</v>
      </c>
      <c r="L641">
        <v>78.744575499999996</v>
      </c>
      <c r="M641">
        <v>60</v>
      </c>
      <c r="N641">
        <v>58.929214477999999</v>
      </c>
    </row>
    <row r="642" spans="1:14" x14ac:dyDescent="0.25">
      <c r="A642">
        <v>556.77607999999998</v>
      </c>
      <c r="B642" s="1">
        <f>DATE(2011,11,8) + TIME(18,37,33)</f>
        <v>40855.776076388887</v>
      </c>
      <c r="C642">
        <v>0</v>
      </c>
      <c r="D642">
        <v>550</v>
      </c>
      <c r="E642">
        <v>550</v>
      </c>
      <c r="F642">
        <v>0</v>
      </c>
      <c r="G642">
        <v>1327.1435547000001</v>
      </c>
      <c r="H642">
        <v>1324.932251</v>
      </c>
      <c r="I642">
        <v>1345.1116943</v>
      </c>
      <c r="J642">
        <v>1340.3382568</v>
      </c>
      <c r="K642">
        <v>80</v>
      </c>
      <c r="L642">
        <v>78.673591614000003</v>
      </c>
      <c r="M642">
        <v>60</v>
      </c>
      <c r="N642">
        <v>59.072212219000001</v>
      </c>
    </row>
    <row r="643" spans="1:14" x14ac:dyDescent="0.25">
      <c r="A643">
        <v>557.41522599999996</v>
      </c>
      <c r="B643" s="1">
        <f>DATE(2011,11,9) + TIME(9,57,55)</f>
        <v>40856.415219907409</v>
      </c>
      <c r="C643">
        <v>0</v>
      </c>
      <c r="D643">
        <v>550</v>
      </c>
      <c r="E643">
        <v>550</v>
      </c>
      <c r="F643">
        <v>0</v>
      </c>
      <c r="G643">
        <v>1327.1274414</v>
      </c>
      <c r="H643">
        <v>1324.9102783000001</v>
      </c>
      <c r="I643">
        <v>1345.0953368999999</v>
      </c>
      <c r="J643">
        <v>1340.3283690999999</v>
      </c>
      <c r="K643">
        <v>80</v>
      </c>
      <c r="L643">
        <v>78.596443175999994</v>
      </c>
      <c r="M643">
        <v>60</v>
      </c>
      <c r="N643">
        <v>59.202625275000003</v>
      </c>
    </row>
    <row r="644" spans="1:14" x14ac:dyDescent="0.25">
      <c r="A644">
        <v>558.08089900000004</v>
      </c>
      <c r="B644" s="1">
        <f>DATE(2011,11,10) + TIME(1,56,29)</f>
        <v>40857.080891203703</v>
      </c>
      <c r="C644">
        <v>0</v>
      </c>
      <c r="D644">
        <v>550</v>
      </c>
      <c r="E644">
        <v>550</v>
      </c>
      <c r="F644">
        <v>0</v>
      </c>
      <c r="G644">
        <v>1327.1097411999999</v>
      </c>
      <c r="H644">
        <v>1324.8861084</v>
      </c>
      <c r="I644">
        <v>1345.0803223</v>
      </c>
      <c r="J644">
        <v>1340.3183594</v>
      </c>
      <c r="K644">
        <v>80</v>
      </c>
      <c r="L644">
        <v>78.517288207999997</v>
      </c>
      <c r="M644">
        <v>60</v>
      </c>
      <c r="N644">
        <v>59.313297272</v>
      </c>
    </row>
    <row r="645" spans="1:14" x14ac:dyDescent="0.25">
      <c r="A645">
        <v>558.776567</v>
      </c>
      <c r="B645" s="1">
        <f>DATE(2011,11,10) + TIME(18,38,15)</f>
        <v>40857.776562500003</v>
      </c>
      <c r="C645">
        <v>0</v>
      </c>
      <c r="D645">
        <v>550</v>
      </c>
      <c r="E645">
        <v>550</v>
      </c>
      <c r="F645">
        <v>0</v>
      </c>
      <c r="G645">
        <v>1327.0911865</v>
      </c>
      <c r="H645">
        <v>1324.8608397999999</v>
      </c>
      <c r="I645">
        <v>1345.0651855000001</v>
      </c>
      <c r="J645">
        <v>1340.3079834</v>
      </c>
      <c r="K645">
        <v>80</v>
      </c>
      <c r="L645">
        <v>78.435813904</v>
      </c>
      <c r="M645">
        <v>60</v>
      </c>
      <c r="N645">
        <v>59.406806946000003</v>
      </c>
    </row>
    <row r="646" spans="1:14" x14ac:dyDescent="0.25">
      <c r="A646">
        <v>559.48527100000001</v>
      </c>
      <c r="B646" s="1">
        <f>DATE(2011,11,11) + TIME(11,38,47)</f>
        <v>40858.485266203701</v>
      </c>
      <c r="C646">
        <v>0</v>
      </c>
      <c r="D646">
        <v>550</v>
      </c>
      <c r="E646">
        <v>550</v>
      </c>
      <c r="F646">
        <v>0</v>
      </c>
      <c r="G646">
        <v>1327.0717772999999</v>
      </c>
      <c r="H646">
        <v>1324.8343506000001</v>
      </c>
      <c r="I646">
        <v>1345.0504149999999</v>
      </c>
      <c r="J646">
        <v>1340.2973632999999</v>
      </c>
      <c r="K646">
        <v>80</v>
      </c>
      <c r="L646">
        <v>78.353775024000001</v>
      </c>
      <c r="M646">
        <v>60</v>
      </c>
      <c r="N646">
        <v>59.483604431000003</v>
      </c>
    </row>
    <row r="647" spans="1:14" x14ac:dyDescent="0.25">
      <c r="A647">
        <v>560.20968900000003</v>
      </c>
      <c r="B647" s="1">
        <f>DATE(2011,11,12) + TIME(5,1,57)</f>
        <v>40859.209687499999</v>
      </c>
      <c r="C647">
        <v>0</v>
      </c>
      <c r="D647">
        <v>550</v>
      </c>
      <c r="E647">
        <v>550</v>
      </c>
      <c r="F647">
        <v>0</v>
      </c>
      <c r="G647">
        <v>1327.0517577999999</v>
      </c>
      <c r="H647">
        <v>1324.8071289</v>
      </c>
      <c r="I647">
        <v>1345.0357666</v>
      </c>
      <c r="J647">
        <v>1340.2863769999999</v>
      </c>
      <c r="K647">
        <v>80</v>
      </c>
      <c r="L647">
        <v>78.270904540999993</v>
      </c>
      <c r="M647">
        <v>60</v>
      </c>
      <c r="N647">
        <v>59.546684265000003</v>
      </c>
    </row>
    <row r="648" spans="1:14" x14ac:dyDescent="0.25">
      <c r="A648">
        <v>560.95290999999997</v>
      </c>
      <c r="B648" s="1">
        <f>DATE(2011,11,12) + TIME(22,52,11)</f>
        <v>40859.952905092592</v>
      </c>
      <c r="C648">
        <v>0</v>
      </c>
      <c r="D648">
        <v>550</v>
      </c>
      <c r="E648">
        <v>550</v>
      </c>
      <c r="F648">
        <v>0</v>
      </c>
      <c r="G648">
        <v>1327.0311279</v>
      </c>
      <c r="H648">
        <v>1324.7791748</v>
      </c>
      <c r="I648">
        <v>1345.0211182</v>
      </c>
      <c r="J648">
        <v>1340.2751464999999</v>
      </c>
      <c r="K648">
        <v>80</v>
      </c>
      <c r="L648">
        <v>78.186935425000001</v>
      </c>
      <c r="M648">
        <v>60</v>
      </c>
      <c r="N648">
        <v>59.598487853999998</v>
      </c>
    </row>
    <row r="649" spans="1:14" x14ac:dyDescent="0.25">
      <c r="A649">
        <v>561.71814500000005</v>
      </c>
      <c r="B649" s="1">
        <f>DATE(2011,11,13) + TIME(17,14,7)</f>
        <v>40860.718136574076</v>
      </c>
      <c r="C649">
        <v>0</v>
      </c>
      <c r="D649">
        <v>550</v>
      </c>
      <c r="E649">
        <v>550</v>
      </c>
      <c r="F649">
        <v>0</v>
      </c>
      <c r="G649">
        <v>1327.0098877</v>
      </c>
      <c r="H649">
        <v>1324.7503661999999</v>
      </c>
      <c r="I649">
        <v>1345.0064697</v>
      </c>
      <c r="J649">
        <v>1340.2636719</v>
      </c>
      <c r="K649">
        <v>80</v>
      </c>
      <c r="L649">
        <v>78.101577758999994</v>
      </c>
      <c r="M649">
        <v>60</v>
      </c>
      <c r="N649">
        <v>59.640991210999999</v>
      </c>
    </row>
    <row r="650" spans="1:14" x14ac:dyDescent="0.25">
      <c r="A650">
        <v>562.508737</v>
      </c>
      <c r="B650" s="1">
        <f>DATE(2011,11,14) + TIME(12,12,34)</f>
        <v>40861.508726851855</v>
      </c>
      <c r="C650">
        <v>0</v>
      </c>
      <c r="D650">
        <v>550</v>
      </c>
      <c r="E650">
        <v>550</v>
      </c>
      <c r="F650">
        <v>0</v>
      </c>
      <c r="G650">
        <v>1326.9879149999999</v>
      </c>
      <c r="H650">
        <v>1324.7204589999999</v>
      </c>
      <c r="I650">
        <v>1344.9916992000001</v>
      </c>
      <c r="J650">
        <v>1340.2519531</v>
      </c>
      <c r="K650">
        <v>80</v>
      </c>
      <c r="L650">
        <v>78.014541625999996</v>
      </c>
      <c r="M650">
        <v>60</v>
      </c>
      <c r="N650">
        <v>59.675823211999997</v>
      </c>
    </row>
    <row r="651" spans="1:14" x14ac:dyDescent="0.25">
      <c r="A651">
        <v>563.32848000000001</v>
      </c>
      <c r="B651" s="1">
        <f>DATE(2011,11,15) + TIME(7,53,0)</f>
        <v>40862.328472222223</v>
      </c>
      <c r="C651">
        <v>0</v>
      </c>
      <c r="D651">
        <v>550</v>
      </c>
      <c r="E651">
        <v>550</v>
      </c>
      <c r="F651">
        <v>0</v>
      </c>
      <c r="G651">
        <v>1326.9650879000001</v>
      </c>
      <c r="H651">
        <v>1324.6894531</v>
      </c>
      <c r="I651">
        <v>1344.9769286999999</v>
      </c>
      <c r="J651">
        <v>1340.2401123</v>
      </c>
      <c r="K651">
        <v>80</v>
      </c>
      <c r="L651">
        <v>77.925521850999999</v>
      </c>
      <c r="M651">
        <v>60</v>
      </c>
      <c r="N651">
        <v>59.704318999999998</v>
      </c>
    </row>
    <row r="652" spans="1:14" x14ac:dyDescent="0.25">
      <c r="A652">
        <v>564.18164400000001</v>
      </c>
      <c r="B652" s="1">
        <f>DATE(2011,11,16) + TIME(4,21,34)</f>
        <v>40863.181643518517</v>
      </c>
      <c r="C652">
        <v>0</v>
      </c>
      <c r="D652">
        <v>550</v>
      </c>
      <c r="E652">
        <v>550</v>
      </c>
      <c r="F652">
        <v>0</v>
      </c>
      <c r="G652">
        <v>1326.9414062000001</v>
      </c>
      <c r="H652">
        <v>1324.6572266000001</v>
      </c>
      <c r="I652">
        <v>1344.9620361</v>
      </c>
      <c r="J652">
        <v>1340.2280272999999</v>
      </c>
      <c r="K652">
        <v>80</v>
      </c>
      <c r="L652">
        <v>77.834167480000005</v>
      </c>
      <c r="M652">
        <v>60</v>
      </c>
      <c r="N652">
        <v>59.727584839000002</v>
      </c>
    </row>
    <row r="653" spans="1:14" x14ac:dyDescent="0.25">
      <c r="A653">
        <v>565.07028500000001</v>
      </c>
      <c r="B653" s="1">
        <f>DATE(2011,11,17) + TIME(1,41,12)</f>
        <v>40864.070277777777</v>
      </c>
      <c r="C653">
        <v>0</v>
      </c>
      <c r="D653">
        <v>550</v>
      </c>
      <c r="E653">
        <v>550</v>
      </c>
      <c r="F653">
        <v>0</v>
      </c>
      <c r="G653">
        <v>1326.916626</v>
      </c>
      <c r="H653">
        <v>1324.6235352000001</v>
      </c>
      <c r="I653">
        <v>1344.9470214999999</v>
      </c>
      <c r="J653">
        <v>1340.2156981999999</v>
      </c>
      <c r="K653">
        <v>80</v>
      </c>
      <c r="L653">
        <v>77.740356445000003</v>
      </c>
      <c r="M653">
        <v>60</v>
      </c>
      <c r="N653">
        <v>59.746501922999997</v>
      </c>
    </row>
    <row r="654" spans="1:14" x14ac:dyDescent="0.25">
      <c r="A654">
        <v>565.99471100000005</v>
      </c>
      <c r="B654" s="1">
        <f>DATE(2011,11,17) + TIME(23,52,23)</f>
        <v>40864.994710648149</v>
      </c>
      <c r="C654">
        <v>0</v>
      </c>
      <c r="D654">
        <v>550</v>
      </c>
      <c r="E654">
        <v>550</v>
      </c>
      <c r="F654">
        <v>0</v>
      </c>
      <c r="G654">
        <v>1326.8907471</v>
      </c>
      <c r="H654">
        <v>1324.5883789</v>
      </c>
      <c r="I654">
        <v>1344.9318848</v>
      </c>
      <c r="J654">
        <v>1340.2032471</v>
      </c>
      <c r="K654">
        <v>80</v>
      </c>
      <c r="L654">
        <v>77.644119262999993</v>
      </c>
      <c r="M654">
        <v>60</v>
      </c>
      <c r="N654">
        <v>59.761791229000004</v>
      </c>
    </row>
    <row r="655" spans="1:14" x14ac:dyDescent="0.25">
      <c r="A655">
        <v>566.96006</v>
      </c>
      <c r="B655" s="1">
        <f>DATE(2011,11,18) + TIME(23,2,29)</f>
        <v>40865.960057870368</v>
      </c>
      <c r="C655">
        <v>0</v>
      </c>
      <c r="D655">
        <v>550</v>
      </c>
      <c r="E655">
        <v>550</v>
      </c>
      <c r="F655">
        <v>0</v>
      </c>
      <c r="G655">
        <v>1326.8637695</v>
      </c>
      <c r="H655">
        <v>1324.5516356999999</v>
      </c>
      <c r="I655">
        <v>1344.916626</v>
      </c>
      <c r="J655">
        <v>1340.1906738</v>
      </c>
      <c r="K655">
        <v>80</v>
      </c>
      <c r="L655">
        <v>77.545066833000007</v>
      </c>
      <c r="M655">
        <v>60</v>
      </c>
      <c r="N655">
        <v>59.774143219000003</v>
      </c>
    </row>
    <row r="656" spans="1:14" x14ac:dyDescent="0.25">
      <c r="A656">
        <v>567.97184900000002</v>
      </c>
      <c r="B656" s="1">
        <f>DATE(2011,11,19) + TIME(23,19,27)</f>
        <v>40866.97184027778</v>
      </c>
      <c r="C656">
        <v>0</v>
      </c>
      <c r="D656">
        <v>550</v>
      </c>
      <c r="E656">
        <v>550</v>
      </c>
      <c r="F656">
        <v>0</v>
      </c>
      <c r="G656">
        <v>1326.8354492000001</v>
      </c>
      <c r="H656">
        <v>1324.5133057</v>
      </c>
      <c r="I656">
        <v>1344.9013672000001</v>
      </c>
      <c r="J656">
        <v>1340.1778564000001</v>
      </c>
      <c r="K656">
        <v>80</v>
      </c>
      <c r="L656">
        <v>77.442810058999996</v>
      </c>
      <c r="M656">
        <v>60</v>
      </c>
      <c r="N656">
        <v>59.784118651999997</v>
      </c>
    </row>
    <row r="657" spans="1:14" x14ac:dyDescent="0.25">
      <c r="A657">
        <v>569.03648199999998</v>
      </c>
      <c r="B657" s="1">
        <f>DATE(2011,11,21) + TIME(0,52,32)</f>
        <v>40868.036481481482</v>
      </c>
      <c r="C657">
        <v>0</v>
      </c>
      <c r="D657">
        <v>550</v>
      </c>
      <c r="E657">
        <v>550</v>
      </c>
      <c r="F657">
        <v>0</v>
      </c>
      <c r="G657">
        <v>1326.8057861</v>
      </c>
      <c r="H657">
        <v>1324.4729004000001</v>
      </c>
      <c r="I657">
        <v>1344.8858643000001</v>
      </c>
      <c r="J657">
        <v>1340.1650391000001</v>
      </c>
      <c r="K657">
        <v>80</v>
      </c>
      <c r="L657">
        <v>77.336914062000005</v>
      </c>
      <c r="M657">
        <v>60</v>
      </c>
      <c r="N657">
        <v>59.792175293</v>
      </c>
    </row>
    <row r="658" spans="1:14" x14ac:dyDescent="0.25">
      <c r="A658">
        <v>570.16150600000003</v>
      </c>
      <c r="B658" s="1">
        <f>DATE(2011,11,22) + TIME(3,52,34)</f>
        <v>40869.161504629628</v>
      </c>
      <c r="C658">
        <v>0</v>
      </c>
      <c r="D658">
        <v>550</v>
      </c>
      <c r="E658">
        <v>550</v>
      </c>
      <c r="F658">
        <v>0</v>
      </c>
      <c r="G658">
        <v>1326.7745361</v>
      </c>
      <c r="H658">
        <v>1324.4301757999999</v>
      </c>
      <c r="I658">
        <v>1344.8702393000001</v>
      </c>
      <c r="J658">
        <v>1340.1518555</v>
      </c>
      <c r="K658">
        <v>80</v>
      </c>
      <c r="L658">
        <v>77.226860045999999</v>
      </c>
      <c r="M658">
        <v>60</v>
      </c>
      <c r="N658">
        <v>59.798686981000003</v>
      </c>
    </row>
    <row r="659" spans="1:14" x14ac:dyDescent="0.25">
      <c r="A659">
        <v>571.34574599999996</v>
      </c>
      <c r="B659" s="1">
        <f>DATE(2011,11,23) + TIME(8,17,52)</f>
        <v>40870.34574074074</v>
      </c>
      <c r="C659">
        <v>0</v>
      </c>
      <c r="D659">
        <v>550</v>
      </c>
      <c r="E659">
        <v>550</v>
      </c>
      <c r="F659">
        <v>0</v>
      </c>
      <c r="G659">
        <v>1326.7414550999999</v>
      </c>
      <c r="H659">
        <v>1324.3851318</v>
      </c>
      <c r="I659">
        <v>1344.8543701000001</v>
      </c>
      <c r="J659">
        <v>1340.1386719</v>
      </c>
      <c r="K659">
        <v>80</v>
      </c>
      <c r="L659">
        <v>77.112823485999996</v>
      </c>
      <c r="M659">
        <v>60</v>
      </c>
      <c r="N659">
        <v>59.803932189999998</v>
      </c>
    </row>
    <row r="660" spans="1:14" x14ac:dyDescent="0.25">
      <c r="A660">
        <v>572.56820300000004</v>
      </c>
      <c r="B660" s="1">
        <f>DATE(2011,11,24) + TIME(13,38,12)</f>
        <v>40871.568194444444</v>
      </c>
      <c r="C660">
        <v>0</v>
      </c>
      <c r="D660">
        <v>550</v>
      </c>
      <c r="E660">
        <v>550</v>
      </c>
      <c r="F660">
        <v>0</v>
      </c>
      <c r="G660">
        <v>1326.7066649999999</v>
      </c>
      <c r="H660">
        <v>1324.3377685999999</v>
      </c>
      <c r="I660">
        <v>1344.8383789</v>
      </c>
      <c r="J660">
        <v>1340.1252440999999</v>
      </c>
      <c r="K660">
        <v>80</v>
      </c>
      <c r="L660">
        <v>76.996459960999999</v>
      </c>
      <c r="M660">
        <v>60</v>
      </c>
      <c r="N660">
        <v>59.808097838999998</v>
      </c>
    </row>
    <row r="661" spans="1:14" x14ac:dyDescent="0.25">
      <c r="A661">
        <v>573.83236499999998</v>
      </c>
      <c r="B661" s="1">
        <f>DATE(2011,11,25) + TIME(19,58,36)</f>
        <v>40872.832361111112</v>
      </c>
      <c r="C661">
        <v>0</v>
      </c>
      <c r="D661">
        <v>550</v>
      </c>
      <c r="E661">
        <v>550</v>
      </c>
      <c r="F661">
        <v>0</v>
      </c>
      <c r="G661">
        <v>1326.6705322</v>
      </c>
      <c r="H661">
        <v>1324.2885742000001</v>
      </c>
      <c r="I661">
        <v>1344.8225098</v>
      </c>
      <c r="J661">
        <v>1340.1119385</v>
      </c>
      <c r="K661">
        <v>80</v>
      </c>
      <c r="L661">
        <v>76.877624511999997</v>
      </c>
      <c r="M661">
        <v>60</v>
      </c>
      <c r="N661">
        <v>59.811435699</v>
      </c>
    </row>
    <row r="662" spans="1:14" x14ac:dyDescent="0.25">
      <c r="A662">
        <v>575.14125100000001</v>
      </c>
      <c r="B662" s="1">
        <f>DATE(2011,11,27) + TIME(3,23,24)</f>
        <v>40874.141250000001</v>
      </c>
      <c r="C662">
        <v>0</v>
      </c>
      <c r="D662">
        <v>550</v>
      </c>
      <c r="E662">
        <v>550</v>
      </c>
      <c r="F662">
        <v>0</v>
      </c>
      <c r="G662">
        <v>1326.6331786999999</v>
      </c>
      <c r="H662">
        <v>1324.2375488</v>
      </c>
      <c r="I662">
        <v>1344.8068848</v>
      </c>
      <c r="J662">
        <v>1340.0987548999999</v>
      </c>
      <c r="K662">
        <v>80</v>
      </c>
      <c r="L662">
        <v>76.756217957000004</v>
      </c>
      <c r="M662">
        <v>60</v>
      </c>
      <c r="N662">
        <v>59.814136505</v>
      </c>
    </row>
    <row r="663" spans="1:14" x14ac:dyDescent="0.25">
      <c r="A663">
        <v>576.49816199999998</v>
      </c>
      <c r="B663" s="1">
        <f>DATE(2011,11,28) + TIME(11,57,21)</f>
        <v>40875.498159722221</v>
      </c>
      <c r="C663">
        <v>0</v>
      </c>
      <c r="D663">
        <v>550</v>
      </c>
      <c r="E663">
        <v>550</v>
      </c>
      <c r="F663">
        <v>0</v>
      </c>
      <c r="G663">
        <v>1326.5942382999999</v>
      </c>
      <c r="H663">
        <v>1324.1844481999999</v>
      </c>
      <c r="I663">
        <v>1344.7913818</v>
      </c>
      <c r="J663">
        <v>1340.0858154</v>
      </c>
      <c r="K663">
        <v>80</v>
      </c>
      <c r="L663">
        <v>76.632095336999996</v>
      </c>
      <c r="M663">
        <v>60</v>
      </c>
      <c r="N663">
        <v>59.816349029999998</v>
      </c>
    </row>
    <row r="664" spans="1:14" x14ac:dyDescent="0.25">
      <c r="A664">
        <v>577.89258600000005</v>
      </c>
      <c r="B664" s="1">
        <f>DATE(2011,11,29) + TIME(21,25,19)</f>
        <v>40876.892581018517</v>
      </c>
      <c r="C664">
        <v>0</v>
      </c>
      <c r="D664">
        <v>550</v>
      </c>
      <c r="E664">
        <v>550</v>
      </c>
      <c r="F664">
        <v>0</v>
      </c>
      <c r="G664">
        <v>1326.5539550999999</v>
      </c>
      <c r="H664">
        <v>1324.1292725000001</v>
      </c>
      <c r="I664">
        <v>1344.7761230000001</v>
      </c>
      <c r="J664">
        <v>1340.072876</v>
      </c>
      <c r="K664">
        <v>80</v>
      </c>
      <c r="L664">
        <v>76.506080627000003</v>
      </c>
      <c r="M664">
        <v>60</v>
      </c>
      <c r="N664">
        <v>59.818164824999997</v>
      </c>
    </row>
    <row r="665" spans="1:14" x14ac:dyDescent="0.25">
      <c r="A665">
        <v>579</v>
      </c>
      <c r="B665" s="1">
        <f>DATE(2011,12,1) + TIME(0,0,0)</f>
        <v>40878</v>
      </c>
      <c r="C665">
        <v>0</v>
      </c>
      <c r="D665">
        <v>550</v>
      </c>
      <c r="E665">
        <v>550</v>
      </c>
      <c r="F665">
        <v>0</v>
      </c>
      <c r="G665">
        <v>1326.5134277</v>
      </c>
      <c r="H665">
        <v>1324.074707</v>
      </c>
      <c r="I665">
        <v>1344.7609863</v>
      </c>
      <c r="J665">
        <v>1340.0601807</v>
      </c>
      <c r="K665">
        <v>80</v>
      </c>
      <c r="L665">
        <v>76.401397704999994</v>
      </c>
      <c r="M665">
        <v>60</v>
      </c>
      <c r="N665">
        <v>59.819374084000003</v>
      </c>
    </row>
    <row r="666" spans="1:14" x14ac:dyDescent="0.25">
      <c r="A666">
        <v>580.43177600000001</v>
      </c>
      <c r="B666" s="1">
        <f>DATE(2011,12,2) + TIME(10,21,45)</f>
        <v>40879.431770833333</v>
      </c>
      <c r="C666">
        <v>0</v>
      </c>
      <c r="D666">
        <v>550</v>
      </c>
      <c r="E666">
        <v>550</v>
      </c>
      <c r="F666">
        <v>0</v>
      </c>
      <c r="G666">
        <v>1326.4783935999999</v>
      </c>
      <c r="H666">
        <v>1324.0256348</v>
      </c>
      <c r="I666">
        <v>1344.7495117000001</v>
      </c>
      <c r="J666">
        <v>1340.0504149999999</v>
      </c>
      <c r="K666">
        <v>80</v>
      </c>
      <c r="L666">
        <v>76.275657654</v>
      </c>
      <c r="M666">
        <v>60</v>
      </c>
      <c r="N666">
        <v>59.820667266999997</v>
      </c>
    </row>
    <row r="667" spans="1:14" x14ac:dyDescent="0.25">
      <c r="A667">
        <v>581.95107099999996</v>
      </c>
      <c r="B667" s="1">
        <f>DATE(2011,12,3) + TIME(22,49,32)</f>
        <v>40880.951064814813</v>
      </c>
      <c r="C667">
        <v>0</v>
      </c>
      <c r="D667">
        <v>550</v>
      </c>
      <c r="E667">
        <v>550</v>
      </c>
      <c r="F667">
        <v>0</v>
      </c>
      <c r="G667">
        <v>1326.4354248</v>
      </c>
      <c r="H667">
        <v>1323.9667969</v>
      </c>
      <c r="I667">
        <v>1344.7352295000001</v>
      </c>
      <c r="J667">
        <v>1340.0383300999999</v>
      </c>
      <c r="K667">
        <v>80</v>
      </c>
      <c r="L667">
        <v>76.144859314000001</v>
      </c>
      <c r="M667">
        <v>60</v>
      </c>
      <c r="N667">
        <v>59.821807861000003</v>
      </c>
    </row>
    <row r="668" spans="1:14" x14ac:dyDescent="0.25">
      <c r="A668">
        <v>583.52280199999996</v>
      </c>
      <c r="B668" s="1">
        <f>DATE(2011,12,5) + TIME(12,32,50)</f>
        <v>40882.522800925923</v>
      </c>
      <c r="C668">
        <v>0</v>
      </c>
      <c r="D668">
        <v>550</v>
      </c>
      <c r="E668">
        <v>550</v>
      </c>
      <c r="F668">
        <v>0</v>
      </c>
      <c r="G668">
        <v>1326.3901367000001</v>
      </c>
      <c r="H668">
        <v>1323.9046631000001</v>
      </c>
      <c r="I668">
        <v>1344.7205810999999</v>
      </c>
      <c r="J668">
        <v>1340.0261230000001</v>
      </c>
      <c r="K668">
        <v>80</v>
      </c>
      <c r="L668">
        <v>76.011199950999995</v>
      </c>
      <c r="M668">
        <v>60</v>
      </c>
      <c r="N668">
        <v>59.822799683</v>
      </c>
    </row>
    <row r="669" spans="1:14" x14ac:dyDescent="0.25">
      <c r="A669">
        <v>585.14511200000004</v>
      </c>
      <c r="B669" s="1">
        <f>DATE(2011,12,7) + TIME(3,28,57)</f>
        <v>40884.145104166666</v>
      </c>
      <c r="C669">
        <v>0</v>
      </c>
      <c r="D669">
        <v>550</v>
      </c>
      <c r="E669">
        <v>550</v>
      </c>
      <c r="F669">
        <v>0</v>
      </c>
      <c r="G669">
        <v>1326.3431396000001</v>
      </c>
      <c r="H669">
        <v>1323.8400879000001</v>
      </c>
      <c r="I669">
        <v>1344.7061768000001</v>
      </c>
      <c r="J669">
        <v>1340.0139160000001</v>
      </c>
      <c r="K669">
        <v>80</v>
      </c>
      <c r="L669">
        <v>75.874916076999995</v>
      </c>
      <c r="M669">
        <v>60</v>
      </c>
      <c r="N669">
        <v>59.823669434000003</v>
      </c>
    </row>
    <row r="670" spans="1:14" x14ac:dyDescent="0.25">
      <c r="A670">
        <v>586.82763599999998</v>
      </c>
      <c r="B670" s="1">
        <f>DATE(2011,12,8) + TIME(19,51,47)</f>
        <v>40885.827627314815</v>
      </c>
      <c r="C670">
        <v>0</v>
      </c>
      <c r="D670">
        <v>550</v>
      </c>
      <c r="E670">
        <v>550</v>
      </c>
      <c r="F670">
        <v>0</v>
      </c>
      <c r="G670">
        <v>1326.2943115</v>
      </c>
      <c r="H670">
        <v>1323.7730713000001</v>
      </c>
      <c r="I670">
        <v>1344.6918945</v>
      </c>
      <c r="J670">
        <v>1340.0019531</v>
      </c>
      <c r="K670">
        <v>80</v>
      </c>
      <c r="L670">
        <v>75.735557556000003</v>
      </c>
      <c r="M670">
        <v>60</v>
      </c>
      <c r="N670">
        <v>59.824443817000002</v>
      </c>
    </row>
    <row r="671" spans="1:14" x14ac:dyDescent="0.25">
      <c r="A671">
        <v>588.58080199999995</v>
      </c>
      <c r="B671" s="1">
        <f>DATE(2011,12,10) + TIME(13,56,21)</f>
        <v>40887.58079861111</v>
      </c>
      <c r="C671">
        <v>0</v>
      </c>
      <c r="D671">
        <v>550</v>
      </c>
      <c r="E671">
        <v>550</v>
      </c>
      <c r="F671">
        <v>0</v>
      </c>
      <c r="G671">
        <v>1326.2436522999999</v>
      </c>
      <c r="H671">
        <v>1323.7032471</v>
      </c>
      <c r="I671">
        <v>1344.6777344</v>
      </c>
      <c r="J671">
        <v>1339.9899902</v>
      </c>
      <c r="K671">
        <v>80</v>
      </c>
      <c r="L671">
        <v>75.592597960999996</v>
      </c>
      <c r="M671">
        <v>60</v>
      </c>
      <c r="N671">
        <v>59.825149535999998</v>
      </c>
    </row>
    <row r="672" spans="1:14" x14ac:dyDescent="0.25">
      <c r="A672">
        <v>590.41597400000001</v>
      </c>
      <c r="B672" s="1">
        <f>DATE(2011,12,12) + TIME(9,59,0)</f>
        <v>40889.415972222225</v>
      </c>
      <c r="C672">
        <v>0</v>
      </c>
      <c r="D672">
        <v>550</v>
      </c>
      <c r="E672">
        <v>550</v>
      </c>
      <c r="F672">
        <v>0</v>
      </c>
      <c r="G672">
        <v>1326.1907959</v>
      </c>
      <c r="H672">
        <v>1323.6304932</v>
      </c>
      <c r="I672">
        <v>1344.6636963000001</v>
      </c>
      <c r="J672">
        <v>1339.9781493999999</v>
      </c>
      <c r="K672">
        <v>80</v>
      </c>
      <c r="L672">
        <v>75.445434570000003</v>
      </c>
      <c r="M672">
        <v>60</v>
      </c>
      <c r="N672">
        <v>59.825794219999999</v>
      </c>
    </row>
    <row r="673" spans="1:14" x14ac:dyDescent="0.25">
      <c r="A673">
        <v>592.30535399999997</v>
      </c>
      <c r="B673" s="1">
        <f>DATE(2011,12,14) + TIME(7,19,42)</f>
        <v>40891.305347222224</v>
      </c>
      <c r="C673">
        <v>0</v>
      </c>
      <c r="D673">
        <v>550</v>
      </c>
      <c r="E673">
        <v>550</v>
      </c>
      <c r="F673">
        <v>0</v>
      </c>
      <c r="G673">
        <v>1326.1356201000001</v>
      </c>
      <c r="H673">
        <v>1323.5543213000001</v>
      </c>
      <c r="I673">
        <v>1344.6495361</v>
      </c>
      <c r="J673">
        <v>1339.9663086</v>
      </c>
      <c r="K673">
        <v>80</v>
      </c>
      <c r="L673">
        <v>75.295555114999999</v>
      </c>
      <c r="M673">
        <v>60</v>
      </c>
      <c r="N673">
        <v>59.826389313</v>
      </c>
    </row>
    <row r="674" spans="1:14" x14ac:dyDescent="0.25">
      <c r="A674">
        <v>594.254053</v>
      </c>
      <c r="B674" s="1">
        <f>DATE(2011,12,16) + TIME(6,5,50)</f>
        <v>40893.254050925927</v>
      </c>
      <c r="C674">
        <v>0</v>
      </c>
      <c r="D674">
        <v>550</v>
      </c>
      <c r="E674">
        <v>550</v>
      </c>
      <c r="F674">
        <v>0</v>
      </c>
      <c r="G674">
        <v>1326.0784911999999</v>
      </c>
      <c r="H674">
        <v>1323.4755858999999</v>
      </c>
      <c r="I674">
        <v>1344.6356201000001</v>
      </c>
      <c r="J674">
        <v>1339.9545897999999</v>
      </c>
      <c r="K674">
        <v>80</v>
      </c>
      <c r="L674">
        <v>75.142860412999994</v>
      </c>
      <c r="M674">
        <v>60</v>
      </c>
      <c r="N674">
        <v>59.826938628999997</v>
      </c>
    </row>
    <row r="675" spans="1:14" x14ac:dyDescent="0.25">
      <c r="A675">
        <v>596.26665400000002</v>
      </c>
      <c r="B675" s="1">
        <f>DATE(2011,12,18) + TIME(6,23,58)</f>
        <v>40895.266643518517</v>
      </c>
      <c r="C675">
        <v>0</v>
      </c>
      <c r="D675">
        <v>550</v>
      </c>
      <c r="E675">
        <v>550</v>
      </c>
      <c r="F675">
        <v>0</v>
      </c>
      <c r="G675">
        <v>1326.0195312000001</v>
      </c>
      <c r="H675">
        <v>1323.394043</v>
      </c>
      <c r="I675">
        <v>1344.6218262</v>
      </c>
      <c r="J675">
        <v>1339.9429932</v>
      </c>
      <c r="K675">
        <v>80</v>
      </c>
      <c r="L675">
        <v>74.987167357999994</v>
      </c>
      <c r="M675">
        <v>60</v>
      </c>
      <c r="N675">
        <v>59.827453613000003</v>
      </c>
    </row>
    <row r="676" spans="1:14" x14ac:dyDescent="0.25">
      <c r="A676">
        <v>598.348116</v>
      </c>
      <c r="B676" s="1">
        <f>DATE(2011,12,20) + TIME(8,21,17)</f>
        <v>40897.348113425927</v>
      </c>
      <c r="C676">
        <v>0</v>
      </c>
      <c r="D676">
        <v>550</v>
      </c>
      <c r="E676">
        <v>550</v>
      </c>
      <c r="F676">
        <v>0</v>
      </c>
      <c r="G676">
        <v>1325.9586182</v>
      </c>
      <c r="H676">
        <v>1323.3095702999999</v>
      </c>
      <c r="I676">
        <v>1344.6081543</v>
      </c>
      <c r="J676">
        <v>1339.9315185999999</v>
      </c>
      <c r="K676">
        <v>80</v>
      </c>
      <c r="L676">
        <v>74.828094481999997</v>
      </c>
      <c r="M676">
        <v>60</v>
      </c>
      <c r="N676">
        <v>59.827941895000002</v>
      </c>
    </row>
    <row r="677" spans="1:14" x14ac:dyDescent="0.25">
      <c r="A677">
        <v>600.49511299999995</v>
      </c>
      <c r="B677" s="1">
        <f>DATE(2011,12,22) + TIME(11,52,57)</f>
        <v>40899.495104166665</v>
      </c>
      <c r="C677">
        <v>0</v>
      </c>
      <c r="D677">
        <v>550</v>
      </c>
      <c r="E677">
        <v>550</v>
      </c>
      <c r="F677">
        <v>0</v>
      </c>
      <c r="G677">
        <v>1325.8955077999999</v>
      </c>
      <c r="H677">
        <v>1323.222168</v>
      </c>
      <c r="I677">
        <v>1344.5946045000001</v>
      </c>
      <c r="J677">
        <v>1339.9202881000001</v>
      </c>
      <c r="K677">
        <v>80</v>
      </c>
      <c r="L677">
        <v>74.665870666999993</v>
      </c>
      <c r="M677">
        <v>60</v>
      </c>
      <c r="N677">
        <v>59.828407288000001</v>
      </c>
    </row>
    <row r="678" spans="1:14" x14ac:dyDescent="0.25">
      <c r="A678">
        <v>602.70690100000002</v>
      </c>
      <c r="B678" s="1">
        <f>DATE(2011,12,24) + TIME(16,57,56)</f>
        <v>40901.70689814815</v>
      </c>
      <c r="C678">
        <v>0</v>
      </c>
      <c r="D678">
        <v>550</v>
      </c>
      <c r="E678">
        <v>550</v>
      </c>
      <c r="F678">
        <v>0</v>
      </c>
      <c r="G678">
        <v>1325.8304443</v>
      </c>
      <c r="H678">
        <v>1323.1317139</v>
      </c>
      <c r="I678">
        <v>1344.5812988</v>
      </c>
      <c r="J678">
        <v>1339.9090576000001</v>
      </c>
      <c r="K678">
        <v>80</v>
      </c>
      <c r="L678">
        <v>74.500511169000006</v>
      </c>
      <c r="M678">
        <v>60</v>
      </c>
      <c r="N678">
        <v>59.828861236999998</v>
      </c>
    </row>
    <row r="679" spans="1:14" x14ac:dyDescent="0.25">
      <c r="A679">
        <v>604.99857999999995</v>
      </c>
      <c r="B679" s="1">
        <f>DATE(2011,12,26) + TIME(23,57,57)</f>
        <v>40903.998576388891</v>
      </c>
      <c r="C679">
        <v>0</v>
      </c>
      <c r="D679">
        <v>550</v>
      </c>
      <c r="E679">
        <v>550</v>
      </c>
      <c r="F679">
        <v>0</v>
      </c>
      <c r="G679">
        <v>1325.7633057</v>
      </c>
      <c r="H679">
        <v>1323.0383300999999</v>
      </c>
      <c r="I679">
        <v>1344.5679932</v>
      </c>
      <c r="J679">
        <v>1339.8980713000001</v>
      </c>
      <c r="K679">
        <v>80</v>
      </c>
      <c r="L679">
        <v>74.331245421999995</v>
      </c>
      <c r="M679">
        <v>60</v>
      </c>
      <c r="N679">
        <v>59.829299927000001</v>
      </c>
    </row>
    <row r="680" spans="1:14" x14ac:dyDescent="0.25">
      <c r="A680">
        <v>607.37009499999999</v>
      </c>
      <c r="B680" s="1">
        <f>DATE(2011,12,29) + TIME(8,52,56)</f>
        <v>40906.370092592595</v>
      </c>
      <c r="C680">
        <v>0</v>
      </c>
      <c r="D680">
        <v>550</v>
      </c>
      <c r="E680">
        <v>550</v>
      </c>
      <c r="F680">
        <v>0</v>
      </c>
      <c r="G680">
        <v>1325.6937256000001</v>
      </c>
      <c r="H680">
        <v>1322.9415283000001</v>
      </c>
      <c r="I680">
        <v>1344.5548096</v>
      </c>
      <c r="J680">
        <v>1339.8870850000001</v>
      </c>
      <c r="K680">
        <v>80</v>
      </c>
      <c r="L680">
        <v>74.157844542999996</v>
      </c>
      <c r="M680">
        <v>60</v>
      </c>
      <c r="N680">
        <v>59.829734801999997</v>
      </c>
    </row>
    <row r="681" spans="1:14" x14ac:dyDescent="0.25">
      <c r="A681">
        <v>609.81661199999996</v>
      </c>
      <c r="B681" s="1">
        <f>DATE(2011,12,31) + TIME(19,35,55)</f>
        <v>40908.816608796296</v>
      </c>
      <c r="C681">
        <v>0</v>
      </c>
      <c r="D681">
        <v>550</v>
      </c>
      <c r="E681">
        <v>550</v>
      </c>
      <c r="F681">
        <v>0</v>
      </c>
      <c r="G681">
        <v>1325.6218262</v>
      </c>
      <c r="H681">
        <v>1322.8411865</v>
      </c>
      <c r="I681">
        <v>1344.5417480000001</v>
      </c>
      <c r="J681">
        <v>1339.8762207</v>
      </c>
      <c r="K681">
        <v>80</v>
      </c>
      <c r="L681">
        <v>73.980331421000002</v>
      </c>
      <c r="M681">
        <v>60</v>
      </c>
      <c r="N681">
        <v>59.830165862999998</v>
      </c>
    </row>
    <row r="682" spans="1:14" x14ac:dyDescent="0.25">
      <c r="A682">
        <v>610</v>
      </c>
      <c r="B682" s="1">
        <f>DATE(2012,1,1) + TIME(0,0,0)</f>
        <v>40909</v>
      </c>
      <c r="C682">
        <v>0</v>
      </c>
      <c r="D682">
        <v>550</v>
      </c>
      <c r="E682">
        <v>550</v>
      </c>
      <c r="F682">
        <v>0</v>
      </c>
      <c r="G682">
        <v>1325.5584716999999</v>
      </c>
      <c r="H682">
        <v>1322.7600098</v>
      </c>
      <c r="I682">
        <v>1344.5277100000001</v>
      </c>
      <c r="J682">
        <v>1339.8648682</v>
      </c>
      <c r="K682">
        <v>80</v>
      </c>
      <c r="L682">
        <v>73.959663391000007</v>
      </c>
      <c r="M682">
        <v>60</v>
      </c>
      <c r="N682">
        <v>59.830192566000001</v>
      </c>
    </row>
    <row r="683" spans="1:14" x14ac:dyDescent="0.25">
      <c r="A683">
        <v>612.52588600000001</v>
      </c>
      <c r="B683" s="1">
        <f>DATE(2012,1,3) + TIME(12,37,16)</f>
        <v>40911.525879629633</v>
      </c>
      <c r="C683">
        <v>0</v>
      </c>
      <c r="D683">
        <v>550</v>
      </c>
      <c r="E683">
        <v>550</v>
      </c>
      <c r="F683">
        <v>0</v>
      </c>
      <c r="G683">
        <v>1325.5405272999999</v>
      </c>
      <c r="H683">
        <v>1322.7271728999999</v>
      </c>
      <c r="I683">
        <v>1344.527832</v>
      </c>
      <c r="J683">
        <v>1339.864624</v>
      </c>
      <c r="K683">
        <v>80</v>
      </c>
      <c r="L683">
        <v>73.780448914000004</v>
      </c>
      <c r="M683">
        <v>60</v>
      </c>
      <c r="N683">
        <v>59.830623627000001</v>
      </c>
    </row>
    <row r="684" spans="1:14" x14ac:dyDescent="0.25">
      <c r="A684">
        <v>615.12800200000004</v>
      </c>
      <c r="B684" s="1">
        <f>DATE(2012,1,6) + TIME(3,4,19)</f>
        <v>40914.127997685187</v>
      </c>
      <c r="C684">
        <v>0</v>
      </c>
      <c r="D684">
        <v>550</v>
      </c>
      <c r="E684">
        <v>550</v>
      </c>
      <c r="F684">
        <v>0</v>
      </c>
      <c r="G684">
        <v>1325.4645995999999</v>
      </c>
      <c r="H684">
        <v>1322.6212158000001</v>
      </c>
      <c r="I684">
        <v>1344.5148925999999</v>
      </c>
      <c r="J684">
        <v>1339.8540039</v>
      </c>
      <c r="K684">
        <v>80</v>
      </c>
      <c r="L684">
        <v>73.595535278</v>
      </c>
      <c r="M684">
        <v>60</v>
      </c>
      <c r="N684">
        <v>59.831050873000002</v>
      </c>
    </row>
    <row r="685" spans="1:14" x14ac:dyDescent="0.25">
      <c r="A685">
        <v>617.807501</v>
      </c>
      <c r="B685" s="1">
        <f>DATE(2012,1,8) + TIME(19,22,48)</f>
        <v>40916.807500000003</v>
      </c>
      <c r="C685">
        <v>0</v>
      </c>
      <c r="D685">
        <v>550</v>
      </c>
      <c r="E685">
        <v>550</v>
      </c>
      <c r="F685">
        <v>0</v>
      </c>
      <c r="G685">
        <v>1325.3861084</v>
      </c>
      <c r="H685">
        <v>1322.5113524999999</v>
      </c>
      <c r="I685">
        <v>1344.5020752</v>
      </c>
      <c r="J685">
        <v>1339.8435059000001</v>
      </c>
      <c r="K685">
        <v>80</v>
      </c>
      <c r="L685">
        <v>73.404975891000007</v>
      </c>
      <c r="M685">
        <v>60</v>
      </c>
      <c r="N685">
        <v>59.831478119000003</v>
      </c>
    </row>
    <row r="686" spans="1:14" x14ac:dyDescent="0.25">
      <c r="A686">
        <v>620.57091000000003</v>
      </c>
      <c r="B686" s="1">
        <f>DATE(2012,1,11) + TIME(13,42,6)</f>
        <v>40919.570902777778</v>
      </c>
      <c r="C686">
        <v>0</v>
      </c>
      <c r="D686">
        <v>550</v>
      </c>
      <c r="E686">
        <v>550</v>
      </c>
      <c r="F686">
        <v>0</v>
      </c>
      <c r="G686">
        <v>1325.3052978999999</v>
      </c>
      <c r="H686">
        <v>1322.3977050999999</v>
      </c>
      <c r="I686">
        <v>1344.4893798999999</v>
      </c>
      <c r="J686">
        <v>1339.8331298999999</v>
      </c>
      <c r="K686">
        <v>80</v>
      </c>
      <c r="L686">
        <v>73.208396911999998</v>
      </c>
      <c r="M686">
        <v>60</v>
      </c>
      <c r="N686">
        <v>59.831909179999997</v>
      </c>
    </row>
    <row r="687" spans="1:14" x14ac:dyDescent="0.25">
      <c r="A687">
        <v>623.42501200000004</v>
      </c>
      <c r="B687" s="1">
        <f>DATE(2012,1,14) + TIME(10,12,0)</f>
        <v>40922.425000000003</v>
      </c>
      <c r="C687">
        <v>0</v>
      </c>
      <c r="D687">
        <v>550</v>
      </c>
      <c r="E687">
        <v>550</v>
      </c>
      <c r="F687">
        <v>0</v>
      </c>
      <c r="G687">
        <v>1325.2219238</v>
      </c>
      <c r="H687">
        <v>1322.2805175999999</v>
      </c>
      <c r="I687">
        <v>1344.4766846</v>
      </c>
      <c r="J687">
        <v>1339.822876</v>
      </c>
      <c r="K687">
        <v>80</v>
      </c>
      <c r="L687">
        <v>73.005187988000003</v>
      </c>
      <c r="M687">
        <v>60</v>
      </c>
      <c r="N687">
        <v>59.83234787</v>
      </c>
    </row>
    <row r="688" spans="1:14" x14ac:dyDescent="0.25">
      <c r="A688">
        <v>626.32591400000001</v>
      </c>
      <c r="B688" s="1">
        <f>DATE(2012,1,17) + TIME(7,49,18)</f>
        <v>40925.325902777775</v>
      </c>
      <c r="C688">
        <v>0</v>
      </c>
      <c r="D688">
        <v>550</v>
      </c>
      <c r="E688">
        <v>550</v>
      </c>
      <c r="F688">
        <v>0</v>
      </c>
      <c r="G688">
        <v>1325.1362305</v>
      </c>
      <c r="H688">
        <v>1322.1595459</v>
      </c>
      <c r="I688">
        <v>1344.4639893000001</v>
      </c>
      <c r="J688">
        <v>1339.8127440999999</v>
      </c>
      <c r="K688">
        <v>80</v>
      </c>
      <c r="L688">
        <v>72.796623229999994</v>
      </c>
      <c r="M688">
        <v>60</v>
      </c>
      <c r="N688">
        <v>59.832782745000003</v>
      </c>
    </row>
    <row r="689" spans="1:14" x14ac:dyDescent="0.25">
      <c r="A689">
        <v>629.27643399999999</v>
      </c>
      <c r="B689" s="1">
        <f>DATE(2012,1,20) + TIME(6,38,3)</f>
        <v>40928.276423611111</v>
      </c>
      <c r="C689">
        <v>0</v>
      </c>
      <c r="D689">
        <v>550</v>
      </c>
      <c r="E689">
        <v>550</v>
      </c>
      <c r="F689">
        <v>0</v>
      </c>
      <c r="G689">
        <v>1325.0489502</v>
      </c>
      <c r="H689">
        <v>1322.0362548999999</v>
      </c>
      <c r="I689">
        <v>1344.4515381000001</v>
      </c>
      <c r="J689">
        <v>1339.8027344</v>
      </c>
      <c r="K689">
        <v>80</v>
      </c>
      <c r="L689">
        <v>72.582641601999995</v>
      </c>
      <c r="M689">
        <v>60</v>
      </c>
      <c r="N689">
        <v>59.833217621000003</v>
      </c>
    </row>
    <row r="690" spans="1:14" x14ac:dyDescent="0.25">
      <c r="A690">
        <v>632.29212800000005</v>
      </c>
      <c r="B690" s="1">
        <f>DATE(2012,1,23) + TIME(7,0,39)</f>
        <v>40931.292118055557</v>
      </c>
      <c r="C690">
        <v>0</v>
      </c>
      <c r="D690">
        <v>550</v>
      </c>
      <c r="E690">
        <v>550</v>
      </c>
      <c r="F690">
        <v>0</v>
      </c>
      <c r="G690">
        <v>1324.9604492000001</v>
      </c>
      <c r="H690">
        <v>1321.9106445</v>
      </c>
      <c r="I690">
        <v>1344.4392089999999</v>
      </c>
      <c r="J690">
        <v>1339.7929687999999</v>
      </c>
      <c r="K690">
        <v>80</v>
      </c>
      <c r="L690">
        <v>72.362365722999996</v>
      </c>
      <c r="M690">
        <v>60</v>
      </c>
      <c r="N690">
        <v>59.833656310999999</v>
      </c>
    </row>
    <row r="691" spans="1:14" x14ac:dyDescent="0.25">
      <c r="A691">
        <v>635.39014599999996</v>
      </c>
      <c r="B691" s="1">
        <f>DATE(2012,1,26) + TIME(9,21,48)</f>
        <v>40934.390138888892</v>
      </c>
      <c r="C691">
        <v>0</v>
      </c>
      <c r="D691">
        <v>550</v>
      </c>
      <c r="E691">
        <v>550</v>
      </c>
      <c r="F691">
        <v>0</v>
      </c>
      <c r="G691">
        <v>1324.8701172000001</v>
      </c>
      <c r="H691">
        <v>1321.7823486</v>
      </c>
      <c r="I691">
        <v>1344.4270019999999</v>
      </c>
      <c r="J691">
        <v>1339.7833252</v>
      </c>
      <c r="K691">
        <v>80</v>
      </c>
      <c r="L691">
        <v>72.134460449000002</v>
      </c>
      <c r="M691">
        <v>60</v>
      </c>
      <c r="N691">
        <v>59.834098816000001</v>
      </c>
    </row>
    <row r="692" spans="1:14" x14ac:dyDescent="0.25">
      <c r="A692">
        <v>638.58893</v>
      </c>
      <c r="B692" s="1">
        <f>DATE(2012,1,29) + TIME(14,8,3)</f>
        <v>40937.588923611111</v>
      </c>
      <c r="C692">
        <v>0</v>
      </c>
      <c r="D692">
        <v>550</v>
      </c>
      <c r="E692">
        <v>550</v>
      </c>
      <c r="F692">
        <v>0</v>
      </c>
      <c r="G692">
        <v>1324.7779541</v>
      </c>
      <c r="H692">
        <v>1321.651001</v>
      </c>
      <c r="I692">
        <v>1344.4149170000001</v>
      </c>
      <c r="J692">
        <v>1339.7738036999999</v>
      </c>
      <c r="K692">
        <v>80</v>
      </c>
      <c r="L692">
        <v>71.897232056000007</v>
      </c>
      <c r="M692">
        <v>60</v>
      </c>
      <c r="N692">
        <v>59.834552764999998</v>
      </c>
    </row>
    <row r="693" spans="1:14" x14ac:dyDescent="0.25">
      <c r="A693">
        <v>641</v>
      </c>
      <c r="B693" s="1">
        <f>DATE(2012,2,1) + TIME(0,0,0)</f>
        <v>40940</v>
      </c>
      <c r="C693">
        <v>0</v>
      </c>
      <c r="D693">
        <v>550</v>
      </c>
      <c r="E693">
        <v>550</v>
      </c>
      <c r="F693">
        <v>0</v>
      </c>
      <c r="G693">
        <v>1324.6859131000001</v>
      </c>
      <c r="H693">
        <v>1321.5214844</v>
      </c>
      <c r="I693">
        <v>1344.4023437999999</v>
      </c>
      <c r="J693">
        <v>1339.7641602000001</v>
      </c>
      <c r="K693">
        <v>80</v>
      </c>
      <c r="L693">
        <v>71.689720154</v>
      </c>
      <c r="M693">
        <v>60</v>
      </c>
      <c r="N693">
        <v>59.834877014</v>
      </c>
    </row>
    <row r="694" spans="1:14" x14ac:dyDescent="0.25">
      <c r="A694">
        <v>644.31993999999997</v>
      </c>
      <c r="B694" s="1">
        <f>DATE(2012,2,4) + TIME(7,40,42)</f>
        <v>40943.319930555554</v>
      </c>
      <c r="C694">
        <v>0</v>
      </c>
      <c r="D694">
        <v>550</v>
      </c>
      <c r="E694">
        <v>550</v>
      </c>
      <c r="F694">
        <v>0</v>
      </c>
      <c r="G694">
        <v>1324.6082764</v>
      </c>
      <c r="H694">
        <v>1321.4068603999999</v>
      </c>
      <c r="I694">
        <v>1344.3936768000001</v>
      </c>
      <c r="J694">
        <v>1339.7573242000001</v>
      </c>
      <c r="K694">
        <v>80</v>
      </c>
      <c r="L694">
        <v>71.448181152000004</v>
      </c>
      <c r="M694">
        <v>60</v>
      </c>
      <c r="N694">
        <v>59.835346221999998</v>
      </c>
    </row>
    <row r="695" spans="1:14" x14ac:dyDescent="0.25">
      <c r="A695">
        <v>647.86732800000004</v>
      </c>
      <c r="B695" s="1">
        <f>DATE(2012,2,7) + TIME(20,48,57)</f>
        <v>40946.867326388892</v>
      </c>
      <c r="C695">
        <v>0</v>
      </c>
      <c r="D695">
        <v>550</v>
      </c>
      <c r="E695">
        <v>550</v>
      </c>
      <c r="F695">
        <v>0</v>
      </c>
      <c r="G695">
        <v>1324.5131836</v>
      </c>
      <c r="H695">
        <v>1321.2706298999999</v>
      </c>
      <c r="I695">
        <v>1344.3814697</v>
      </c>
      <c r="J695">
        <v>1339.7480469</v>
      </c>
      <c r="K695">
        <v>80</v>
      </c>
      <c r="L695">
        <v>71.184593200999998</v>
      </c>
      <c r="M695">
        <v>60</v>
      </c>
      <c r="N695">
        <v>59.835834503000001</v>
      </c>
    </row>
    <row r="696" spans="1:14" x14ac:dyDescent="0.25">
      <c r="A696">
        <v>651.48045300000001</v>
      </c>
      <c r="B696" s="1">
        <f>DATE(2012,2,11) + TIME(11,31,51)</f>
        <v>40950.480451388888</v>
      </c>
      <c r="C696">
        <v>0</v>
      </c>
      <c r="D696">
        <v>550</v>
      </c>
      <c r="E696">
        <v>550</v>
      </c>
      <c r="F696">
        <v>0</v>
      </c>
      <c r="G696">
        <v>1324.4125977000001</v>
      </c>
      <c r="H696">
        <v>1321.1263428</v>
      </c>
      <c r="I696">
        <v>1344.3686522999999</v>
      </c>
      <c r="J696">
        <v>1339.7384033000001</v>
      </c>
      <c r="K696">
        <v>80</v>
      </c>
      <c r="L696">
        <v>70.903602599999999</v>
      </c>
      <c r="M696">
        <v>60</v>
      </c>
      <c r="N696">
        <v>59.836318970000001</v>
      </c>
    </row>
    <row r="697" spans="1:14" x14ac:dyDescent="0.25">
      <c r="A697">
        <v>655.16733199999999</v>
      </c>
      <c r="B697" s="1">
        <f>DATE(2012,2,15) + TIME(4,0,57)</f>
        <v>40954.167326388888</v>
      </c>
      <c r="C697">
        <v>0</v>
      </c>
      <c r="D697">
        <v>550</v>
      </c>
      <c r="E697">
        <v>550</v>
      </c>
      <c r="F697">
        <v>0</v>
      </c>
      <c r="G697">
        <v>1324.3098144999999</v>
      </c>
      <c r="H697">
        <v>1320.9780272999999</v>
      </c>
      <c r="I697">
        <v>1344.355957</v>
      </c>
      <c r="J697">
        <v>1339.7288818</v>
      </c>
      <c r="K697">
        <v>80</v>
      </c>
      <c r="L697">
        <v>70.607330321999996</v>
      </c>
      <c r="M697">
        <v>60</v>
      </c>
      <c r="N697">
        <v>59.836807251000003</v>
      </c>
    </row>
    <row r="698" spans="1:14" x14ac:dyDescent="0.25">
      <c r="A698">
        <v>658.90699600000005</v>
      </c>
      <c r="B698" s="1">
        <f>DATE(2012,2,18) + TIME(21,46,4)</f>
        <v>40957.906990740739</v>
      </c>
      <c r="C698">
        <v>0</v>
      </c>
      <c r="D698">
        <v>550</v>
      </c>
      <c r="E698">
        <v>550</v>
      </c>
      <c r="F698">
        <v>0</v>
      </c>
      <c r="G698">
        <v>1324.2056885</v>
      </c>
      <c r="H698">
        <v>1320.8271483999999</v>
      </c>
      <c r="I698">
        <v>1344.3432617000001</v>
      </c>
      <c r="J698">
        <v>1339.7194824000001</v>
      </c>
      <c r="K698">
        <v>80</v>
      </c>
      <c r="L698">
        <v>70.297348021999994</v>
      </c>
      <c r="M698">
        <v>60</v>
      </c>
      <c r="N698">
        <v>59.837295531999999</v>
      </c>
    </row>
    <row r="699" spans="1:14" x14ac:dyDescent="0.25">
      <c r="A699">
        <v>662.72011099999997</v>
      </c>
      <c r="B699" s="1">
        <f>DATE(2012,2,22) + TIME(17,16,57)</f>
        <v>40961.720104166663</v>
      </c>
      <c r="C699">
        <v>0</v>
      </c>
      <c r="D699">
        <v>550</v>
      </c>
      <c r="E699">
        <v>550</v>
      </c>
      <c r="F699">
        <v>0</v>
      </c>
      <c r="G699">
        <v>1324.1008300999999</v>
      </c>
      <c r="H699">
        <v>1320.6744385</v>
      </c>
      <c r="I699">
        <v>1344.3306885</v>
      </c>
      <c r="J699">
        <v>1339.7100829999999</v>
      </c>
      <c r="K699">
        <v>80</v>
      </c>
      <c r="L699">
        <v>69.973403931000007</v>
      </c>
      <c r="M699">
        <v>60</v>
      </c>
      <c r="N699">
        <v>59.837783813000001</v>
      </c>
    </row>
    <row r="700" spans="1:14" x14ac:dyDescent="0.25">
      <c r="A700">
        <v>666.62798699999996</v>
      </c>
      <c r="B700" s="1">
        <f>DATE(2012,2,26) + TIME(15,4,18)</f>
        <v>40965.627986111111</v>
      </c>
      <c r="C700">
        <v>0</v>
      </c>
      <c r="D700">
        <v>550</v>
      </c>
      <c r="E700">
        <v>550</v>
      </c>
      <c r="F700">
        <v>0</v>
      </c>
      <c r="G700">
        <v>1323.9954834</v>
      </c>
      <c r="H700">
        <v>1320.5202637</v>
      </c>
      <c r="I700">
        <v>1344.3179932</v>
      </c>
      <c r="J700">
        <v>1339.7009277</v>
      </c>
      <c r="K700">
        <v>80</v>
      </c>
      <c r="L700">
        <v>69.633804321</v>
      </c>
      <c r="M700">
        <v>60</v>
      </c>
      <c r="N700">
        <v>59.838279724000003</v>
      </c>
    </row>
    <row r="701" spans="1:14" x14ac:dyDescent="0.25">
      <c r="A701">
        <v>670</v>
      </c>
      <c r="B701" s="1">
        <f>DATE(2012,3,1) + TIME(0,0,0)</f>
        <v>40969</v>
      </c>
      <c r="C701">
        <v>0</v>
      </c>
      <c r="D701">
        <v>550</v>
      </c>
      <c r="E701">
        <v>550</v>
      </c>
      <c r="F701">
        <v>0</v>
      </c>
      <c r="G701">
        <v>1323.8903809000001</v>
      </c>
      <c r="H701">
        <v>1320.3674315999999</v>
      </c>
      <c r="I701">
        <v>1344.3050536999999</v>
      </c>
      <c r="J701">
        <v>1339.6915283000001</v>
      </c>
      <c r="K701">
        <v>80</v>
      </c>
      <c r="L701">
        <v>69.305992126000007</v>
      </c>
      <c r="M701">
        <v>60</v>
      </c>
      <c r="N701">
        <v>59.838691711000003</v>
      </c>
    </row>
    <row r="702" spans="1:14" x14ac:dyDescent="0.25">
      <c r="A702">
        <v>674.02654099999995</v>
      </c>
      <c r="B702" s="1">
        <f>DATE(2012,3,5) + TIME(0,38,13)</f>
        <v>40973.026539351849</v>
      </c>
      <c r="C702">
        <v>0</v>
      </c>
      <c r="D702">
        <v>550</v>
      </c>
      <c r="E702">
        <v>550</v>
      </c>
      <c r="F702">
        <v>0</v>
      </c>
      <c r="G702">
        <v>1323.7956543</v>
      </c>
      <c r="H702">
        <v>1320.2249756000001</v>
      </c>
      <c r="I702">
        <v>1344.2943115</v>
      </c>
      <c r="J702">
        <v>1339.6838379000001</v>
      </c>
      <c r="K702">
        <v>80</v>
      </c>
      <c r="L702">
        <v>68.952949524000005</v>
      </c>
      <c r="M702">
        <v>60</v>
      </c>
      <c r="N702">
        <v>59.839195251</v>
      </c>
    </row>
    <row r="703" spans="1:14" x14ac:dyDescent="0.25">
      <c r="A703">
        <v>678.34223199999997</v>
      </c>
      <c r="B703" s="1">
        <f>DATE(2012,3,9) + TIME(8,12,48)</f>
        <v>40977.342222222222</v>
      </c>
      <c r="C703">
        <v>0</v>
      </c>
      <c r="D703">
        <v>550</v>
      </c>
      <c r="E703">
        <v>550</v>
      </c>
      <c r="F703">
        <v>0</v>
      </c>
      <c r="G703">
        <v>1323.6911620999999</v>
      </c>
      <c r="H703">
        <v>1320.0705565999999</v>
      </c>
      <c r="I703">
        <v>1344.2814940999999</v>
      </c>
      <c r="J703">
        <v>1339.6746826000001</v>
      </c>
      <c r="K703">
        <v>80</v>
      </c>
      <c r="L703">
        <v>68.568214416999993</v>
      </c>
      <c r="M703">
        <v>60</v>
      </c>
      <c r="N703">
        <v>59.839725494</v>
      </c>
    </row>
    <row r="704" spans="1:14" x14ac:dyDescent="0.25">
      <c r="A704">
        <v>682.76894600000003</v>
      </c>
      <c r="B704" s="1">
        <f>DATE(2012,3,13) + TIME(18,27,16)</f>
        <v>40981.768935185188</v>
      </c>
      <c r="C704">
        <v>0</v>
      </c>
      <c r="D704">
        <v>550</v>
      </c>
      <c r="E704">
        <v>550</v>
      </c>
      <c r="F704">
        <v>0</v>
      </c>
      <c r="G704">
        <v>1323.5821533000001</v>
      </c>
      <c r="H704">
        <v>1319.9090576000001</v>
      </c>
      <c r="I704">
        <v>1344.2678223</v>
      </c>
      <c r="J704">
        <v>1339.6650391000001</v>
      </c>
      <c r="K704">
        <v>80</v>
      </c>
      <c r="L704">
        <v>68.155754088999998</v>
      </c>
      <c r="M704">
        <v>60</v>
      </c>
      <c r="N704">
        <v>59.840255737</v>
      </c>
    </row>
    <row r="705" spans="1:14" x14ac:dyDescent="0.25">
      <c r="A705">
        <v>687.28995099999997</v>
      </c>
      <c r="B705" s="1">
        <f>DATE(2012,3,18) + TIME(6,57,31)</f>
        <v>40986.289942129632</v>
      </c>
      <c r="C705">
        <v>0</v>
      </c>
      <c r="D705">
        <v>550</v>
      </c>
      <c r="E705">
        <v>550</v>
      </c>
      <c r="F705">
        <v>0</v>
      </c>
      <c r="G705">
        <v>1323.4720459</v>
      </c>
      <c r="H705">
        <v>1319.744751</v>
      </c>
      <c r="I705">
        <v>1344.2539062000001</v>
      </c>
      <c r="J705">
        <v>1339.6553954999999</v>
      </c>
      <c r="K705">
        <v>80</v>
      </c>
      <c r="L705">
        <v>67.720596313000001</v>
      </c>
      <c r="M705">
        <v>60</v>
      </c>
      <c r="N705">
        <v>59.84078598</v>
      </c>
    </row>
    <row r="706" spans="1:14" x14ac:dyDescent="0.25">
      <c r="A706">
        <v>691.93479600000001</v>
      </c>
      <c r="B706" s="1">
        <f>DATE(2012,3,22) + TIME(22,26,6)</f>
        <v>40990.934791666667</v>
      </c>
      <c r="C706">
        <v>0</v>
      </c>
      <c r="D706">
        <v>550</v>
      </c>
      <c r="E706">
        <v>550</v>
      </c>
      <c r="F706">
        <v>0</v>
      </c>
      <c r="G706">
        <v>1323.3619385</v>
      </c>
      <c r="H706">
        <v>1319.5794678</v>
      </c>
      <c r="I706">
        <v>1344.2398682</v>
      </c>
      <c r="J706">
        <v>1339.6456298999999</v>
      </c>
      <c r="K706">
        <v>80</v>
      </c>
      <c r="L706">
        <v>67.264373778999996</v>
      </c>
      <c r="M706">
        <v>60</v>
      </c>
      <c r="N706">
        <v>59.841323852999999</v>
      </c>
    </row>
    <row r="707" spans="1:14" x14ac:dyDescent="0.25">
      <c r="A707">
        <v>696.65094499999998</v>
      </c>
      <c r="B707" s="1">
        <f>DATE(2012,3,27) + TIME(15,37,21)</f>
        <v>40995.650937500002</v>
      </c>
      <c r="C707">
        <v>0</v>
      </c>
      <c r="D707">
        <v>550</v>
      </c>
      <c r="E707">
        <v>550</v>
      </c>
      <c r="F707">
        <v>0</v>
      </c>
      <c r="G707">
        <v>1323.2521973</v>
      </c>
      <c r="H707">
        <v>1319.4138184000001</v>
      </c>
      <c r="I707">
        <v>1344.2255858999999</v>
      </c>
      <c r="J707">
        <v>1339.6357422000001</v>
      </c>
      <c r="K707">
        <v>80</v>
      </c>
      <c r="L707">
        <v>66.789787292</v>
      </c>
      <c r="M707">
        <v>60</v>
      </c>
      <c r="N707">
        <v>59.841861725000001</v>
      </c>
    </row>
    <row r="708" spans="1:14" x14ac:dyDescent="0.25">
      <c r="A708">
        <v>701</v>
      </c>
      <c r="B708" s="1">
        <f>DATE(2012,4,1) + TIME(0,0,0)</f>
        <v>41000</v>
      </c>
      <c r="C708">
        <v>0</v>
      </c>
      <c r="D708">
        <v>550</v>
      </c>
      <c r="E708">
        <v>550</v>
      </c>
      <c r="F708">
        <v>0</v>
      </c>
      <c r="G708">
        <v>1323.1444091999999</v>
      </c>
      <c r="H708">
        <v>1319.2512207</v>
      </c>
      <c r="I708">
        <v>1344.2110596</v>
      </c>
      <c r="J708">
        <v>1339.6257324000001</v>
      </c>
      <c r="K708">
        <v>80</v>
      </c>
      <c r="L708">
        <v>66.318740844999994</v>
      </c>
      <c r="M708">
        <v>60</v>
      </c>
      <c r="N708">
        <v>59.842338562000002</v>
      </c>
    </row>
    <row r="709" spans="1:14" x14ac:dyDescent="0.25">
      <c r="A709">
        <v>705.81119100000001</v>
      </c>
      <c r="B709" s="1">
        <f>DATE(2012,4,5) + TIME(19,28,6)</f>
        <v>41004.811180555553</v>
      </c>
      <c r="C709">
        <v>0</v>
      </c>
      <c r="D709">
        <v>550</v>
      </c>
      <c r="E709">
        <v>550</v>
      </c>
      <c r="F709">
        <v>0</v>
      </c>
      <c r="G709">
        <v>1323.0452881000001</v>
      </c>
      <c r="H709">
        <v>1319.0979004000001</v>
      </c>
      <c r="I709">
        <v>1344.1979980000001</v>
      </c>
      <c r="J709">
        <v>1339.6166992000001</v>
      </c>
      <c r="K709">
        <v>80</v>
      </c>
      <c r="L709">
        <v>65.833320618000002</v>
      </c>
      <c r="M709">
        <v>60</v>
      </c>
      <c r="N709">
        <v>59.842876433999997</v>
      </c>
    </row>
    <row r="710" spans="1:14" x14ac:dyDescent="0.25">
      <c r="A710">
        <v>710.87748099999999</v>
      </c>
      <c r="B710" s="1">
        <f>DATE(2012,4,10) + TIME(21,3,34)</f>
        <v>41009.877476851849</v>
      </c>
      <c r="C710">
        <v>0</v>
      </c>
      <c r="D710">
        <v>550</v>
      </c>
      <c r="E710">
        <v>550</v>
      </c>
      <c r="F710">
        <v>0</v>
      </c>
      <c r="G710">
        <v>1322.9432373</v>
      </c>
      <c r="H710">
        <v>1318.9411620999999</v>
      </c>
      <c r="I710">
        <v>1344.1834716999999</v>
      </c>
      <c r="J710">
        <v>1339.6068115</v>
      </c>
      <c r="K710">
        <v>80</v>
      </c>
      <c r="L710">
        <v>65.320899963000002</v>
      </c>
      <c r="M710">
        <v>60</v>
      </c>
      <c r="N710">
        <v>59.843429565000001</v>
      </c>
    </row>
    <row r="711" spans="1:14" x14ac:dyDescent="0.25">
      <c r="A711">
        <v>716.08806200000004</v>
      </c>
      <c r="B711" s="1">
        <f>DATE(2012,4,16) + TIME(2,6,48)</f>
        <v>41015.088055555556</v>
      </c>
      <c r="C711">
        <v>0</v>
      </c>
      <c r="D711">
        <v>550</v>
      </c>
      <c r="E711">
        <v>550</v>
      </c>
      <c r="F711">
        <v>0</v>
      </c>
      <c r="G711">
        <v>1322.8404541</v>
      </c>
      <c r="H711">
        <v>1318.7827147999999</v>
      </c>
      <c r="I711">
        <v>1344.1680908000001</v>
      </c>
      <c r="J711">
        <v>1339.5964355000001</v>
      </c>
      <c r="K711">
        <v>80</v>
      </c>
      <c r="L711">
        <v>64.784858704000001</v>
      </c>
      <c r="M711">
        <v>60</v>
      </c>
      <c r="N711">
        <v>59.843990325999997</v>
      </c>
    </row>
    <row r="712" spans="1:14" x14ac:dyDescent="0.25">
      <c r="A712">
        <v>721.38018</v>
      </c>
      <c r="B712" s="1">
        <f>DATE(2012,4,21) + TIME(9,7,27)</f>
        <v>41020.380173611113</v>
      </c>
      <c r="C712">
        <v>0</v>
      </c>
      <c r="D712">
        <v>550</v>
      </c>
      <c r="E712">
        <v>550</v>
      </c>
      <c r="F712">
        <v>0</v>
      </c>
      <c r="G712">
        <v>1322.7390137</v>
      </c>
      <c r="H712">
        <v>1318.6253661999999</v>
      </c>
      <c r="I712">
        <v>1344.1524658000001</v>
      </c>
      <c r="J712">
        <v>1339.5858154</v>
      </c>
      <c r="K712">
        <v>80</v>
      </c>
      <c r="L712">
        <v>64.233070373999993</v>
      </c>
      <c r="M712">
        <v>60</v>
      </c>
      <c r="N712">
        <v>59.844547272</v>
      </c>
    </row>
    <row r="713" spans="1:14" x14ac:dyDescent="0.25">
      <c r="A713">
        <v>726.78490599999998</v>
      </c>
      <c r="B713" s="1">
        <f>DATE(2012,4,26) + TIME(18,50,15)</f>
        <v>41025.784895833334</v>
      </c>
      <c r="C713">
        <v>0</v>
      </c>
      <c r="D713">
        <v>550</v>
      </c>
      <c r="E713">
        <v>550</v>
      </c>
      <c r="F713">
        <v>0</v>
      </c>
      <c r="G713">
        <v>1322.6403809000001</v>
      </c>
      <c r="H713">
        <v>1318.4710693</v>
      </c>
      <c r="I713">
        <v>1344.1367187999999</v>
      </c>
      <c r="J713">
        <v>1339.5750731999999</v>
      </c>
      <c r="K713">
        <v>80</v>
      </c>
      <c r="L713">
        <v>63.670330047999997</v>
      </c>
      <c r="M713">
        <v>60</v>
      </c>
      <c r="N713">
        <v>59.845108031999999</v>
      </c>
    </row>
    <row r="714" spans="1:14" x14ac:dyDescent="0.25">
      <c r="A714">
        <v>731</v>
      </c>
      <c r="B714" s="1">
        <f>DATE(2012,5,1) + TIME(0,0,0)</f>
        <v>41030</v>
      </c>
      <c r="C714">
        <v>0</v>
      </c>
      <c r="D714">
        <v>550</v>
      </c>
      <c r="E714">
        <v>550</v>
      </c>
      <c r="F714">
        <v>0</v>
      </c>
      <c r="G714">
        <v>1322.5454102000001</v>
      </c>
      <c r="H714">
        <v>1318.3251952999999</v>
      </c>
      <c r="I714">
        <v>1344.1204834</v>
      </c>
      <c r="J714">
        <v>1339.5640868999999</v>
      </c>
      <c r="K714">
        <v>80</v>
      </c>
      <c r="L714">
        <v>63.156314850000001</v>
      </c>
      <c r="M714">
        <v>60</v>
      </c>
      <c r="N714">
        <v>59.845512390000003</v>
      </c>
    </row>
    <row r="715" spans="1:14" x14ac:dyDescent="0.25">
      <c r="A715">
        <v>731.000001</v>
      </c>
      <c r="B715" s="1">
        <f>DATE(2012,5,1) + TIME(0,0,0)</f>
        <v>41030</v>
      </c>
      <c r="C715">
        <v>550</v>
      </c>
      <c r="D715">
        <v>0</v>
      </c>
      <c r="E715">
        <v>0</v>
      </c>
      <c r="F715">
        <v>550</v>
      </c>
      <c r="G715">
        <v>1327.8728027</v>
      </c>
      <c r="H715">
        <v>1322.8035889</v>
      </c>
      <c r="I715">
        <v>1339.3641356999999</v>
      </c>
      <c r="J715">
        <v>1336.3785399999999</v>
      </c>
      <c r="K715">
        <v>80</v>
      </c>
      <c r="L715">
        <v>63.156356811999999</v>
      </c>
      <c r="M715">
        <v>60</v>
      </c>
      <c r="N715">
        <v>59.845485687</v>
      </c>
    </row>
    <row r="716" spans="1:14" x14ac:dyDescent="0.25">
      <c r="A716">
        <v>731.00000399999999</v>
      </c>
      <c r="B716" s="1">
        <f>DATE(2012,5,1) + TIME(0,0,0)</f>
        <v>41030</v>
      </c>
      <c r="C716">
        <v>550</v>
      </c>
      <c r="D716">
        <v>0</v>
      </c>
      <c r="E716">
        <v>0</v>
      </c>
      <c r="F716">
        <v>550</v>
      </c>
      <c r="G716">
        <v>1328.4370117000001</v>
      </c>
      <c r="H716">
        <v>1323.4692382999999</v>
      </c>
      <c r="I716">
        <v>1338.8399658000001</v>
      </c>
      <c r="J716">
        <v>1335.8537598</v>
      </c>
      <c r="K716">
        <v>80</v>
      </c>
      <c r="L716">
        <v>63.156463623</v>
      </c>
      <c r="M716">
        <v>60</v>
      </c>
      <c r="N716">
        <v>59.845417023000003</v>
      </c>
    </row>
    <row r="717" spans="1:14" x14ac:dyDescent="0.25">
      <c r="A717">
        <v>731.00001299999997</v>
      </c>
      <c r="B717" s="1">
        <f>DATE(2012,5,1) + TIME(0,0,1)</f>
        <v>41030.000011574077</v>
      </c>
      <c r="C717">
        <v>550</v>
      </c>
      <c r="D717">
        <v>0</v>
      </c>
      <c r="E717">
        <v>0</v>
      </c>
      <c r="F717">
        <v>550</v>
      </c>
      <c r="G717">
        <v>1329.6972656</v>
      </c>
      <c r="H717">
        <v>1324.8702393000001</v>
      </c>
      <c r="I717">
        <v>1337.7054443</v>
      </c>
      <c r="J717">
        <v>1334.7185059000001</v>
      </c>
      <c r="K717">
        <v>80</v>
      </c>
      <c r="L717">
        <v>63.156707763999997</v>
      </c>
      <c r="M717">
        <v>60</v>
      </c>
      <c r="N717">
        <v>59.845268249999997</v>
      </c>
    </row>
    <row r="718" spans="1:14" x14ac:dyDescent="0.25">
      <c r="A718">
        <v>731.00004000000001</v>
      </c>
      <c r="B718" s="1">
        <f>DATE(2012,5,1) + TIME(0,0,3)</f>
        <v>41030.000034722223</v>
      </c>
      <c r="C718">
        <v>550</v>
      </c>
      <c r="D718">
        <v>0</v>
      </c>
      <c r="E718">
        <v>0</v>
      </c>
      <c r="F718">
        <v>550</v>
      </c>
      <c r="G718">
        <v>1331.8122559000001</v>
      </c>
      <c r="H718">
        <v>1327.0504149999999</v>
      </c>
      <c r="I718">
        <v>1335.8979492000001</v>
      </c>
      <c r="J718">
        <v>1332.9111327999999</v>
      </c>
      <c r="K718">
        <v>80</v>
      </c>
      <c r="L718">
        <v>63.157161713000001</v>
      </c>
      <c r="M718">
        <v>60</v>
      </c>
      <c r="N718">
        <v>59.845027924</v>
      </c>
    </row>
    <row r="719" spans="1:14" x14ac:dyDescent="0.25">
      <c r="A719">
        <v>731.00012100000004</v>
      </c>
      <c r="B719" s="1">
        <f>DATE(2012,5,1) + TIME(0,0,10)</f>
        <v>41030.000115740739</v>
      </c>
      <c r="C719">
        <v>550</v>
      </c>
      <c r="D719">
        <v>0</v>
      </c>
      <c r="E719">
        <v>0</v>
      </c>
      <c r="F719">
        <v>550</v>
      </c>
      <c r="G719">
        <v>1334.4460449000001</v>
      </c>
      <c r="H719">
        <v>1329.6341553</v>
      </c>
      <c r="I719">
        <v>1333.7634277</v>
      </c>
      <c r="J719">
        <v>1330.7772216999999</v>
      </c>
      <c r="K719">
        <v>80</v>
      </c>
      <c r="L719">
        <v>63.158012390000003</v>
      </c>
      <c r="M719">
        <v>60</v>
      </c>
      <c r="N719">
        <v>59.844738006999997</v>
      </c>
    </row>
    <row r="720" spans="1:14" x14ac:dyDescent="0.25">
      <c r="A720">
        <v>731.00036399999999</v>
      </c>
      <c r="B720" s="1">
        <f>DATE(2012,5,1) + TIME(0,0,31)</f>
        <v>41030.000358796293</v>
      </c>
      <c r="C720">
        <v>550</v>
      </c>
      <c r="D720">
        <v>0</v>
      </c>
      <c r="E720">
        <v>0</v>
      </c>
      <c r="F720">
        <v>550</v>
      </c>
      <c r="G720">
        <v>1337.2327881000001</v>
      </c>
      <c r="H720">
        <v>1332.3439940999999</v>
      </c>
      <c r="I720">
        <v>1331.5611572</v>
      </c>
      <c r="J720">
        <v>1328.5568848</v>
      </c>
      <c r="K720">
        <v>80</v>
      </c>
      <c r="L720">
        <v>63.159912108999997</v>
      </c>
      <c r="M720">
        <v>60</v>
      </c>
      <c r="N720">
        <v>59.844413756999998</v>
      </c>
    </row>
    <row r="721" spans="1:14" x14ac:dyDescent="0.25">
      <c r="A721">
        <v>731.00109299999997</v>
      </c>
      <c r="B721" s="1">
        <f>DATE(2012,5,1) + TIME(0,1,34)</f>
        <v>41030.001087962963</v>
      </c>
      <c r="C721">
        <v>550</v>
      </c>
      <c r="D721">
        <v>0</v>
      </c>
      <c r="E721">
        <v>0</v>
      </c>
      <c r="F721">
        <v>550</v>
      </c>
      <c r="G721">
        <v>1340.0316161999999</v>
      </c>
      <c r="H721">
        <v>1335.072876</v>
      </c>
      <c r="I721">
        <v>1329.3226318</v>
      </c>
      <c r="J721">
        <v>1326.2453613</v>
      </c>
      <c r="K721">
        <v>80</v>
      </c>
      <c r="L721">
        <v>63.164955139</v>
      </c>
      <c r="M721">
        <v>60</v>
      </c>
      <c r="N721">
        <v>59.844009399000001</v>
      </c>
    </row>
    <row r="722" spans="1:14" x14ac:dyDescent="0.25">
      <c r="A722">
        <v>731.00328000000002</v>
      </c>
      <c r="B722" s="1">
        <f>DATE(2012,5,1) + TIME(0,4,43)</f>
        <v>41030.003275462965</v>
      </c>
      <c r="C722">
        <v>550</v>
      </c>
      <c r="D722">
        <v>0</v>
      </c>
      <c r="E722">
        <v>0</v>
      </c>
      <c r="F722">
        <v>550</v>
      </c>
      <c r="G722">
        <v>1342.5175781</v>
      </c>
      <c r="H722">
        <v>1337.5152588000001</v>
      </c>
      <c r="I722">
        <v>1327.2285156</v>
      </c>
      <c r="J722">
        <v>1324.0375977000001</v>
      </c>
      <c r="K722">
        <v>80</v>
      </c>
      <c r="L722">
        <v>63.179431915000002</v>
      </c>
      <c r="M722">
        <v>60</v>
      </c>
      <c r="N722">
        <v>59.843395233000003</v>
      </c>
    </row>
    <row r="723" spans="1:14" x14ac:dyDescent="0.25">
      <c r="A723">
        <v>731.00984100000005</v>
      </c>
      <c r="B723" s="1">
        <f>DATE(2012,5,1) + TIME(0,14,10)</f>
        <v>41030.009837962964</v>
      </c>
      <c r="C723">
        <v>550</v>
      </c>
      <c r="D723">
        <v>0</v>
      </c>
      <c r="E723">
        <v>0</v>
      </c>
      <c r="F723">
        <v>550</v>
      </c>
      <c r="G723">
        <v>1344.2416992000001</v>
      </c>
      <c r="H723">
        <v>1339.2315673999999</v>
      </c>
      <c r="I723">
        <v>1325.6612548999999</v>
      </c>
      <c r="J723">
        <v>1322.3851318</v>
      </c>
      <c r="K723">
        <v>80</v>
      </c>
      <c r="L723">
        <v>63.222099303999997</v>
      </c>
      <c r="M723">
        <v>60</v>
      </c>
      <c r="N723">
        <v>59.842151641999997</v>
      </c>
    </row>
    <row r="724" spans="1:14" x14ac:dyDescent="0.25">
      <c r="A724">
        <v>731.02952400000004</v>
      </c>
      <c r="B724" s="1">
        <f>DATE(2012,5,1) + TIME(0,42,30)</f>
        <v>41030.029513888891</v>
      </c>
      <c r="C724">
        <v>550</v>
      </c>
      <c r="D724">
        <v>0</v>
      </c>
      <c r="E724">
        <v>0</v>
      </c>
      <c r="F724">
        <v>550</v>
      </c>
      <c r="G724">
        <v>1345.1313477000001</v>
      </c>
      <c r="H724">
        <v>1340.1300048999999</v>
      </c>
      <c r="I724">
        <v>1324.7978516000001</v>
      </c>
      <c r="J724">
        <v>1321.4864502</v>
      </c>
      <c r="K724">
        <v>80</v>
      </c>
      <c r="L724">
        <v>63.348571776999997</v>
      </c>
      <c r="M724">
        <v>60</v>
      </c>
      <c r="N724">
        <v>59.838928223000003</v>
      </c>
    </row>
    <row r="725" spans="1:14" x14ac:dyDescent="0.25">
      <c r="A725">
        <v>731.088573</v>
      </c>
      <c r="B725" s="1">
        <f>DATE(2012,5,1) + TIME(2,7,32)</f>
        <v>41030.088564814818</v>
      </c>
      <c r="C725">
        <v>550</v>
      </c>
      <c r="D725">
        <v>0</v>
      </c>
      <c r="E725">
        <v>0</v>
      </c>
      <c r="F725">
        <v>550</v>
      </c>
      <c r="G725">
        <v>1345.4526367000001</v>
      </c>
      <c r="H725">
        <v>1340.4780272999999</v>
      </c>
      <c r="I725">
        <v>1324.4953613</v>
      </c>
      <c r="J725">
        <v>1321.1750488</v>
      </c>
      <c r="K725">
        <v>80</v>
      </c>
      <c r="L725">
        <v>63.719108581999997</v>
      </c>
      <c r="M725">
        <v>60</v>
      </c>
      <c r="N725">
        <v>59.829654693999998</v>
      </c>
    </row>
    <row r="726" spans="1:14" x14ac:dyDescent="0.25">
      <c r="A726">
        <v>731.19588599999997</v>
      </c>
      <c r="B726" s="1">
        <f>DATE(2012,5,1) + TIME(4,42,4)</f>
        <v>41030.195879629631</v>
      </c>
      <c r="C726">
        <v>550</v>
      </c>
      <c r="D726">
        <v>0</v>
      </c>
      <c r="E726">
        <v>0</v>
      </c>
      <c r="F726">
        <v>550</v>
      </c>
      <c r="G726">
        <v>1345.4880370999999</v>
      </c>
      <c r="H726">
        <v>1340.5534668</v>
      </c>
      <c r="I726">
        <v>1324.4581298999999</v>
      </c>
      <c r="J726">
        <v>1321.1361084</v>
      </c>
      <c r="K726">
        <v>80</v>
      </c>
      <c r="L726">
        <v>64.366104125999996</v>
      </c>
      <c r="M726">
        <v>60</v>
      </c>
      <c r="N726">
        <v>59.813152313000003</v>
      </c>
    </row>
    <row r="727" spans="1:14" x14ac:dyDescent="0.25">
      <c r="A727">
        <v>731.30532800000003</v>
      </c>
      <c r="B727" s="1">
        <f>DATE(2012,5,1) + TIME(7,19,40)</f>
        <v>41030.305324074077</v>
      </c>
      <c r="C727">
        <v>550</v>
      </c>
      <c r="D727">
        <v>0</v>
      </c>
      <c r="E727">
        <v>0</v>
      </c>
      <c r="F727">
        <v>550</v>
      </c>
      <c r="G727">
        <v>1345.4799805</v>
      </c>
      <c r="H727">
        <v>1340.5717772999999</v>
      </c>
      <c r="I727">
        <v>1324.4602050999999</v>
      </c>
      <c r="J727">
        <v>1321.137207</v>
      </c>
      <c r="K727">
        <v>80</v>
      </c>
      <c r="L727">
        <v>65.001213074000006</v>
      </c>
      <c r="M727">
        <v>60</v>
      </c>
      <c r="N727">
        <v>59.796482085999997</v>
      </c>
    </row>
    <row r="728" spans="1:14" x14ac:dyDescent="0.25">
      <c r="A728">
        <v>731.41720299999997</v>
      </c>
      <c r="B728" s="1">
        <f>DATE(2012,5,1) + TIME(10,0,46)</f>
        <v>41030.417199074072</v>
      </c>
      <c r="C728">
        <v>550</v>
      </c>
      <c r="D728">
        <v>0</v>
      </c>
      <c r="E728">
        <v>0</v>
      </c>
      <c r="F728">
        <v>550</v>
      </c>
      <c r="G728">
        <v>1345.4600829999999</v>
      </c>
      <c r="H728">
        <v>1340.5767822</v>
      </c>
      <c r="I728">
        <v>1324.4624022999999</v>
      </c>
      <c r="J728">
        <v>1321.1384277</v>
      </c>
      <c r="K728">
        <v>80</v>
      </c>
      <c r="L728">
        <v>65.625602721999996</v>
      </c>
      <c r="M728">
        <v>60</v>
      </c>
      <c r="N728">
        <v>59.779602050999998</v>
      </c>
    </row>
    <row r="729" spans="1:14" x14ac:dyDescent="0.25">
      <c r="A729">
        <v>731.53163500000005</v>
      </c>
      <c r="B729" s="1">
        <f>DATE(2012,5,1) + TIME(12,45,33)</f>
        <v>41030.531631944446</v>
      </c>
      <c r="C729">
        <v>550</v>
      </c>
      <c r="D729">
        <v>0</v>
      </c>
      <c r="E729">
        <v>0</v>
      </c>
      <c r="F729">
        <v>550</v>
      </c>
      <c r="G729">
        <v>1345.4395752</v>
      </c>
      <c r="H729">
        <v>1340.5795897999999</v>
      </c>
      <c r="I729">
        <v>1324.4632568</v>
      </c>
      <c r="J729">
        <v>1321.1383057</v>
      </c>
      <c r="K729">
        <v>80</v>
      </c>
      <c r="L729">
        <v>66.239051818999997</v>
      </c>
      <c r="M729">
        <v>60</v>
      </c>
      <c r="N729">
        <v>59.762496947999999</v>
      </c>
    </row>
    <row r="730" spans="1:14" x14ac:dyDescent="0.25">
      <c r="A730">
        <v>731.64876200000003</v>
      </c>
      <c r="B730" s="1">
        <f>DATE(2012,5,1) + TIME(15,34,13)</f>
        <v>41030.648761574077</v>
      </c>
      <c r="C730">
        <v>550</v>
      </c>
      <c r="D730">
        <v>0</v>
      </c>
      <c r="E730">
        <v>0</v>
      </c>
      <c r="F730">
        <v>550</v>
      </c>
      <c r="G730">
        <v>1345.4207764</v>
      </c>
      <c r="H730">
        <v>1340.5827637</v>
      </c>
      <c r="I730">
        <v>1324.4636230000001</v>
      </c>
      <c r="J730">
        <v>1321.1376952999999</v>
      </c>
      <c r="K730">
        <v>80</v>
      </c>
      <c r="L730">
        <v>66.841453552000004</v>
      </c>
      <c r="M730">
        <v>60</v>
      </c>
      <c r="N730">
        <v>59.745159149000003</v>
      </c>
    </row>
    <row r="731" spans="1:14" x14ac:dyDescent="0.25">
      <c r="A731">
        <v>731.76873000000001</v>
      </c>
      <c r="B731" s="1">
        <f>DATE(2012,5,1) + TIME(18,26,58)</f>
        <v>41030.768726851849</v>
      </c>
      <c r="C731">
        <v>550</v>
      </c>
      <c r="D731">
        <v>0</v>
      </c>
      <c r="E731">
        <v>0</v>
      </c>
      <c r="F731">
        <v>550</v>
      </c>
      <c r="G731">
        <v>1345.4041748</v>
      </c>
      <c r="H731">
        <v>1340.5869141000001</v>
      </c>
      <c r="I731">
        <v>1324.4637451000001</v>
      </c>
      <c r="J731">
        <v>1321.1367187999999</v>
      </c>
      <c r="K731">
        <v>80</v>
      </c>
      <c r="L731">
        <v>67.432701111</v>
      </c>
      <c r="M731">
        <v>60</v>
      </c>
      <c r="N731">
        <v>59.727573395</v>
      </c>
    </row>
    <row r="732" spans="1:14" x14ac:dyDescent="0.25">
      <c r="A732">
        <v>731.89155300000004</v>
      </c>
      <c r="B732" s="1">
        <f>DATE(2012,5,1) + TIME(21,23,50)</f>
        <v>41030.891550925924</v>
      </c>
      <c r="C732">
        <v>550</v>
      </c>
      <c r="D732">
        <v>0</v>
      </c>
      <c r="E732">
        <v>0</v>
      </c>
      <c r="F732">
        <v>550</v>
      </c>
      <c r="G732">
        <v>1345.3900146000001</v>
      </c>
      <c r="H732">
        <v>1340.5919189000001</v>
      </c>
      <c r="I732">
        <v>1324.4637451000001</v>
      </c>
      <c r="J732">
        <v>1321.1356201000001</v>
      </c>
      <c r="K732">
        <v>80</v>
      </c>
      <c r="L732">
        <v>68.012016295999999</v>
      </c>
      <c r="M732">
        <v>60</v>
      </c>
      <c r="N732">
        <v>59.709739685000002</v>
      </c>
    </row>
    <row r="733" spans="1:14" x14ac:dyDescent="0.25">
      <c r="A733">
        <v>732.01732100000004</v>
      </c>
      <c r="B733" s="1">
        <f>DATE(2012,5,2) + TIME(0,24,56)</f>
        <v>41031.017314814817</v>
      </c>
      <c r="C733">
        <v>550</v>
      </c>
      <c r="D733">
        <v>0</v>
      </c>
      <c r="E733">
        <v>0</v>
      </c>
      <c r="F733">
        <v>550</v>
      </c>
      <c r="G733">
        <v>1345.3779297000001</v>
      </c>
      <c r="H733">
        <v>1340.5980225000001</v>
      </c>
      <c r="I733">
        <v>1324.4637451000001</v>
      </c>
      <c r="J733">
        <v>1321.1343993999999</v>
      </c>
      <c r="K733">
        <v>80</v>
      </c>
      <c r="L733">
        <v>68.579010010000005</v>
      </c>
      <c r="M733">
        <v>60</v>
      </c>
      <c r="N733">
        <v>59.691658019999998</v>
      </c>
    </row>
    <row r="734" spans="1:14" x14ac:dyDescent="0.25">
      <c r="A734">
        <v>732.14619900000002</v>
      </c>
      <c r="B734" s="1">
        <f>DATE(2012,5,2) + TIME(3,30,31)</f>
        <v>41031.146192129629</v>
      </c>
      <c r="C734">
        <v>550</v>
      </c>
      <c r="D734">
        <v>0</v>
      </c>
      <c r="E734">
        <v>0</v>
      </c>
      <c r="F734">
        <v>550</v>
      </c>
      <c r="G734">
        <v>1345.3679199000001</v>
      </c>
      <c r="H734">
        <v>1340.6048584</v>
      </c>
      <c r="I734">
        <v>1324.4636230000001</v>
      </c>
      <c r="J734">
        <v>1321.1331786999999</v>
      </c>
      <c r="K734">
        <v>80</v>
      </c>
      <c r="L734">
        <v>69.133598328000005</v>
      </c>
      <c r="M734">
        <v>60</v>
      </c>
      <c r="N734">
        <v>59.673313141000001</v>
      </c>
    </row>
    <row r="735" spans="1:14" x14ac:dyDescent="0.25">
      <c r="A735">
        <v>732.27836200000002</v>
      </c>
      <c r="B735" s="1">
        <f>DATE(2012,5,2) + TIME(6,40,50)</f>
        <v>41031.278356481482</v>
      </c>
      <c r="C735">
        <v>550</v>
      </c>
      <c r="D735">
        <v>0</v>
      </c>
      <c r="E735">
        <v>0</v>
      </c>
      <c r="F735">
        <v>550</v>
      </c>
      <c r="G735">
        <v>1345.3599853999999</v>
      </c>
      <c r="H735">
        <v>1340.6125488</v>
      </c>
      <c r="I735">
        <v>1324.463501</v>
      </c>
      <c r="J735">
        <v>1321.1318358999999</v>
      </c>
      <c r="K735">
        <v>80</v>
      </c>
      <c r="L735">
        <v>69.675643921000002</v>
      </c>
      <c r="M735">
        <v>60</v>
      </c>
      <c r="N735">
        <v>59.654685974000003</v>
      </c>
    </row>
    <row r="736" spans="1:14" x14ac:dyDescent="0.25">
      <c r="A736">
        <v>732.41399899999999</v>
      </c>
      <c r="B736" s="1">
        <f>DATE(2012,5,2) + TIME(9,56,9)</f>
        <v>41031.413993055554</v>
      </c>
      <c r="C736">
        <v>550</v>
      </c>
      <c r="D736">
        <v>0</v>
      </c>
      <c r="E736">
        <v>0</v>
      </c>
      <c r="F736">
        <v>550</v>
      </c>
      <c r="G736">
        <v>1345.3537598</v>
      </c>
      <c r="H736">
        <v>1340.6208495999999</v>
      </c>
      <c r="I736">
        <v>1324.4633789</v>
      </c>
      <c r="J736">
        <v>1321.1304932</v>
      </c>
      <c r="K736">
        <v>80</v>
      </c>
      <c r="L736">
        <v>70.204887389999996</v>
      </c>
      <c r="M736">
        <v>60</v>
      </c>
      <c r="N736">
        <v>59.635761260999999</v>
      </c>
    </row>
    <row r="737" spans="1:14" x14ac:dyDescent="0.25">
      <c r="A737">
        <v>732.55331000000001</v>
      </c>
      <c r="B737" s="1">
        <f>DATE(2012,5,2) + TIME(13,16,45)</f>
        <v>41031.553298611114</v>
      </c>
      <c r="C737">
        <v>550</v>
      </c>
      <c r="D737">
        <v>0</v>
      </c>
      <c r="E737">
        <v>0</v>
      </c>
      <c r="F737">
        <v>550</v>
      </c>
      <c r="G737">
        <v>1345.3492432</v>
      </c>
      <c r="H737">
        <v>1340.6300048999999</v>
      </c>
      <c r="I737">
        <v>1324.4631348</v>
      </c>
      <c r="J737">
        <v>1321.1289062000001</v>
      </c>
      <c r="K737">
        <v>80</v>
      </c>
      <c r="L737">
        <v>70.721069335999999</v>
      </c>
      <c r="M737">
        <v>60</v>
      </c>
      <c r="N737">
        <v>59.616519928000002</v>
      </c>
    </row>
    <row r="738" spans="1:14" x14ac:dyDescent="0.25">
      <c r="A738">
        <v>732.69650799999999</v>
      </c>
      <c r="B738" s="1">
        <f>DATE(2012,5,2) + TIME(16,42,58)</f>
        <v>41031.696504629632</v>
      </c>
      <c r="C738">
        <v>550</v>
      </c>
      <c r="D738">
        <v>0</v>
      </c>
      <c r="E738">
        <v>0</v>
      </c>
      <c r="F738">
        <v>550</v>
      </c>
      <c r="G738">
        <v>1345.3463135</v>
      </c>
      <c r="H738">
        <v>1340.6396483999999</v>
      </c>
      <c r="I738">
        <v>1324.4630127</v>
      </c>
      <c r="J738">
        <v>1321.1274414</v>
      </c>
      <c r="K738">
        <v>80</v>
      </c>
      <c r="L738">
        <v>71.224273682000003</v>
      </c>
      <c r="M738">
        <v>60</v>
      </c>
      <c r="N738">
        <v>59.596939087000003</v>
      </c>
    </row>
    <row r="739" spans="1:14" x14ac:dyDescent="0.25">
      <c r="A739">
        <v>732.84382200000005</v>
      </c>
      <c r="B739" s="1">
        <f>DATE(2012,5,2) + TIME(20,15,6)</f>
        <v>41031.843819444446</v>
      </c>
      <c r="C739">
        <v>550</v>
      </c>
      <c r="D739">
        <v>0</v>
      </c>
      <c r="E739">
        <v>0</v>
      </c>
      <c r="F739">
        <v>550</v>
      </c>
      <c r="G739">
        <v>1345.3449707</v>
      </c>
      <c r="H739">
        <v>1340.6497803</v>
      </c>
      <c r="I739">
        <v>1324.4626464999999</v>
      </c>
      <c r="J739">
        <v>1321.1257324000001</v>
      </c>
      <c r="K739">
        <v>80</v>
      </c>
      <c r="L739">
        <v>71.714309692</v>
      </c>
      <c r="M739">
        <v>60</v>
      </c>
      <c r="N739">
        <v>59.577007293999998</v>
      </c>
    </row>
    <row r="740" spans="1:14" x14ac:dyDescent="0.25">
      <c r="A740">
        <v>732.99546699999996</v>
      </c>
      <c r="B740" s="1">
        <f>DATE(2012,5,2) + TIME(23,53,28)</f>
        <v>41031.995462962965</v>
      </c>
      <c r="C740">
        <v>550</v>
      </c>
      <c r="D740">
        <v>0</v>
      </c>
      <c r="E740">
        <v>0</v>
      </c>
      <c r="F740">
        <v>550</v>
      </c>
      <c r="G740">
        <v>1345.3449707</v>
      </c>
      <c r="H740">
        <v>1340.6605225000001</v>
      </c>
      <c r="I740">
        <v>1324.4622803</v>
      </c>
      <c r="J740">
        <v>1321.1240233999999</v>
      </c>
      <c r="K740">
        <v>80</v>
      </c>
      <c r="L740">
        <v>72.190910338999998</v>
      </c>
      <c r="M740">
        <v>60</v>
      </c>
      <c r="N740">
        <v>59.556701660000002</v>
      </c>
    </row>
    <row r="741" spans="1:14" x14ac:dyDescent="0.25">
      <c r="A741">
        <v>733.15173900000002</v>
      </c>
      <c r="B741" s="1">
        <f>DATE(2012,5,3) + TIME(3,38,30)</f>
        <v>41032.151736111111</v>
      </c>
      <c r="C741">
        <v>550</v>
      </c>
      <c r="D741">
        <v>0</v>
      </c>
      <c r="E741">
        <v>0</v>
      </c>
      <c r="F741">
        <v>550</v>
      </c>
      <c r="G741">
        <v>1345.3461914</v>
      </c>
      <c r="H741">
        <v>1340.6716309000001</v>
      </c>
      <c r="I741">
        <v>1324.4619141000001</v>
      </c>
      <c r="J741">
        <v>1321.1221923999999</v>
      </c>
      <c r="K741">
        <v>80</v>
      </c>
      <c r="L741">
        <v>72.653961182000003</v>
      </c>
      <c r="M741">
        <v>60</v>
      </c>
      <c r="N741">
        <v>59.535995483000001</v>
      </c>
    </row>
    <row r="742" spans="1:14" x14ac:dyDescent="0.25">
      <c r="A742">
        <v>733.31292299999996</v>
      </c>
      <c r="B742" s="1">
        <f>DATE(2012,5,3) + TIME(7,30,36)</f>
        <v>41032.312916666669</v>
      </c>
      <c r="C742">
        <v>550</v>
      </c>
      <c r="D742">
        <v>0</v>
      </c>
      <c r="E742">
        <v>0</v>
      </c>
      <c r="F742">
        <v>550</v>
      </c>
      <c r="G742">
        <v>1345.3487548999999</v>
      </c>
      <c r="H742">
        <v>1340.6831055</v>
      </c>
      <c r="I742">
        <v>1324.4615478999999</v>
      </c>
      <c r="J742">
        <v>1321.1202393000001</v>
      </c>
      <c r="K742">
        <v>80</v>
      </c>
      <c r="L742">
        <v>73.103286742999998</v>
      </c>
      <c r="M742">
        <v>60</v>
      </c>
      <c r="N742">
        <v>59.514865874999998</v>
      </c>
    </row>
    <row r="743" spans="1:14" x14ac:dyDescent="0.25">
      <c r="A743">
        <v>733.47932900000001</v>
      </c>
      <c r="B743" s="1">
        <f>DATE(2012,5,3) + TIME(11,30,13)</f>
        <v>41032.479317129626</v>
      </c>
      <c r="C743">
        <v>550</v>
      </c>
      <c r="D743">
        <v>0</v>
      </c>
      <c r="E743">
        <v>0</v>
      </c>
      <c r="F743">
        <v>550</v>
      </c>
      <c r="G743">
        <v>1345.3522949000001</v>
      </c>
      <c r="H743">
        <v>1340.6949463000001</v>
      </c>
      <c r="I743">
        <v>1324.4610596</v>
      </c>
      <c r="J743">
        <v>1321.1182861</v>
      </c>
      <c r="K743">
        <v>80</v>
      </c>
      <c r="L743">
        <v>73.538665770999998</v>
      </c>
      <c r="M743">
        <v>60</v>
      </c>
      <c r="N743">
        <v>59.493282317999999</v>
      </c>
    </row>
    <row r="744" spans="1:14" x14ac:dyDescent="0.25">
      <c r="A744">
        <v>733.65129100000001</v>
      </c>
      <c r="B744" s="1">
        <f>DATE(2012,5,3) + TIME(15,37,51)</f>
        <v>41032.651284722226</v>
      </c>
      <c r="C744">
        <v>550</v>
      </c>
      <c r="D744">
        <v>0</v>
      </c>
      <c r="E744">
        <v>0</v>
      </c>
      <c r="F744">
        <v>550</v>
      </c>
      <c r="G744">
        <v>1345.3568115</v>
      </c>
      <c r="H744">
        <v>1340.7070312000001</v>
      </c>
      <c r="I744">
        <v>1324.4604492000001</v>
      </c>
      <c r="J744">
        <v>1321.1162108999999</v>
      </c>
      <c r="K744">
        <v>80</v>
      </c>
      <c r="L744">
        <v>73.959899902000004</v>
      </c>
      <c r="M744">
        <v>60</v>
      </c>
      <c r="N744">
        <v>59.471225738999998</v>
      </c>
    </row>
    <row r="745" spans="1:14" x14ac:dyDescent="0.25">
      <c r="A745">
        <v>733.82917099999997</v>
      </c>
      <c r="B745" s="1">
        <f>DATE(2012,5,3) + TIME(19,54,0)</f>
        <v>41032.82916666667</v>
      </c>
      <c r="C745">
        <v>550</v>
      </c>
      <c r="D745">
        <v>0</v>
      </c>
      <c r="E745">
        <v>0</v>
      </c>
      <c r="F745">
        <v>550</v>
      </c>
      <c r="G745">
        <v>1345.3623047000001</v>
      </c>
      <c r="H745">
        <v>1340.7192382999999</v>
      </c>
      <c r="I745">
        <v>1324.4598389</v>
      </c>
      <c r="J745">
        <v>1321.1140137</v>
      </c>
      <c r="K745">
        <v>80</v>
      </c>
      <c r="L745">
        <v>74.366775512999993</v>
      </c>
      <c r="M745">
        <v>60</v>
      </c>
      <c r="N745">
        <v>59.448654175000001</v>
      </c>
    </row>
    <row r="746" spans="1:14" x14ac:dyDescent="0.25">
      <c r="A746">
        <v>734.01336300000003</v>
      </c>
      <c r="B746" s="1">
        <f>DATE(2012,5,4) + TIME(0,19,14)</f>
        <v>41033.013356481482</v>
      </c>
      <c r="C746">
        <v>550</v>
      </c>
      <c r="D746">
        <v>0</v>
      </c>
      <c r="E746">
        <v>0</v>
      </c>
      <c r="F746">
        <v>550</v>
      </c>
      <c r="G746">
        <v>1345.3686522999999</v>
      </c>
      <c r="H746">
        <v>1340.7315673999999</v>
      </c>
      <c r="I746">
        <v>1324.4592285000001</v>
      </c>
      <c r="J746">
        <v>1321.1116943</v>
      </c>
      <c r="K746">
        <v>80</v>
      </c>
      <c r="L746">
        <v>74.759086608999993</v>
      </c>
      <c r="M746">
        <v>60</v>
      </c>
      <c r="N746">
        <v>59.425544739000003</v>
      </c>
    </row>
    <row r="747" spans="1:14" x14ac:dyDescent="0.25">
      <c r="A747">
        <v>734.204296</v>
      </c>
      <c r="B747" s="1">
        <f>DATE(2012,5,4) + TIME(4,54,11)</f>
        <v>41033.204293981478</v>
      </c>
      <c r="C747">
        <v>550</v>
      </c>
      <c r="D747">
        <v>0</v>
      </c>
      <c r="E747">
        <v>0</v>
      </c>
      <c r="F747">
        <v>550</v>
      </c>
      <c r="G747">
        <v>1345.3756103999999</v>
      </c>
      <c r="H747">
        <v>1340.7440185999999</v>
      </c>
      <c r="I747">
        <v>1324.4584961</v>
      </c>
      <c r="J747">
        <v>1321.1092529</v>
      </c>
      <c r="K747">
        <v>80</v>
      </c>
      <c r="L747">
        <v>75.136543274000005</v>
      </c>
      <c r="M747">
        <v>60</v>
      </c>
      <c r="N747">
        <v>59.401859283</v>
      </c>
    </row>
    <row r="748" spans="1:14" x14ac:dyDescent="0.25">
      <c r="A748">
        <v>734.40243699999996</v>
      </c>
      <c r="B748" s="1">
        <f>DATE(2012,5,4) + TIME(9,39,30)</f>
        <v>41033.402430555558</v>
      </c>
      <c r="C748">
        <v>550</v>
      </c>
      <c r="D748">
        <v>0</v>
      </c>
      <c r="E748">
        <v>0</v>
      </c>
      <c r="F748">
        <v>550</v>
      </c>
      <c r="G748">
        <v>1345.3831786999999</v>
      </c>
      <c r="H748">
        <v>1340.7564697</v>
      </c>
      <c r="I748">
        <v>1324.4576416</v>
      </c>
      <c r="J748">
        <v>1321.1068115</v>
      </c>
      <c r="K748">
        <v>80</v>
      </c>
      <c r="L748">
        <v>75.498863220000004</v>
      </c>
      <c r="M748">
        <v>60</v>
      </c>
      <c r="N748">
        <v>59.377559662000003</v>
      </c>
    </row>
    <row r="749" spans="1:14" x14ac:dyDescent="0.25">
      <c r="A749">
        <v>734.60829799999999</v>
      </c>
      <c r="B749" s="1">
        <f>DATE(2012,5,4) + TIME(14,35,56)</f>
        <v>41033.608287037037</v>
      </c>
      <c r="C749">
        <v>550</v>
      </c>
      <c r="D749">
        <v>0</v>
      </c>
      <c r="E749">
        <v>0</v>
      </c>
      <c r="F749">
        <v>550</v>
      </c>
      <c r="G749">
        <v>1345.3913574000001</v>
      </c>
      <c r="H749">
        <v>1340.7687988</v>
      </c>
      <c r="I749">
        <v>1324.4567870999999</v>
      </c>
      <c r="J749">
        <v>1321.104126</v>
      </c>
      <c r="K749">
        <v>80</v>
      </c>
      <c r="L749">
        <v>75.846046447999996</v>
      </c>
      <c r="M749">
        <v>60</v>
      </c>
      <c r="N749">
        <v>59.352603911999999</v>
      </c>
    </row>
    <row r="750" spans="1:14" x14ac:dyDescent="0.25">
      <c r="A750">
        <v>734.82251399999996</v>
      </c>
      <c r="B750" s="1">
        <f>DATE(2012,5,4) + TIME(19,44,25)</f>
        <v>41033.822511574072</v>
      </c>
      <c r="C750">
        <v>550</v>
      </c>
      <c r="D750">
        <v>0</v>
      </c>
      <c r="E750">
        <v>0</v>
      </c>
      <c r="F750">
        <v>550</v>
      </c>
      <c r="G750">
        <v>1345.3999022999999</v>
      </c>
      <c r="H750">
        <v>1340.7811279</v>
      </c>
      <c r="I750">
        <v>1324.4558105000001</v>
      </c>
      <c r="J750">
        <v>1321.1014404</v>
      </c>
      <c r="K750">
        <v>80</v>
      </c>
      <c r="L750">
        <v>76.178039550999998</v>
      </c>
      <c r="M750">
        <v>60</v>
      </c>
      <c r="N750">
        <v>59.326938628999997</v>
      </c>
    </row>
    <row r="751" spans="1:14" x14ac:dyDescent="0.25">
      <c r="A751">
        <v>735.04567099999997</v>
      </c>
      <c r="B751" s="1">
        <f>DATE(2012,5,5) + TIME(1,5,45)</f>
        <v>41034.045659722222</v>
      </c>
      <c r="C751">
        <v>550</v>
      </c>
      <c r="D751">
        <v>0</v>
      </c>
      <c r="E751">
        <v>0</v>
      </c>
      <c r="F751">
        <v>550</v>
      </c>
      <c r="G751">
        <v>1345.4088135</v>
      </c>
      <c r="H751">
        <v>1340.7932129000001</v>
      </c>
      <c r="I751">
        <v>1324.4547118999999</v>
      </c>
      <c r="J751">
        <v>1321.0985106999999</v>
      </c>
      <c r="K751">
        <v>80</v>
      </c>
      <c r="L751">
        <v>76.494628906000003</v>
      </c>
      <c r="M751">
        <v>60</v>
      </c>
      <c r="N751">
        <v>59.300521850999999</v>
      </c>
    </row>
    <row r="752" spans="1:14" x14ac:dyDescent="0.25">
      <c r="A752">
        <v>735.27842299999998</v>
      </c>
      <c r="B752" s="1">
        <f>DATE(2012,5,5) + TIME(6,40,55)</f>
        <v>41034.278414351851</v>
      </c>
      <c r="C752">
        <v>550</v>
      </c>
      <c r="D752">
        <v>0</v>
      </c>
      <c r="E752">
        <v>0</v>
      </c>
      <c r="F752">
        <v>550</v>
      </c>
      <c r="G752">
        <v>1345.4180908000001</v>
      </c>
      <c r="H752">
        <v>1340.8050536999999</v>
      </c>
      <c r="I752">
        <v>1324.4536132999999</v>
      </c>
      <c r="J752">
        <v>1321.0954589999999</v>
      </c>
      <c r="K752">
        <v>80</v>
      </c>
      <c r="L752">
        <v>76.795654296999999</v>
      </c>
      <c r="M752">
        <v>60</v>
      </c>
      <c r="N752">
        <v>59.273296356000003</v>
      </c>
    </row>
    <row r="753" spans="1:14" x14ac:dyDescent="0.25">
      <c r="A753">
        <v>735.52152799999999</v>
      </c>
      <c r="B753" s="1">
        <f>DATE(2012,5,5) + TIME(12,31,0)</f>
        <v>41034.521527777775</v>
      </c>
      <c r="C753">
        <v>550</v>
      </c>
      <c r="D753">
        <v>0</v>
      </c>
      <c r="E753">
        <v>0</v>
      </c>
      <c r="F753">
        <v>550</v>
      </c>
      <c r="G753">
        <v>1345.4273682</v>
      </c>
      <c r="H753">
        <v>1340.8166504000001</v>
      </c>
      <c r="I753">
        <v>1324.4523925999999</v>
      </c>
      <c r="J753">
        <v>1321.0922852000001</v>
      </c>
      <c r="K753">
        <v>80</v>
      </c>
      <c r="L753">
        <v>77.081024170000006</v>
      </c>
      <c r="M753">
        <v>60</v>
      </c>
      <c r="N753">
        <v>59.245208740000002</v>
      </c>
    </row>
    <row r="754" spans="1:14" x14ac:dyDescent="0.25">
      <c r="A754">
        <v>735.77582600000005</v>
      </c>
      <c r="B754" s="1">
        <f>DATE(2012,5,5) + TIME(18,37,11)</f>
        <v>41034.775821759256</v>
      </c>
      <c r="C754">
        <v>550</v>
      </c>
      <c r="D754">
        <v>0</v>
      </c>
      <c r="E754">
        <v>0</v>
      </c>
      <c r="F754">
        <v>550</v>
      </c>
      <c r="G754">
        <v>1345.4367675999999</v>
      </c>
      <c r="H754">
        <v>1340.8278809000001</v>
      </c>
      <c r="I754">
        <v>1324.4509277</v>
      </c>
      <c r="J754">
        <v>1321.0888672000001</v>
      </c>
      <c r="K754">
        <v>80</v>
      </c>
      <c r="L754">
        <v>77.350685119999994</v>
      </c>
      <c r="M754">
        <v>60</v>
      </c>
      <c r="N754">
        <v>59.216190337999997</v>
      </c>
    </row>
    <row r="755" spans="1:14" x14ac:dyDescent="0.25">
      <c r="A755">
        <v>736.04225199999996</v>
      </c>
      <c r="B755" s="1">
        <f>DATE(2012,5,6) + TIME(1,0,50)</f>
        <v>41035.042245370372</v>
      </c>
      <c r="C755">
        <v>550</v>
      </c>
      <c r="D755">
        <v>0</v>
      </c>
      <c r="E755">
        <v>0</v>
      </c>
      <c r="F755">
        <v>550</v>
      </c>
      <c r="G755">
        <v>1345.4460449000001</v>
      </c>
      <c r="H755">
        <v>1340.8386230000001</v>
      </c>
      <c r="I755">
        <v>1324.4494629000001</v>
      </c>
      <c r="J755">
        <v>1321.0853271000001</v>
      </c>
      <c r="K755">
        <v>80</v>
      </c>
      <c r="L755">
        <v>77.604606627999999</v>
      </c>
      <c r="M755">
        <v>60</v>
      </c>
      <c r="N755">
        <v>59.186172485</v>
      </c>
    </row>
    <row r="756" spans="1:14" x14ac:dyDescent="0.25">
      <c r="A756">
        <v>736.32185500000003</v>
      </c>
      <c r="B756" s="1">
        <f>DATE(2012,5,6) + TIME(7,43,28)</f>
        <v>41035.321851851855</v>
      </c>
      <c r="C756">
        <v>550</v>
      </c>
      <c r="D756">
        <v>0</v>
      </c>
      <c r="E756">
        <v>0</v>
      </c>
      <c r="F756">
        <v>550</v>
      </c>
      <c r="G756">
        <v>1345.4553223</v>
      </c>
      <c r="H756">
        <v>1340.848999</v>
      </c>
      <c r="I756">
        <v>1324.447876</v>
      </c>
      <c r="J756">
        <v>1321.0816649999999</v>
      </c>
      <c r="K756">
        <v>80</v>
      </c>
      <c r="L756">
        <v>77.842803954999994</v>
      </c>
      <c r="M756">
        <v>60</v>
      </c>
      <c r="N756">
        <v>59.155071259000003</v>
      </c>
    </row>
    <row r="757" spans="1:14" x14ac:dyDescent="0.25">
      <c r="A757">
        <v>736.61581200000001</v>
      </c>
      <c r="B757" s="1">
        <f>DATE(2012,5,6) + TIME(14,46,46)</f>
        <v>41035.615810185183</v>
      </c>
      <c r="C757">
        <v>550</v>
      </c>
      <c r="D757">
        <v>0</v>
      </c>
      <c r="E757">
        <v>0</v>
      </c>
      <c r="F757">
        <v>550</v>
      </c>
      <c r="G757">
        <v>1345.4642334</v>
      </c>
      <c r="H757">
        <v>1340.8587646000001</v>
      </c>
      <c r="I757">
        <v>1324.4460449000001</v>
      </c>
      <c r="J757">
        <v>1321.0776367000001</v>
      </c>
      <c r="K757">
        <v>80</v>
      </c>
      <c r="L757">
        <v>78.065345764</v>
      </c>
      <c r="M757">
        <v>60</v>
      </c>
      <c r="N757">
        <v>59.122798920000001</v>
      </c>
    </row>
    <row r="758" spans="1:14" x14ac:dyDescent="0.25">
      <c r="A758">
        <v>736.92544999999996</v>
      </c>
      <c r="B758" s="1">
        <f>DATE(2012,5,6) + TIME(22,12,38)</f>
        <v>41035.925439814811</v>
      </c>
      <c r="C758">
        <v>550</v>
      </c>
      <c r="D758">
        <v>0</v>
      </c>
      <c r="E758">
        <v>0</v>
      </c>
      <c r="F758">
        <v>550</v>
      </c>
      <c r="G758">
        <v>1345.4729004000001</v>
      </c>
      <c r="H758">
        <v>1340.8680420000001</v>
      </c>
      <c r="I758">
        <v>1324.4440918</v>
      </c>
      <c r="J758">
        <v>1321.0734863</v>
      </c>
      <c r="K758">
        <v>80</v>
      </c>
      <c r="L758">
        <v>78.272338867000002</v>
      </c>
      <c r="M758">
        <v>60</v>
      </c>
      <c r="N758">
        <v>59.089256286999998</v>
      </c>
    </row>
    <row r="759" spans="1:14" x14ac:dyDescent="0.25">
      <c r="A759">
        <v>737.25227800000005</v>
      </c>
      <c r="B759" s="1">
        <f>DATE(2012,5,7) + TIME(6,3,16)</f>
        <v>41036.252268518518</v>
      </c>
      <c r="C759">
        <v>550</v>
      </c>
      <c r="D759">
        <v>0</v>
      </c>
      <c r="E759">
        <v>0</v>
      </c>
      <c r="F759">
        <v>550</v>
      </c>
      <c r="G759">
        <v>1345.4810791</v>
      </c>
      <c r="H759">
        <v>1340.8765868999999</v>
      </c>
      <c r="I759">
        <v>1324.4420166</v>
      </c>
      <c r="J759">
        <v>1321.0690918</v>
      </c>
      <c r="K759">
        <v>80</v>
      </c>
      <c r="L759">
        <v>78.463943481000001</v>
      </c>
      <c r="M759">
        <v>60</v>
      </c>
      <c r="N759">
        <v>59.054325104</v>
      </c>
    </row>
    <row r="760" spans="1:14" x14ac:dyDescent="0.25">
      <c r="A760">
        <v>737.598071</v>
      </c>
      <c r="B760" s="1">
        <f>DATE(2012,5,7) + TIME(14,21,13)</f>
        <v>41036.598067129627</v>
      </c>
      <c r="C760">
        <v>550</v>
      </c>
      <c r="D760">
        <v>0</v>
      </c>
      <c r="E760">
        <v>0</v>
      </c>
      <c r="F760">
        <v>550</v>
      </c>
      <c r="G760">
        <v>1345.4886475000001</v>
      </c>
      <c r="H760">
        <v>1340.8843993999999</v>
      </c>
      <c r="I760">
        <v>1324.4396973</v>
      </c>
      <c r="J760">
        <v>1321.0643310999999</v>
      </c>
      <c r="K760">
        <v>80</v>
      </c>
      <c r="L760">
        <v>78.640396117999998</v>
      </c>
      <c r="M760">
        <v>60</v>
      </c>
      <c r="N760">
        <v>59.017879485999998</v>
      </c>
    </row>
    <row r="761" spans="1:14" x14ac:dyDescent="0.25">
      <c r="A761">
        <v>737.96496000000002</v>
      </c>
      <c r="B761" s="1">
        <f>DATE(2012,5,7) + TIME(23,9,32)</f>
        <v>41036.964953703704</v>
      </c>
      <c r="C761">
        <v>550</v>
      </c>
      <c r="D761">
        <v>0</v>
      </c>
      <c r="E761">
        <v>0</v>
      </c>
      <c r="F761">
        <v>550</v>
      </c>
      <c r="G761">
        <v>1345.4956055</v>
      </c>
      <c r="H761">
        <v>1340.8914795000001</v>
      </c>
      <c r="I761">
        <v>1324.4371338000001</v>
      </c>
      <c r="J761">
        <v>1321.0593262</v>
      </c>
      <c r="K761">
        <v>80</v>
      </c>
      <c r="L761">
        <v>78.802040099999999</v>
      </c>
      <c r="M761">
        <v>60</v>
      </c>
      <c r="N761">
        <v>58.979751587000003</v>
      </c>
    </row>
    <row r="762" spans="1:14" x14ac:dyDescent="0.25">
      <c r="A762">
        <v>738.355051</v>
      </c>
      <c r="B762" s="1">
        <f>DATE(2012,5,8) + TIME(8,31,16)</f>
        <v>41037.355046296296</v>
      </c>
      <c r="C762">
        <v>550</v>
      </c>
      <c r="D762">
        <v>0</v>
      </c>
      <c r="E762">
        <v>0</v>
      </c>
      <c r="F762">
        <v>550</v>
      </c>
      <c r="G762">
        <v>1345.5018310999999</v>
      </c>
      <c r="H762">
        <v>1340.8975829999999</v>
      </c>
      <c r="I762">
        <v>1324.4343262</v>
      </c>
      <c r="J762">
        <v>1321.0539550999999</v>
      </c>
      <c r="K762">
        <v>80</v>
      </c>
      <c r="L762">
        <v>78.949111938000001</v>
      </c>
      <c r="M762">
        <v>60</v>
      </c>
      <c r="N762">
        <v>58.939792633000003</v>
      </c>
    </row>
    <row r="763" spans="1:14" x14ac:dyDescent="0.25">
      <c r="A763">
        <v>738.77099999999996</v>
      </c>
      <c r="B763" s="1">
        <f>DATE(2012,5,8) + TIME(18,30,14)</f>
        <v>41037.770995370367</v>
      </c>
      <c r="C763">
        <v>550</v>
      </c>
      <c r="D763">
        <v>0</v>
      </c>
      <c r="E763">
        <v>0</v>
      </c>
      <c r="F763">
        <v>550</v>
      </c>
      <c r="G763">
        <v>1345.5072021000001</v>
      </c>
      <c r="H763">
        <v>1340.9029541</v>
      </c>
      <c r="I763">
        <v>1324.4312743999999</v>
      </c>
      <c r="J763">
        <v>1321.0482178</v>
      </c>
      <c r="K763">
        <v>80</v>
      </c>
      <c r="L763">
        <v>79.082023621000005</v>
      </c>
      <c r="M763">
        <v>60</v>
      </c>
      <c r="N763">
        <v>58.897815704000003</v>
      </c>
    </row>
    <row r="764" spans="1:14" x14ac:dyDescent="0.25">
      <c r="A764">
        <v>739.215912</v>
      </c>
      <c r="B764" s="1">
        <f>DATE(2012,5,9) + TIME(5,10,54)</f>
        <v>41038.215902777774</v>
      </c>
      <c r="C764">
        <v>550</v>
      </c>
      <c r="D764">
        <v>0</v>
      </c>
      <c r="E764">
        <v>0</v>
      </c>
      <c r="F764">
        <v>550</v>
      </c>
      <c r="G764">
        <v>1345.5114745999999</v>
      </c>
      <c r="H764">
        <v>1340.9072266000001</v>
      </c>
      <c r="I764">
        <v>1324.4279785000001</v>
      </c>
      <c r="J764">
        <v>1321.0419922000001</v>
      </c>
      <c r="K764">
        <v>80</v>
      </c>
      <c r="L764">
        <v>79.201240540000001</v>
      </c>
      <c r="M764">
        <v>60</v>
      </c>
      <c r="N764">
        <v>58.853591919000003</v>
      </c>
    </row>
    <row r="765" spans="1:14" x14ac:dyDescent="0.25">
      <c r="A765">
        <v>739.69345899999996</v>
      </c>
      <c r="B765" s="1">
        <f>DATE(2012,5,9) + TIME(16,38,34)</f>
        <v>41038.693449074075</v>
      </c>
      <c r="C765">
        <v>550</v>
      </c>
      <c r="D765">
        <v>0</v>
      </c>
      <c r="E765">
        <v>0</v>
      </c>
      <c r="F765">
        <v>550</v>
      </c>
      <c r="G765">
        <v>1345.5147704999999</v>
      </c>
      <c r="H765">
        <v>1340.9104004000001</v>
      </c>
      <c r="I765">
        <v>1324.4241943</v>
      </c>
      <c r="J765">
        <v>1321.0352783000001</v>
      </c>
      <c r="K765">
        <v>80</v>
      </c>
      <c r="L765">
        <v>79.307296753000003</v>
      </c>
      <c r="M765">
        <v>60</v>
      </c>
      <c r="N765">
        <v>58.806861877000003</v>
      </c>
    </row>
    <row r="766" spans="1:14" x14ac:dyDescent="0.25">
      <c r="A766">
        <v>740.19369500000005</v>
      </c>
      <c r="B766" s="1">
        <f>DATE(2012,5,10) + TIME(4,38,55)</f>
        <v>41039.193692129629</v>
      </c>
      <c r="C766">
        <v>550</v>
      </c>
      <c r="D766">
        <v>0</v>
      </c>
      <c r="E766">
        <v>0</v>
      </c>
      <c r="F766">
        <v>550</v>
      </c>
      <c r="G766">
        <v>1345.5172118999999</v>
      </c>
      <c r="H766">
        <v>1340.9128418</v>
      </c>
      <c r="I766">
        <v>1324.4201660000001</v>
      </c>
      <c r="J766">
        <v>1321.0280762</v>
      </c>
      <c r="K766">
        <v>80</v>
      </c>
      <c r="L766">
        <v>79.398666382000002</v>
      </c>
      <c r="M766">
        <v>60</v>
      </c>
      <c r="N766">
        <v>58.758544921999999</v>
      </c>
    </row>
    <row r="767" spans="1:14" x14ac:dyDescent="0.25">
      <c r="A767">
        <v>740.70325400000002</v>
      </c>
      <c r="B767" s="1">
        <f>DATE(2012,5,10) + TIME(16,52,41)</f>
        <v>41039.703252314815</v>
      </c>
      <c r="C767">
        <v>550</v>
      </c>
      <c r="D767">
        <v>0</v>
      </c>
      <c r="E767">
        <v>0</v>
      </c>
      <c r="F767">
        <v>550</v>
      </c>
      <c r="G767">
        <v>1345.5186768000001</v>
      </c>
      <c r="H767">
        <v>1340.9143065999999</v>
      </c>
      <c r="I767">
        <v>1324.4156493999999</v>
      </c>
      <c r="J767">
        <v>1321.0203856999999</v>
      </c>
      <c r="K767">
        <v>80</v>
      </c>
      <c r="L767">
        <v>79.474990844999994</v>
      </c>
      <c r="M767">
        <v>60</v>
      </c>
      <c r="N767">
        <v>58.709804535000004</v>
      </c>
    </row>
    <row r="768" spans="1:14" x14ac:dyDescent="0.25">
      <c r="A768">
        <v>741.22175900000002</v>
      </c>
      <c r="B768" s="1">
        <f>DATE(2012,5,11) + TIME(5,19,19)</f>
        <v>41040.221747685187</v>
      </c>
      <c r="C768">
        <v>550</v>
      </c>
      <c r="D768">
        <v>0</v>
      </c>
      <c r="E768">
        <v>0</v>
      </c>
      <c r="F768">
        <v>550</v>
      </c>
      <c r="G768">
        <v>1345.5187988</v>
      </c>
      <c r="H768">
        <v>1340.9145507999999</v>
      </c>
      <c r="I768">
        <v>1324.4110106999999</v>
      </c>
      <c r="J768">
        <v>1321.0125731999999</v>
      </c>
      <c r="K768">
        <v>80</v>
      </c>
      <c r="L768">
        <v>79.538520813000005</v>
      </c>
      <c r="M768">
        <v>60</v>
      </c>
      <c r="N768">
        <v>58.660675048999998</v>
      </c>
    </row>
    <row r="769" spans="1:14" x14ac:dyDescent="0.25">
      <c r="A769">
        <v>741.74859300000003</v>
      </c>
      <c r="B769" s="1">
        <f>DATE(2012,5,11) + TIME(17,57,58)</f>
        <v>41040.74858796296</v>
      </c>
      <c r="C769">
        <v>550</v>
      </c>
      <c r="D769">
        <v>0</v>
      </c>
      <c r="E769">
        <v>0</v>
      </c>
      <c r="F769">
        <v>550</v>
      </c>
      <c r="G769">
        <v>1345.5175781</v>
      </c>
      <c r="H769">
        <v>1340.9138184000001</v>
      </c>
      <c r="I769">
        <v>1324.40625</v>
      </c>
      <c r="J769">
        <v>1321.0043945</v>
      </c>
      <c r="K769">
        <v>80</v>
      </c>
      <c r="L769">
        <v>79.591201781999999</v>
      </c>
      <c r="M769">
        <v>60</v>
      </c>
      <c r="N769">
        <v>58.611202239999997</v>
      </c>
    </row>
    <row r="770" spans="1:14" x14ac:dyDescent="0.25">
      <c r="A770">
        <v>742.28516100000002</v>
      </c>
      <c r="B770" s="1">
        <f>DATE(2012,5,12) + TIME(6,50,37)</f>
        <v>41041.285150462965</v>
      </c>
      <c r="C770">
        <v>550</v>
      </c>
      <c r="D770">
        <v>0</v>
      </c>
      <c r="E770">
        <v>0</v>
      </c>
      <c r="F770">
        <v>550</v>
      </c>
      <c r="G770">
        <v>1345.5150146000001</v>
      </c>
      <c r="H770">
        <v>1340.9119873</v>
      </c>
      <c r="I770">
        <v>1324.4011230000001</v>
      </c>
      <c r="J770">
        <v>1320.9960937999999</v>
      </c>
      <c r="K770">
        <v>80</v>
      </c>
      <c r="L770">
        <v>79.634887695000003</v>
      </c>
      <c r="M770">
        <v>60</v>
      </c>
      <c r="N770">
        <v>58.561283111999998</v>
      </c>
    </row>
    <row r="771" spans="1:14" x14ac:dyDescent="0.25">
      <c r="A771">
        <v>742.83260700000005</v>
      </c>
      <c r="B771" s="1">
        <f>DATE(2012,5,12) + TIME(19,58,57)</f>
        <v>41041.832604166666</v>
      </c>
      <c r="C771">
        <v>550</v>
      </c>
      <c r="D771">
        <v>0</v>
      </c>
      <c r="E771">
        <v>0</v>
      </c>
      <c r="F771">
        <v>550</v>
      </c>
      <c r="G771">
        <v>1345.5112305</v>
      </c>
      <c r="H771">
        <v>1340.9093018000001</v>
      </c>
      <c r="I771">
        <v>1324.395874</v>
      </c>
      <c r="J771">
        <v>1320.9874268000001</v>
      </c>
      <c r="K771">
        <v>80</v>
      </c>
      <c r="L771">
        <v>79.671089171999995</v>
      </c>
      <c r="M771">
        <v>60</v>
      </c>
      <c r="N771">
        <v>58.510822296000001</v>
      </c>
    </row>
    <row r="772" spans="1:14" x14ac:dyDescent="0.25">
      <c r="A772">
        <v>743.39230099999997</v>
      </c>
      <c r="B772" s="1">
        <f>DATE(2012,5,13) + TIME(9,24,54)</f>
        <v>41042.392291666663</v>
      </c>
      <c r="C772">
        <v>550</v>
      </c>
      <c r="D772">
        <v>0</v>
      </c>
      <c r="E772">
        <v>0</v>
      </c>
      <c r="F772">
        <v>550</v>
      </c>
      <c r="G772">
        <v>1345.5064697</v>
      </c>
      <c r="H772">
        <v>1340.9058838000001</v>
      </c>
      <c r="I772">
        <v>1324.3903809000001</v>
      </c>
      <c r="J772">
        <v>1320.9785156</v>
      </c>
      <c r="K772">
        <v>80</v>
      </c>
      <c r="L772">
        <v>79.701057434000006</v>
      </c>
      <c r="M772">
        <v>60</v>
      </c>
      <c r="N772">
        <v>58.459716796999999</v>
      </c>
    </row>
    <row r="773" spans="1:14" x14ac:dyDescent="0.25">
      <c r="A773">
        <v>743.96569699999998</v>
      </c>
      <c r="B773" s="1">
        <f>DATE(2012,5,13) + TIME(23,10,36)</f>
        <v>41042.965694444443</v>
      </c>
      <c r="C773">
        <v>550</v>
      </c>
      <c r="D773">
        <v>0</v>
      </c>
      <c r="E773">
        <v>0</v>
      </c>
      <c r="F773">
        <v>550</v>
      </c>
      <c r="G773">
        <v>1345.5007324000001</v>
      </c>
      <c r="H773">
        <v>1340.9017334</v>
      </c>
      <c r="I773">
        <v>1324.3846435999999</v>
      </c>
      <c r="J773">
        <v>1320.9692382999999</v>
      </c>
      <c r="K773">
        <v>80</v>
      </c>
      <c r="L773">
        <v>79.725852966000005</v>
      </c>
      <c r="M773">
        <v>60</v>
      </c>
      <c r="N773">
        <v>58.407855988000001</v>
      </c>
    </row>
    <row r="774" spans="1:14" x14ac:dyDescent="0.25">
      <c r="A774">
        <v>744.55435699999998</v>
      </c>
      <c r="B774" s="1">
        <f>DATE(2012,5,14) + TIME(13,18,16)</f>
        <v>41043.554351851853</v>
      </c>
      <c r="C774">
        <v>550</v>
      </c>
      <c r="D774">
        <v>0</v>
      </c>
      <c r="E774">
        <v>0</v>
      </c>
      <c r="F774">
        <v>550</v>
      </c>
      <c r="G774">
        <v>1345.4940185999999</v>
      </c>
      <c r="H774">
        <v>1340.8968506000001</v>
      </c>
      <c r="I774">
        <v>1324.3786620999999</v>
      </c>
      <c r="J774">
        <v>1320.9597168</v>
      </c>
      <c r="K774">
        <v>80</v>
      </c>
      <c r="L774">
        <v>79.746353149000001</v>
      </c>
      <c r="M774">
        <v>60</v>
      </c>
      <c r="N774">
        <v>58.355129241999997</v>
      </c>
    </row>
    <row r="775" spans="1:14" x14ac:dyDescent="0.25">
      <c r="A775">
        <v>745.16009599999995</v>
      </c>
      <c r="B775" s="1">
        <f>DATE(2012,5,15) + TIME(3,50,32)</f>
        <v>41044.160092592596</v>
      </c>
      <c r="C775">
        <v>550</v>
      </c>
      <c r="D775">
        <v>0</v>
      </c>
      <c r="E775">
        <v>0</v>
      </c>
      <c r="F775">
        <v>550</v>
      </c>
      <c r="G775">
        <v>1345.4864502</v>
      </c>
      <c r="H775">
        <v>1340.8914795000001</v>
      </c>
      <c r="I775">
        <v>1324.3724365</v>
      </c>
      <c r="J775">
        <v>1320.949707</v>
      </c>
      <c r="K775">
        <v>80</v>
      </c>
      <c r="L775">
        <v>79.763282775999997</v>
      </c>
      <c r="M775">
        <v>60</v>
      </c>
      <c r="N775">
        <v>58.30140686</v>
      </c>
    </row>
    <row r="776" spans="1:14" x14ac:dyDescent="0.25">
      <c r="A776">
        <v>745.78510100000005</v>
      </c>
      <c r="B776" s="1">
        <f>DATE(2012,5,15) + TIME(18,50,32)</f>
        <v>41044.785092592596</v>
      </c>
      <c r="C776">
        <v>550</v>
      </c>
      <c r="D776">
        <v>0</v>
      </c>
      <c r="E776">
        <v>0</v>
      </c>
      <c r="F776">
        <v>550</v>
      </c>
      <c r="G776">
        <v>1345.4780272999999</v>
      </c>
      <c r="H776">
        <v>1340.8854980000001</v>
      </c>
      <c r="I776">
        <v>1324.3658447</v>
      </c>
      <c r="J776">
        <v>1320.9393310999999</v>
      </c>
      <c r="K776">
        <v>80</v>
      </c>
      <c r="L776">
        <v>79.777252196999996</v>
      </c>
      <c r="M776">
        <v>60</v>
      </c>
      <c r="N776">
        <v>58.246536255000002</v>
      </c>
    </row>
    <row r="777" spans="1:14" x14ac:dyDescent="0.25">
      <c r="A777">
        <v>746.42652499999997</v>
      </c>
      <c r="B777" s="1">
        <f>DATE(2012,5,16) + TIME(10,14,11)</f>
        <v>41045.426516203705</v>
      </c>
      <c r="C777">
        <v>550</v>
      </c>
      <c r="D777">
        <v>0</v>
      </c>
      <c r="E777">
        <v>0</v>
      </c>
      <c r="F777">
        <v>550</v>
      </c>
      <c r="G777">
        <v>1345.4688721</v>
      </c>
      <c r="H777">
        <v>1340.8790283000001</v>
      </c>
      <c r="I777">
        <v>1324.3590088000001</v>
      </c>
      <c r="J777">
        <v>1320.9284668</v>
      </c>
      <c r="K777">
        <v>80</v>
      </c>
      <c r="L777">
        <v>79.788703917999996</v>
      </c>
      <c r="M777">
        <v>60</v>
      </c>
      <c r="N777">
        <v>58.190738678000002</v>
      </c>
    </row>
    <row r="778" spans="1:14" x14ac:dyDescent="0.25">
      <c r="A778">
        <v>747.08385899999996</v>
      </c>
      <c r="B778" s="1">
        <f>DATE(2012,5,17) + TIME(2,0,45)</f>
        <v>41046.083854166667</v>
      </c>
      <c r="C778">
        <v>550</v>
      </c>
      <c r="D778">
        <v>0</v>
      </c>
      <c r="E778">
        <v>0</v>
      </c>
      <c r="F778">
        <v>550</v>
      </c>
      <c r="G778">
        <v>1345.4591064000001</v>
      </c>
      <c r="H778">
        <v>1340.8720702999999</v>
      </c>
      <c r="I778">
        <v>1324.3518065999999</v>
      </c>
      <c r="J778">
        <v>1320.9171143000001</v>
      </c>
      <c r="K778">
        <v>80</v>
      </c>
      <c r="L778">
        <v>79.798065186000002</v>
      </c>
      <c r="M778">
        <v>60</v>
      </c>
      <c r="N778">
        <v>58.134075164999999</v>
      </c>
    </row>
    <row r="779" spans="1:14" x14ac:dyDescent="0.25">
      <c r="A779">
        <v>747.75870399999997</v>
      </c>
      <c r="B779" s="1">
        <f>DATE(2012,5,17) + TIME(18,12,32)</f>
        <v>41046.758703703701</v>
      </c>
      <c r="C779">
        <v>550</v>
      </c>
      <c r="D779">
        <v>0</v>
      </c>
      <c r="E779">
        <v>0</v>
      </c>
      <c r="F779">
        <v>550</v>
      </c>
      <c r="G779">
        <v>1345.4487305</v>
      </c>
      <c r="H779">
        <v>1340.8647461</v>
      </c>
      <c r="I779">
        <v>1324.3442382999999</v>
      </c>
      <c r="J779">
        <v>1320.9053954999999</v>
      </c>
      <c r="K779">
        <v>80</v>
      </c>
      <c r="L779">
        <v>79.805725097999996</v>
      </c>
      <c r="M779">
        <v>60</v>
      </c>
      <c r="N779">
        <v>58.076431274000001</v>
      </c>
    </row>
    <row r="780" spans="1:14" x14ac:dyDescent="0.25">
      <c r="A780">
        <v>748.45271500000001</v>
      </c>
      <c r="B780" s="1">
        <f>DATE(2012,5,18) + TIME(10,51,54)</f>
        <v>41047.452708333331</v>
      </c>
      <c r="C780">
        <v>550</v>
      </c>
      <c r="D780">
        <v>0</v>
      </c>
      <c r="E780">
        <v>0</v>
      </c>
      <c r="F780">
        <v>550</v>
      </c>
      <c r="G780">
        <v>1345.4377440999999</v>
      </c>
      <c r="H780">
        <v>1340.8570557</v>
      </c>
      <c r="I780">
        <v>1324.3365478999999</v>
      </c>
      <c r="J780">
        <v>1320.8933105000001</v>
      </c>
      <c r="K780">
        <v>80</v>
      </c>
      <c r="L780">
        <v>79.811996460000003</v>
      </c>
      <c r="M780">
        <v>60</v>
      </c>
      <c r="N780">
        <v>58.017704010000003</v>
      </c>
    </row>
    <row r="781" spans="1:14" x14ac:dyDescent="0.25">
      <c r="A781">
        <v>749.16771300000005</v>
      </c>
      <c r="B781" s="1">
        <f>DATE(2012,5,19) + TIME(4,1,30)</f>
        <v>41048.167708333334</v>
      </c>
      <c r="C781">
        <v>550</v>
      </c>
      <c r="D781">
        <v>0</v>
      </c>
      <c r="E781">
        <v>0</v>
      </c>
      <c r="F781">
        <v>550</v>
      </c>
      <c r="G781">
        <v>1345.4262695</v>
      </c>
      <c r="H781">
        <v>1340.848999</v>
      </c>
      <c r="I781">
        <v>1324.3283690999999</v>
      </c>
      <c r="J781">
        <v>1320.8806152</v>
      </c>
      <c r="K781">
        <v>80</v>
      </c>
      <c r="L781">
        <v>79.817138671999999</v>
      </c>
      <c r="M781">
        <v>60</v>
      </c>
      <c r="N781">
        <v>57.957786560000002</v>
      </c>
    </row>
    <row r="782" spans="1:14" x14ac:dyDescent="0.25">
      <c r="A782">
        <v>749.90590799999995</v>
      </c>
      <c r="B782" s="1">
        <f>DATE(2012,5,19) + TIME(21,44,30)</f>
        <v>41048.905902777777</v>
      </c>
      <c r="C782">
        <v>550</v>
      </c>
      <c r="D782">
        <v>0</v>
      </c>
      <c r="E782">
        <v>0</v>
      </c>
      <c r="F782">
        <v>550</v>
      </c>
      <c r="G782">
        <v>1345.4143065999999</v>
      </c>
      <c r="H782">
        <v>1340.8406981999999</v>
      </c>
      <c r="I782">
        <v>1324.3198242000001</v>
      </c>
      <c r="J782">
        <v>1320.8673096</v>
      </c>
      <c r="K782">
        <v>80</v>
      </c>
      <c r="L782">
        <v>79.821365356000001</v>
      </c>
      <c r="M782">
        <v>60</v>
      </c>
      <c r="N782">
        <v>57.896530151</v>
      </c>
    </row>
    <row r="783" spans="1:14" x14ac:dyDescent="0.25">
      <c r="A783">
        <v>750.67008799999996</v>
      </c>
      <c r="B783" s="1">
        <f>DATE(2012,5,20) + TIME(16,4,55)</f>
        <v>41049.670081018521</v>
      </c>
      <c r="C783">
        <v>550</v>
      </c>
      <c r="D783">
        <v>0</v>
      </c>
      <c r="E783">
        <v>0</v>
      </c>
      <c r="F783">
        <v>550</v>
      </c>
      <c r="G783">
        <v>1345.4018555</v>
      </c>
      <c r="H783">
        <v>1340.8320312000001</v>
      </c>
      <c r="I783">
        <v>1324.3109131000001</v>
      </c>
      <c r="J783">
        <v>1320.8535156</v>
      </c>
      <c r="K783">
        <v>80</v>
      </c>
      <c r="L783">
        <v>79.82484436</v>
      </c>
      <c r="M783">
        <v>60</v>
      </c>
      <c r="N783">
        <v>57.833763122999997</v>
      </c>
    </row>
    <row r="784" spans="1:14" x14ac:dyDescent="0.25">
      <c r="A784">
        <v>751.46290199999999</v>
      </c>
      <c r="B784" s="1">
        <f>DATE(2012,5,21) + TIME(11,6,34)</f>
        <v>41050.462893518517</v>
      </c>
      <c r="C784">
        <v>550</v>
      </c>
      <c r="D784">
        <v>0</v>
      </c>
      <c r="E784">
        <v>0</v>
      </c>
      <c r="F784">
        <v>550</v>
      </c>
      <c r="G784">
        <v>1345.3889160000001</v>
      </c>
      <c r="H784">
        <v>1340.8231201000001</v>
      </c>
      <c r="I784">
        <v>1324.3016356999999</v>
      </c>
      <c r="J784">
        <v>1320.8389893000001</v>
      </c>
      <c r="K784">
        <v>80</v>
      </c>
      <c r="L784">
        <v>79.827720642000003</v>
      </c>
      <c r="M784">
        <v>60</v>
      </c>
      <c r="N784">
        <v>57.769325256000002</v>
      </c>
    </row>
    <row r="785" spans="1:14" x14ac:dyDescent="0.25">
      <c r="A785">
        <v>752.28736600000002</v>
      </c>
      <c r="B785" s="1">
        <f>DATE(2012,5,22) + TIME(6,53,48)</f>
        <v>41051.287361111114</v>
      </c>
      <c r="C785">
        <v>550</v>
      </c>
      <c r="D785">
        <v>0</v>
      </c>
      <c r="E785">
        <v>0</v>
      </c>
      <c r="F785">
        <v>550</v>
      </c>
      <c r="G785">
        <v>1345.3754882999999</v>
      </c>
      <c r="H785">
        <v>1340.8139647999999</v>
      </c>
      <c r="I785">
        <v>1324.2918701000001</v>
      </c>
      <c r="J785">
        <v>1320.8237305</v>
      </c>
      <c r="K785">
        <v>80</v>
      </c>
      <c r="L785">
        <v>79.830101013000004</v>
      </c>
      <c r="M785">
        <v>60</v>
      </c>
      <c r="N785">
        <v>57.703037262000002</v>
      </c>
    </row>
    <row r="786" spans="1:14" x14ac:dyDescent="0.25">
      <c r="A786">
        <v>753.14690900000005</v>
      </c>
      <c r="B786" s="1">
        <f>DATE(2012,5,23) + TIME(3,31,32)</f>
        <v>41052.146898148145</v>
      </c>
      <c r="C786">
        <v>550</v>
      </c>
      <c r="D786">
        <v>0</v>
      </c>
      <c r="E786">
        <v>0</v>
      </c>
      <c r="F786">
        <v>550</v>
      </c>
      <c r="G786">
        <v>1345.3614502</v>
      </c>
      <c r="H786">
        <v>1340.8044434000001</v>
      </c>
      <c r="I786">
        <v>1324.2814940999999</v>
      </c>
      <c r="J786">
        <v>1320.8077393000001</v>
      </c>
      <c r="K786">
        <v>80</v>
      </c>
      <c r="L786">
        <v>79.832077025999993</v>
      </c>
      <c r="M786">
        <v>60</v>
      </c>
      <c r="N786">
        <v>57.634693145999996</v>
      </c>
    </row>
    <row r="787" spans="1:14" x14ac:dyDescent="0.25">
      <c r="A787">
        <v>754.03697499999998</v>
      </c>
      <c r="B787" s="1">
        <f>DATE(2012,5,24) + TIME(0,53,14)</f>
        <v>41053.03696759259</v>
      </c>
      <c r="C787">
        <v>550</v>
      </c>
      <c r="D787">
        <v>0</v>
      </c>
      <c r="E787">
        <v>0</v>
      </c>
      <c r="F787">
        <v>550</v>
      </c>
      <c r="G787">
        <v>1345.3470459</v>
      </c>
      <c r="H787">
        <v>1340.7946777</v>
      </c>
      <c r="I787">
        <v>1324.2706298999999</v>
      </c>
      <c r="J787">
        <v>1320.7908935999999</v>
      </c>
      <c r="K787">
        <v>80</v>
      </c>
      <c r="L787">
        <v>79.833717346</v>
      </c>
      <c r="M787">
        <v>60</v>
      </c>
      <c r="N787">
        <v>57.564617157000001</v>
      </c>
    </row>
    <row r="788" spans="1:14" x14ac:dyDescent="0.25">
      <c r="A788">
        <v>754.95527500000003</v>
      </c>
      <c r="B788" s="1">
        <f>DATE(2012,5,24) + TIME(22,55,35)</f>
        <v>41053.955266203702</v>
      </c>
      <c r="C788">
        <v>550</v>
      </c>
      <c r="D788">
        <v>0</v>
      </c>
      <c r="E788">
        <v>0</v>
      </c>
      <c r="F788">
        <v>550</v>
      </c>
      <c r="G788">
        <v>1345.3322754000001</v>
      </c>
      <c r="H788">
        <v>1340.784668</v>
      </c>
      <c r="I788">
        <v>1324.2591553</v>
      </c>
      <c r="J788">
        <v>1320.7731934000001</v>
      </c>
      <c r="K788">
        <v>80</v>
      </c>
      <c r="L788">
        <v>79.835067749000004</v>
      </c>
      <c r="M788">
        <v>60</v>
      </c>
      <c r="N788">
        <v>57.492973327999998</v>
      </c>
    </row>
    <row r="789" spans="1:14" x14ac:dyDescent="0.25">
      <c r="A789">
        <v>755.90556300000003</v>
      </c>
      <c r="B789" s="1">
        <f>DATE(2012,5,25) + TIME(21,44,0)</f>
        <v>41054.905555555553</v>
      </c>
      <c r="C789">
        <v>550</v>
      </c>
      <c r="D789">
        <v>0</v>
      </c>
      <c r="E789">
        <v>0</v>
      </c>
      <c r="F789">
        <v>550</v>
      </c>
      <c r="G789">
        <v>1345.3171387</v>
      </c>
      <c r="H789">
        <v>1340.7744141000001</v>
      </c>
      <c r="I789">
        <v>1324.2471923999999</v>
      </c>
      <c r="J789">
        <v>1320.7546387</v>
      </c>
      <c r="K789">
        <v>80</v>
      </c>
      <c r="L789">
        <v>79.836189270000006</v>
      </c>
      <c r="M789">
        <v>60</v>
      </c>
      <c r="N789">
        <v>57.419563293000003</v>
      </c>
    </row>
    <row r="790" spans="1:14" x14ac:dyDescent="0.25">
      <c r="A790">
        <v>756.88390600000002</v>
      </c>
      <c r="B790" s="1">
        <f>DATE(2012,5,26) + TIME(21,12,49)</f>
        <v>41055.883900462963</v>
      </c>
      <c r="C790">
        <v>550</v>
      </c>
      <c r="D790">
        <v>0</v>
      </c>
      <c r="E790">
        <v>0</v>
      </c>
      <c r="F790">
        <v>550</v>
      </c>
      <c r="G790">
        <v>1345.3016356999999</v>
      </c>
      <c r="H790">
        <v>1340.7641602000001</v>
      </c>
      <c r="I790">
        <v>1324.2347411999999</v>
      </c>
      <c r="J790">
        <v>1320.7353516000001</v>
      </c>
      <c r="K790">
        <v>80</v>
      </c>
      <c r="L790">
        <v>79.837120056000003</v>
      </c>
      <c r="M790">
        <v>60</v>
      </c>
      <c r="N790">
        <v>57.344657898000001</v>
      </c>
    </row>
    <row r="791" spans="1:14" x14ac:dyDescent="0.25">
      <c r="A791">
        <v>757.87625100000002</v>
      </c>
      <c r="B791" s="1">
        <f>DATE(2012,5,27) + TIME(21,1,48)</f>
        <v>41056.876250000001</v>
      </c>
      <c r="C791">
        <v>550</v>
      </c>
      <c r="D791">
        <v>0</v>
      </c>
      <c r="E791">
        <v>0</v>
      </c>
      <c r="F791">
        <v>550</v>
      </c>
      <c r="G791">
        <v>1345.2860106999999</v>
      </c>
      <c r="H791">
        <v>1340.7536620999999</v>
      </c>
      <c r="I791">
        <v>1324.2216797000001</v>
      </c>
      <c r="J791">
        <v>1320.7152100000001</v>
      </c>
      <c r="K791">
        <v>80</v>
      </c>
      <c r="L791">
        <v>79.837882996000005</v>
      </c>
      <c r="M791">
        <v>60</v>
      </c>
      <c r="N791">
        <v>57.269142150999997</v>
      </c>
    </row>
    <row r="792" spans="1:14" x14ac:dyDescent="0.25">
      <c r="A792">
        <v>758.88715500000001</v>
      </c>
      <c r="B792" s="1">
        <f>DATE(2012,5,28) + TIME(21,17,30)</f>
        <v>41057.887152777781</v>
      </c>
      <c r="C792">
        <v>550</v>
      </c>
      <c r="D792">
        <v>0</v>
      </c>
      <c r="E792">
        <v>0</v>
      </c>
      <c r="F792">
        <v>550</v>
      </c>
      <c r="G792">
        <v>1345.2703856999999</v>
      </c>
      <c r="H792">
        <v>1340.7432861</v>
      </c>
      <c r="I792">
        <v>1324.208374</v>
      </c>
      <c r="J792">
        <v>1320.6944579999999</v>
      </c>
      <c r="K792">
        <v>80</v>
      </c>
      <c r="L792">
        <v>79.838516235</v>
      </c>
      <c r="M792">
        <v>60</v>
      </c>
      <c r="N792">
        <v>57.192794800000001</v>
      </c>
    </row>
    <row r="793" spans="1:14" x14ac:dyDescent="0.25">
      <c r="A793">
        <v>759.92016999999998</v>
      </c>
      <c r="B793" s="1">
        <f>DATE(2012,5,29) + TIME(22,5,2)</f>
        <v>41058.920162037037</v>
      </c>
      <c r="C793">
        <v>550</v>
      </c>
      <c r="D793">
        <v>0</v>
      </c>
      <c r="E793">
        <v>0</v>
      </c>
      <c r="F793">
        <v>550</v>
      </c>
      <c r="G793">
        <v>1345.2547606999999</v>
      </c>
      <c r="H793">
        <v>1340.7329102000001</v>
      </c>
      <c r="I793">
        <v>1324.1945800999999</v>
      </c>
      <c r="J793">
        <v>1320.6730957</v>
      </c>
      <c r="K793">
        <v>80</v>
      </c>
      <c r="L793">
        <v>79.839035034000005</v>
      </c>
      <c r="M793">
        <v>60</v>
      </c>
      <c r="N793">
        <v>57.115444183000001</v>
      </c>
    </row>
    <row r="794" spans="1:14" x14ac:dyDescent="0.25">
      <c r="A794">
        <v>760.97889299999997</v>
      </c>
      <c r="B794" s="1">
        <f>DATE(2012,5,30) + TIME(23,29,36)</f>
        <v>41059.978888888887</v>
      </c>
      <c r="C794">
        <v>550</v>
      </c>
      <c r="D794">
        <v>0</v>
      </c>
      <c r="E794">
        <v>0</v>
      </c>
      <c r="F794">
        <v>550</v>
      </c>
      <c r="G794">
        <v>1345.2390137</v>
      </c>
      <c r="H794">
        <v>1340.7225341999999</v>
      </c>
      <c r="I794">
        <v>1324.1804199000001</v>
      </c>
      <c r="J794">
        <v>1320.651001</v>
      </c>
      <c r="K794">
        <v>80</v>
      </c>
      <c r="L794">
        <v>79.839477539000001</v>
      </c>
      <c r="M794">
        <v>60</v>
      </c>
      <c r="N794">
        <v>57.036907196000001</v>
      </c>
    </row>
    <row r="795" spans="1:14" x14ac:dyDescent="0.25">
      <c r="A795">
        <v>762</v>
      </c>
      <c r="B795" s="1">
        <f>DATE(2012,6,1) + TIME(0,0,0)</f>
        <v>41061</v>
      </c>
      <c r="C795">
        <v>550</v>
      </c>
      <c r="D795">
        <v>0</v>
      </c>
      <c r="E795">
        <v>0</v>
      </c>
      <c r="F795">
        <v>550</v>
      </c>
      <c r="G795">
        <v>1345.2232666</v>
      </c>
      <c r="H795">
        <v>1340.7121582</v>
      </c>
      <c r="I795">
        <v>1324.1657714999999</v>
      </c>
      <c r="J795">
        <v>1320.6282959</v>
      </c>
      <c r="K795">
        <v>80</v>
      </c>
      <c r="L795">
        <v>79.839820861999996</v>
      </c>
      <c r="M795">
        <v>60</v>
      </c>
      <c r="N795">
        <v>56.960918427000003</v>
      </c>
    </row>
    <row r="796" spans="1:14" x14ac:dyDescent="0.25">
      <c r="A796">
        <v>763.072362</v>
      </c>
      <c r="B796" s="1">
        <f>DATE(2012,6,2) + TIME(1,44,12)</f>
        <v>41062.07236111111</v>
      </c>
      <c r="C796">
        <v>550</v>
      </c>
      <c r="D796">
        <v>0</v>
      </c>
      <c r="E796">
        <v>0</v>
      </c>
      <c r="F796">
        <v>550</v>
      </c>
      <c r="G796">
        <v>1345.208374</v>
      </c>
      <c r="H796">
        <v>1340.7023925999999</v>
      </c>
      <c r="I796">
        <v>1324.1512451000001</v>
      </c>
      <c r="J796">
        <v>1320.6057129000001</v>
      </c>
      <c r="K796">
        <v>80</v>
      </c>
      <c r="L796">
        <v>79.840118407999995</v>
      </c>
      <c r="M796">
        <v>60</v>
      </c>
      <c r="N796">
        <v>56.882434844999999</v>
      </c>
    </row>
    <row r="797" spans="1:14" x14ac:dyDescent="0.25">
      <c r="A797">
        <v>764.17504599999995</v>
      </c>
      <c r="B797" s="1">
        <f>DATE(2012,6,3) + TIME(4,12,3)</f>
        <v>41063.175034722219</v>
      </c>
      <c r="C797">
        <v>550</v>
      </c>
      <c r="D797">
        <v>0</v>
      </c>
      <c r="E797">
        <v>0</v>
      </c>
      <c r="F797">
        <v>550</v>
      </c>
      <c r="G797">
        <v>1345.1929932</v>
      </c>
      <c r="H797">
        <v>1340.6923827999999</v>
      </c>
      <c r="I797">
        <v>1324.1361084</v>
      </c>
      <c r="J797">
        <v>1320.5819091999999</v>
      </c>
      <c r="K797">
        <v>80</v>
      </c>
      <c r="L797">
        <v>79.840370178000001</v>
      </c>
      <c r="M797">
        <v>60</v>
      </c>
      <c r="N797">
        <v>56.802616119</v>
      </c>
    </row>
    <row r="798" spans="1:14" x14ac:dyDescent="0.25">
      <c r="A798">
        <v>765.29722200000003</v>
      </c>
      <c r="B798" s="1">
        <f>DATE(2012,6,4) + TIME(7,7,59)</f>
        <v>41064.297210648147</v>
      </c>
      <c r="C798">
        <v>550</v>
      </c>
      <c r="D798">
        <v>0</v>
      </c>
      <c r="E798">
        <v>0</v>
      </c>
      <c r="F798">
        <v>550</v>
      </c>
      <c r="G798">
        <v>1345.1774902</v>
      </c>
      <c r="H798">
        <v>1340.682251</v>
      </c>
      <c r="I798">
        <v>1324.1203613</v>
      </c>
      <c r="J798">
        <v>1320.5573730000001</v>
      </c>
      <c r="K798">
        <v>80</v>
      </c>
      <c r="L798">
        <v>79.840576171999999</v>
      </c>
      <c r="M798">
        <v>60</v>
      </c>
      <c r="N798">
        <v>56.722072601000001</v>
      </c>
    </row>
    <row r="799" spans="1:14" x14ac:dyDescent="0.25">
      <c r="A799">
        <v>766.44320500000003</v>
      </c>
      <c r="B799" s="1">
        <f>DATE(2012,6,5) + TIME(10,38,12)</f>
        <v>41065.443194444444</v>
      </c>
      <c r="C799">
        <v>550</v>
      </c>
      <c r="D799">
        <v>0</v>
      </c>
      <c r="E799">
        <v>0</v>
      </c>
      <c r="F799">
        <v>550</v>
      </c>
      <c r="G799">
        <v>1345.1621094</v>
      </c>
      <c r="H799">
        <v>1340.6722411999999</v>
      </c>
      <c r="I799">
        <v>1324.104126</v>
      </c>
      <c r="J799">
        <v>1320.5319824000001</v>
      </c>
      <c r="K799">
        <v>80</v>
      </c>
      <c r="L799">
        <v>79.840751647999994</v>
      </c>
      <c r="M799">
        <v>60</v>
      </c>
      <c r="N799">
        <v>56.640594481999997</v>
      </c>
    </row>
    <row r="800" spans="1:14" x14ac:dyDescent="0.25">
      <c r="A800">
        <v>767.61723099999995</v>
      </c>
      <c r="B800" s="1">
        <f>DATE(2012,6,6) + TIME(14,48,48)</f>
        <v>41066.617222222223</v>
      </c>
      <c r="C800">
        <v>550</v>
      </c>
      <c r="D800">
        <v>0</v>
      </c>
      <c r="E800">
        <v>0</v>
      </c>
      <c r="F800">
        <v>550</v>
      </c>
      <c r="G800">
        <v>1345.1466064000001</v>
      </c>
      <c r="H800">
        <v>1340.6622314000001</v>
      </c>
      <c r="I800">
        <v>1324.0875243999999</v>
      </c>
      <c r="J800">
        <v>1320.5058594</v>
      </c>
      <c r="K800">
        <v>80</v>
      </c>
      <c r="L800">
        <v>79.840888977000006</v>
      </c>
      <c r="M800">
        <v>60</v>
      </c>
      <c r="N800">
        <v>56.557964325</v>
      </c>
    </row>
    <row r="801" spans="1:14" x14ac:dyDescent="0.25">
      <c r="A801">
        <v>768.82304299999998</v>
      </c>
      <c r="B801" s="1">
        <f>DATE(2012,6,7) + TIME(19,45,10)</f>
        <v>41067.82303240741</v>
      </c>
      <c r="C801">
        <v>550</v>
      </c>
      <c r="D801">
        <v>0</v>
      </c>
      <c r="E801">
        <v>0</v>
      </c>
      <c r="F801">
        <v>550</v>
      </c>
      <c r="G801">
        <v>1345.1311035000001</v>
      </c>
      <c r="H801">
        <v>1340.6520995999999</v>
      </c>
      <c r="I801">
        <v>1324.0703125</v>
      </c>
      <c r="J801">
        <v>1320.4788818</v>
      </c>
      <c r="K801">
        <v>80</v>
      </c>
      <c r="L801">
        <v>79.841011046999995</v>
      </c>
      <c r="M801">
        <v>60</v>
      </c>
      <c r="N801">
        <v>56.473999022999998</v>
      </c>
    </row>
    <row r="802" spans="1:14" x14ac:dyDescent="0.25">
      <c r="A802">
        <v>770.06479200000001</v>
      </c>
      <c r="B802" s="1">
        <f>DATE(2012,6,9) + TIME(1,33,18)</f>
        <v>41069.064791666664</v>
      </c>
      <c r="C802">
        <v>550</v>
      </c>
      <c r="D802">
        <v>0</v>
      </c>
      <c r="E802">
        <v>0</v>
      </c>
      <c r="F802">
        <v>550</v>
      </c>
      <c r="G802">
        <v>1345.1156006000001</v>
      </c>
      <c r="H802">
        <v>1340.6420897999999</v>
      </c>
      <c r="I802">
        <v>1324.0524902</v>
      </c>
      <c r="J802">
        <v>1320.4509277</v>
      </c>
      <c r="K802">
        <v>80</v>
      </c>
      <c r="L802">
        <v>79.841110228999995</v>
      </c>
      <c r="M802">
        <v>60</v>
      </c>
      <c r="N802">
        <v>56.388481140000003</v>
      </c>
    </row>
    <row r="803" spans="1:14" x14ac:dyDescent="0.25">
      <c r="A803">
        <v>771.34709599999996</v>
      </c>
      <c r="B803" s="1">
        <f>DATE(2012,6,10) + TIME(8,19,49)</f>
        <v>41070.347094907411</v>
      </c>
      <c r="C803">
        <v>550</v>
      </c>
      <c r="D803">
        <v>0</v>
      </c>
      <c r="E803">
        <v>0</v>
      </c>
      <c r="F803">
        <v>550</v>
      </c>
      <c r="G803">
        <v>1345.0998535000001</v>
      </c>
      <c r="H803">
        <v>1340.6319579999999</v>
      </c>
      <c r="I803">
        <v>1324.0340576000001</v>
      </c>
      <c r="J803">
        <v>1320.421875</v>
      </c>
      <c r="K803">
        <v>80</v>
      </c>
      <c r="L803">
        <v>79.841194153000004</v>
      </c>
      <c r="M803">
        <v>60</v>
      </c>
      <c r="N803">
        <v>56.301185607999997</v>
      </c>
    </row>
    <row r="804" spans="1:14" x14ac:dyDescent="0.25">
      <c r="A804">
        <v>772.67519700000003</v>
      </c>
      <c r="B804" s="1">
        <f>DATE(2012,6,11) + TIME(16,12,17)</f>
        <v>41071.675196759257</v>
      </c>
      <c r="C804">
        <v>550</v>
      </c>
      <c r="D804">
        <v>0</v>
      </c>
      <c r="E804">
        <v>0</v>
      </c>
      <c r="F804">
        <v>550</v>
      </c>
      <c r="G804">
        <v>1345.0839844</v>
      </c>
      <c r="H804">
        <v>1340.6217041</v>
      </c>
      <c r="I804">
        <v>1324.0148925999999</v>
      </c>
      <c r="J804">
        <v>1320.3916016000001</v>
      </c>
      <c r="K804">
        <v>80</v>
      </c>
      <c r="L804">
        <v>79.841262817</v>
      </c>
      <c r="M804">
        <v>60</v>
      </c>
      <c r="N804">
        <v>56.211849213000001</v>
      </c>
    </row>
    <row r="805" spans="1:14" x14ac:dyDescent="0.25">
      <c r="A805">
        <v>774.03254900000002</v>
      </c>
      <c r="B805" s="1">
        <f>DATE(2012,6,13) + TIME(0,46,52)</f>
        <v>41073.032546296294</v>
      </c>
      <c r="C805">
        <v>550</v>
      </c>
      <c r="D805">
        <v>0</v>
      </c>
      <c r="E805">
        <v>0</v>
      </c>
      <c r="F805">
        <v>550</v>
      </c>
      <c r="G805">
        <v>1345.0678711</v>
      </c>
      <c r="H805">
        <v>1340.6114502</v>
      </c>
      <c r="I805">
        <v>1323.9949951000001</v>
      </c>
      <c r="J805">
        <v>1320.3601074000001</v>
      </c>
      <c r="K805">
        <v>80</v>
      </c>
      <c r="L805">
        <v>79.841316223000007</v>
      </c>
      <c r="M805">
        <v>60</v>
      </c>
      <c r="N805">
        <v>56.121295928999999</v>
      </c>
    </row>
    <row r="806" spans="1:14" x14ac:dyDescent="0.25">
      <c r="A806">
        <v>775.41785700000003</v>
      </c>
      <c r="B806" s="1">
        <f>DATE(2012,6,14) + TIME(10,1,42)</f>
        <v>41074.417847222219</v>
      </c>
      <c r="C806">
        <v>550</v>
      </c>
      <c r="D806">
        <v>0</v>
      </c>
      <c r="E806">
        <v>0</v>
      </c>
      <c r="F806">
        <v>550</v>
      </c>
      <c r="G806">
        <v>1345.0517577999999</v>
      </c>
      <c r="H806">
        <v>1340.6010742000001</v>
      </c>
      <c r="I806">
        <v>1323.9744873</v>
      </c>
      <c r="J806">
        <v>1320.3277588000001</v>
      </c>
      <c r="K806">
        <v>80</v>
      </c>
      <c r="L806">
        <v>79.841354370000005</v>
      </c>
      <c r="M806">
        <v>60</v>
      </c>
      <c r="N806">
        <v>56.029647826999998</v>
      </c>
    </row>
    <row r="807" spans="1:14" x14ac:dyDescent="0.25">
      <c r="A807">
        <v>776.83547499999997</v>
      </c>
      <c r="B807" s="1">
        <f>DATE(2012,6,15) + TIME(20,3,5)</f>
        <v>41075.835474537038</v>
      </c>
      <c r="C807">
        <v>550</v>
      </c>
      <c r="D807">
        <v>0</v>
      </c>
      <c r="E807">
        <v>0</v>
      </c>
      <c r="F807">
        <v>550</v>
      </c>
      <c r="G807">
        <v>1345.0357666</v>
      </c>
      <c r="H807">
        <v>1340.5908202999999</v>
      </c>
      <c r="I807">
        <v>1323.9534911999999</v>
      </c>
      <c r="J807">
        <v>1320.2943115</v>
      </c>
      <c r="K807">
        <v>80</v>
      </c>
      <c r="L807">
        <v>79.841392517000003</v>
      </c>
      <c r="M807">
        <v>60</v>
      </c>
      <c r="N807">
        <v>55.936744689999998</v>
      </c>
    </row>
    <row r="808" spans="1:14" x14ac:dyDescent="0.25">
      <c r="A808">
        <v>778.29194500000006</v>
      </c>
      <c r="B808" s="1">
        <f>DATE(2012,6,17) + TIME(7,0,24)</f>
        <v>41077.291944444441</v>
      </c>
      <c r="C808">
        <v>550</v>
      </c>
      <c r="D808">
        <v>0</v>
      </c>
      <c r="E808">
        <v>0</v>
      </c>
      <c r="F808">
        <v>550</v>
      </c>
      <c r="G808">
        <v>1345.0196533000001</v>
      </c>
      <c r="H808">
        <v>1340.5805664</v>
      </c>
      <c r="I808">
        <v>1323.9318848</v>
      </c>
      <c r="J808">
        <v>1320.2598877</v>
      </c>
      <c r="K808">
        <v>80</v>
      </c>
      <c r="L808">
        <v>79.841415405000006</v>
      </c>
      <c r="M808">
        <v>60</v>
      </c>
      <c r="N808">
        <v>55.842323303000001</v>
      </c>
    </row>
    <row r="809" spans="1:14" x14ac:dyDescent="0.25">
      <c r="A809">
        <v>779.79210599999999</v>
      </c>
      <c r="B809" s="1">
        <f>DATE(2012,6,18) + TIME(19,0,37)</f>
        <v>41078.792094907411</v>
      </c>
      <c r="C809">
        <v>550</v>
      </c>
      <c r="D809">
        <v>0</v>
      </c>
      <c r="E809">
        <v>0</v>
      </c>
      <c r="F809">
        <v>550</v>
      </c>
      <c r="G809">
        <v>1345.0035399999999</v>
      </c>
      <c r="H809">
        <v>1340.5701904</v>
      </c>
      <c r="I809">
        <v>1323.9095459</v>
      </c>
      <c r="J809">
        <v>1320.2242432</v>
      </c>
      <c r="K809">
        <v>80</v>
      </c>
      <c r="L809">
        <v>79.841438292999996</v>
      </c>
      <c r="M809">
        <v>60</v>
      </c>
      <c r="N809">
        <v>55.746181487999998</v>
      </c>
    </row>
    <row r="810" spans="1:14" x14ac:dyDescent="0.25">
      <c r="A810">
        <v>781.34147099999996</v>
      </c>
      <c r="B810" s="1">
        <f>DATE(2012,6,20) + TIME(8,11,43)</f>
        <v>41080.341469907406</v>
      </c>
      <c r="C810">
        <v>550</v>
      </c>
      <c r="D810">
        <v>0</v>
      </c>
      <c r="E810">
        <v>0</v>
      </c>
      <c r="F810">
        <v>550</v>
      </c>
      <c r="G810">
        <v>1344.9873047000001</v>
      </c>
      <c r="H810">
        <v>1340.5598144999999</v>
      </c>
      <c r="I810">
        <v>1323.8864745999999</v>
      </c>
      <c r="J810">
        <v>1320.1873779</v>
      </c>
      <c r="K810">
        <v>80</v>
      </c>
      <c r="L810">
        <v>79.841461182000003</v>
      </c>
      <c r="M810">
        <v>60</v>
      </c>
      <c r="N810">
        <v>55.648086548000002</v>
      </c>
    </row>
    <row r="811" spans="1:14" x14ac:dyDescent="0.25">
      <c r="A811">
        <v>782.924263</v>
      </c>
      <c r="B811" s="1">
        <f>DATE(2012,6,21) + TIME(22,10,56)</f>
        <v>41081.924259259256</v>
      </c>
      <c r="C811">
        <v>550</v>
      </c>
      <c r="D811">
        <v>0</v>
      </c>
      <c r="E811">
        <v>0</v>
      </c>
      <c r="F811">
        <v>550</v>
      </c>
      <c r="G811">
        <v>1344.9708252</v>
      </c>
      <c r="H811">
        <v>1340.5494385</v>
      </c>
      <c r="I811">
        <v>1323.8626709</v>
      </c>
      <c r="J811">
        <v>1320.1490478999999</v>
      </c>
      <c r="K811">
        <v>80</v>
      </c>
      <c r="L811">
        <v>79.841476439999994</v>
      </c>
      <c r="M811">
        <v>60</v>
      </c>
      <c r="N811">
        <v>55.548755645999996</v>
      </c>
    </row>
    <row r="812" spans="1:14" x14ac:dyDescent="0.25">
      <c r="A812">
        <v>784.525486</v>
      </c>
      <c r="B812" s="1">
        <f>DATE(2012,6,23) + TIME(12,36,42)</f>
        <v>41083.52548611111</v>
      </c>
      <c r="C812">
        <v>550</v>
      </c>
      <c r="D812">
        <v>0</v>
      </c>
      <c r="E812">
        <v>0</v>
      </c>
      <c r="F812">
        <v>550</v>
      </c>
      <c r="G812">
        <v>1344.9544678</v>
      </c>
      <c r="H812">
        <v>1340.5389404</v>
      </c>
      <c r="I812">
        <v>1323.8381348</v>
      </c>
      <c r="J812">
        <v>1320.1098632999999</v>
      </c>
      <c r="K812">
        <v>80</v>
      </c>
      <c r="L812">
        <v>79.841484070000007</v>
      </c>
      <c r="M812">
        <v>60</v>
      </c>
      <c r="N812">
        <v>55.448936461999999</v>
      </c>
    </row>
    <row r="813" spans="1:14" x14ac:dyDescent="0.25">
      <c r="A813">
        <v>786.15070800000001</v>
      </c>
      <c r="B813" s="1">
        <f>DATE(2012,6,25) + TIME(3,37,1)</f>
        <v>41085.150706018518</v>
      </c>
      <c r="C813">
        <v>550</v>
      </c>
      <c r="D813">
        <v>0</v>
      </c>
      <c r="E813">
        <v>0</v>
      </c>
      <c r="F813">
        <v>550</v>
      </c>
      <c r="G813">
        <v>1344.9382324000001</v>
      </c>
      <c r="H813">
        <v>1340.5285644999999</v>
      </c>
      <c r="I813">
        <v>1323.8133545000001</v>
      </c>
      <c r="J813">
        <v>1320.0698242000001</v>
      </c>
      <c r="K813">
        <v>80</v>
      </c>
      <c r="L813">
        <v>79.841499329000001</v>
      </c>
      <c r="M813">
        <v>60</v>
      </c>
      <c r="N813">
        <v>55.348526001000003</v>
      </c>
    </row>
    <row r="814" spans="1:14" x14ac:dyDescent="0.25">
      <c r="A814">
        <v>787.80525</v>
      </c>
      <c r="B814" s="1">
        <f>DATE(2012,6,26) + TIME(19,19,33)</f>
        <v>41086.805243055554</v>
      </c>
      <c r="C814">
        <v>550</v>
      </c>
      <c r="D814">
        <v>0</v>
      </c>
      <c r="E814">
        <v>0</v>
      </c>
      <c r="F814">
        <v>550</v>
      </c>
      <c r="G814">
        <v>1344.9221190999999</v>
      </c>
      <c r="H814">
        <v>1340.5183105000001</v>
      </c>
      <c r="I814">
        <v>1323.7880858999999</v>
      </c>
      <c r="J814">
        <v>1320.0289307</v>
      </c>
      <c r="K814">
        <v>80</v>
      </c>
      <c r="L814">
        <v>79.841506957999997</v>
      </c>
      <c r="M814">
        <v>60</v>
      </c>
      <c r="N814">
        <v>55.247386931999998</v>
      </c>
    </row>
    <row r="815" spans="1:14" x14ac:dyDescent="0.25">
      <c r="A815">
        <v>789.49470499999995</v>
      </c>
      <c r="B815" s="1">
        <f>DATE(2012,6,28) + TIME(11,52,22)</f>
        <v>41088.494699074072</v>
      </c>
      <c r="C815">
        <v>550</v>
      </c>
      <c r="D815">
        <v>0</v>
      </c>
      <c r="E815">
        <v>0</v>
      </c>
      <c r="F815">
        <v>550</v>
      </c>
      <c r="G815">
        <v>1344.9060059000001</v>
      </c>
      <c r="H815">
        <v>1340.5080565999999</v>
      </c>
      <c r="I815">
        <v>1323.7623291</v>
      </c>
      <c r="J815">
        <v>1319.9870605000001</v>
      </c>
      <c r="K815">
        <v>80</v>
      </c>
      <c r="L815">
        <v>79.841522217000005</v>
      </c>
      <c r="M815">
        <v>60</v>
      </c>
      <c r="N815">
        <v>55.145351410000004</v>
      </c>
    </row>
    <row r="816" spans="1:14" x14ac:dyDescent="0.25">
      <c r="A816">
        <v>791.22501</v>
      </c>
      <c r="B816" s="1">
        <f>DATE(2012,6,30) + TIME(5,24,0)</f>
        <v>41090.224999999999</v>
      </c>
      <c r="C816">
        <v>550</v>
      </c>
      <c r="D816">
        <v>0</v>
      </c>
      <c r="E816">
        <v>0</v>
      </c>
      <c r="F816">
        <v>550</v>
      </c>
      <c r="G816">
        <v>1344.8898925999999</v>
      </c>
      <c r="H816">
        <v>1340.4979248</v>
      </c>
      <c r="I816">
        <v>1323.7359618999999</v>
      </c>
      <c r="J816">
        <v>1319.9442139</v>
      </c>
      <c r="K816">
        <v>80</v>
      </c>
      <c r="L816">
        <v>79.841537475999999</v>
      </c>
      <c r="M816">
        <v>60</v>
      </c>
      <c r="N816">
        <v>55.042213439999998</v>
      </c>
    </row>
    <row r="817" spans="1:14" x14ac:dyDescent="0.25">
      <c r="A817">
        <v>792</v>
      </c>
      <c r="B817" s="1">
        <f>DATE(2012,7,1) + TIME(0,0,0)</f>
        <v>41091</v>
      </c>
      <c r="C817">
        <v>550</v>
      </c>
      <c r="D817">
        <v>0</v>
      </c>
      <c r="E817">
        <v>0</v>
      </c>
      <c r="F817">
        <v>550</v>
      </c>
      <c r="G817">
        <v>1344.8736572</v>
      </c>
      <c r="H817">
        <v>1340.4875488</v>
      </c>
      <c r="I817">
        <v>1323.7111815999999</v>
      </c>
      <c r="J817">
        <v>1319.9063721</v>
      </c>
      <c r="K817">
        <v>80</v>
      </c>
      <c r="L817">
        <v>79.841506957999997</v>
      </c>
      <c r="M817">
        <v>60</v>
      </c>
      <c r="N817">
        <v>54.986812592</v>
      </c>
    </row>
    <row r="818" spans="1:14" x14ac:dyDescent="0.25">
      <c r="A818">
        <v>793.77761399999997</v>
      </c>
      <c r="B818" s="1">
        <f>DATE(2012,7,2) + TIME(18,39,45)</f>
        <v>41092.777604166666</v>
      </c>
      <c r="C818">
        <v>550</v>
      </c>
      <c r="D818">
        <v>0</v>
      </c>
      <c r="E818">
        <v>0</v>
      </c>
      <c r="F818">
        <v>550</v>
      </c>
      <c r="G818">
        <v>1344.8666992000001</v>
      </c>
      <c r="H818">
        <v>1340.4830322</v>
      </c>
      <c r="I818">
        <v>1323.6958007999999</v>
      </c>
      <c r="J818">
        <v>1319.8782959</v>
      </c>
      <c r="K818">
        <v>80</v>
      </c>
      <c r="L818">
        <v>79.841545104999994</v>
      </c>
      <c r="M818">
        <v>60</v>
      </c>
      <c r="N818">
        <v>54.885707855</v>
      </c>
    </row>
    <row r="819" spans="1:14" x14ac:dyDescent="0.25">
      <c r="A819">
        <v>795.63624100000004</v>
      </c>
      <c r="B819" s="1">
        <f>DATE(2012,7,4) + TIME(15,16,11)</f>
        <v>41094.636238425926</v>
      </c>
      <c r="C819">
        <v>550</v>
      </c>
      <c r="D819">
        <v>0</v>
      </c>
      <c r="E819">
        <v>0</v>
      </c>
      <c r="F819">
        <v>550</v>
      </c>
      <c r="G819">
        <v>1344.8507079999999</v>
      </c>
      <c r="H819">
        <v>1340.4729004000001</v>
      </c>
      <c r="I819">
        <v>1323.668457</v>
      </c>
      <c r="J819">
        <v>1319.8334961</v>
      </c>
      <c r="K819">
        <v>80</v>
      </c>
      <c r="L819">
        <v>79.841567992999998</v>
      </c>
      <c r="M819">
        <v>60</v>
      </c>
      <c r="N819">
        <v>54.781219481999997</v>
      </c>
    </row>
    <row r="820" spans="1:14" x14ac:dyDescent="0.25">
      <c r="A820">
        <v>797.54853800000001</v>
      </c>
      <c r="B820" s="1">
        <f>DATE(2012,7,6) + TIME(13,9,53)</f>
        <v>41096.548530092594</v>
      </c>
      <c r="C820">
        <v>550</v>
      </c>
      <c r="D820">
        <v>0</v>
      </c>
      <c r="E820">
        <v>0</v>
      </c>
      <c r="F820">
        <v>550</v>
      </c>
      <c r="G820">
        <v>1344.8342285000001</v>
      </c>
      <c r="H820">
        <v>1340.4624022999999</v>
      </c>
      <c r="I820">
        <v>1323.6400146000001</v>
      </c>
      <c r="J820">
        <v>1319.7867432</v>
      </c>
      <c r="K820">
        <v>80</v>
      </c>
      <c r="L820">
        <v>79.841598511000001</v>
      </c>
      <c r="M820">
        <v>60</v>
      </c>
      <c r="N820">
        <v>54.674545287999997</v>
      </c>
    </row>
    <row r="821" spans="1:14" x14ac:dyDescent="0.25">
      <c r="A821">
        <v>799.485544</v>
      </c>
      <c r="B821" s="1">
        <f>DATE(2012,7,8) + TIME(11,39,10)</f>
        <v>41098.485532407409</v>
      </c>
      <c r="C821">
        <v>550</v>
      </c>
      <c r="D821">
        <v>0</v>
      </c>
      <c r="E821">
        <v>0</v>
      </c>
      <c r="F821">
        <v>550</v>
      </c>
      <c r="G821">
        <v>1344.8175048999999</v>
      </c>
      <c r="H821">
        <v>1340.4519043</v>
      </c>
      <c r="I821">
        <v>1323.6108397999999</v>
      </c>
      <c r="J821">
        <v>1319.7385254000001</v>
      </c>
      <c r="K821">
        <v>80</v>
      </c>
      <c r="L821">
        <v>79.841621399000005</v>
      </c>
      <c r="M821">
        <v>60</v>
      </c>
      <c r="N821">
        <v>54.567073821999998</v>
      </c>
    </row>
    <row r="822" spans="1:14" x14ac:dyDescent="0.25">
      <c r="A822">
        <v>801.45745699999998</v>
      </c>
      <c r="B822" s="1">
        <f>DATE(2012,7,10) + TIME(10,58,44)</f>
        <v>41100.457453703704</v>
      </c>
      <c r="C822">
        <v>550</v>
      </c>
      <c r="D822">
        <v>0</v>
      </c>
      <c r="E822">
        <v>0</v>
      </c>
      <c r="F822">
        <v>550</v>
      </c>
      <c r="G822">
        <v>1344.8010254000001</v>
      </c>
      <c r="H822">
        <v>1340.4414062000001</v>
      </c>
      <c r="I822">
        <v>1323.5811768000001</v>
      </c>
      <c r="J822">
        <v>1319.6893310999999</v>
      </c>
      <c r="K822">
        <v>80</v>
      </c>
      <c r="L822">
        <v>79.841651916999993</v>
      </c>
      <c r="M822">
        <v>60</v>
      </c>
      <c r="N822">
        <v>54.458896637000002</v>
      </c>
    </row>
    <row r="823" spans="1:14" x14ac:dyDescent="0.25">
      <c r="A823">
        <v>803.47111299999995</v>
      </c>
      <c r="B823" s="1">
        <f>DATE(2012,7,12) + TIME(11,18,24)</f>
        <v>41102.47111111111</v>
      </c>
      <c r="C823">
        <v>550</v>
      </c>
      <c r="D823">
        <v>0</v>
      </c>
      <c r="E823">
        <v>0</v>
      </c>
      <c r="F823">
        <v>550</v>
      </c>
      <c r="G823">
        <v>1344.7845459</v>
      </c>
      <c r="H823">
        <v>1340.4309082</v>
      </c>
      <c r="I823">
        <v>1323.5511475000001</v>
      </c>
      <c r="J823">
        <v>1319.6391602000001</v>
      </c>
      <c r="K823">
        <v>80</v>
      </c>
      <c r="L823">
        <v>79.841682434000006</v>
      </c>
      <c r="M823">
        <v>60</v>
      </c>
      <c r="N823">
        <v>54.350078582999998</v>
      </c>
    </row>
    <row r="824" spans="1:14" x14ac:dyDescent="0.25">
      <c r="A824">
        <v>805.53334800000005</v>
      </c>
      <c r="B824" s="1">
        <f>DATE(2012,7,14) + TIME(12,48,1)</f>
        <v>41104.53334490741</v>
      </c>
      <c r="C824">
        <v>550</v>
      </c>
      <c r="D824">
        <v>0</v>
      </c>
      <c r="E824">
        <v>0</v>
      </c>
      <c r="F824">
        <v>550</v>
      </c>
      <c r="G824">
        <v>1344.7680664</v>
      </c>
      <c r="H824">
        <v>1340.4204102000001</v>
      </c>
      <c r="I824">
        <v>1323.5205077999999</v>
      </c>
      <c r="J824">
        <v>1319.5880127</v>
      </c>
      <c r="K824">
        <v>80</v>
      </c>
      <c r="L824">
        <v>79.841720581000004</v>
      </c>
      <c r="M824">
        <v>60</v>
      </c>
      <c r="N824">
        <v>54.240653991999999</v>
      </c>
    </row>
    <row r="825" spans="1:14" x14ac:dyDescent="0.25">
      <c r="A825">
        <v>807.64279899999997</v>
      </c>
      <c r="B825" s="1">
        <f>DATE(2012,7,16) + TIME(15,25,37)</f>
        <v>41106.642789351848</v>
      </c>
      <c r="C825">
        <v>550</v>
      </c>
      <c r="D825">
        <v>0</v>
      </c>
      <c r="E825">
        <v>0</v>
      </c>
      <c r="F825">
        <v>550</v>
      </c>
      <c r="G825">
        <v>1344.7515868999999</v>
      </c>
      <c r="H825">
        <v>1340.4097899999999</v>
      </c>
      <c r="I825">
        <v>1323.4893798999999</v>
      </c>
      <c r="J825">
        <v>1319.5356445</v>
      </c>
      <c r="K825">
        <v>80</v>
      </c>
      <c r="L825">
        <v>79.841758728000002</v>
      </c>
      <c r="M825">
        <v>60</v>
      </c>
      <c r="N825">
        <v>54.130908966</v>
      </c>
    </row>
    <row r="826" spans="1:14" x14ac:dyDescent="0.25">
      <c r="A826">
        <v>809.79492800000003</v>
      </c>
      <c r="B826" s="1">
        <f>DATE(2012,7,18) + TIME(19,4,41)</f>
        <v>41108.794918981483</v>
      </c>
      <c r="C826">
        <v>550</v>
      </c>
      <c r="D826">
        <v>0</v>
      </c>
      <c r="E826">
        <v>0</v>
      </c>
      <c r="F826">
        <v>550</v>
      </c>
      <c r="G826">
        <v>1344.7348632999999</v>
      </c>
      <c r="H826">
        <v>1340.3991699000001</v>
      </c>
      <c r="I826">
        <v>1323.4578856999999</v>
      </c>
      <c r="J826">
        <v>1319.4824219</v>
      </c>
      <c r="K826">
        <v>80</v>
      </c>
      <c r="L826">
        <v>79.841796875</v>
      </c>
      <c r="M826">
        <v>60</v>
      </c>
      <c r="N826">
        <v>54.021274566999999</v>
      </c>
    </row>
    <row r="827" spans="1:14" x14ac:dyDescent="0.25">
      <c r="A827">
        <v>811.99769000000003</v>
      </c>
      <c r="B827" s="1">
        <f>DATE(2012,7,20) + TIME(23,56,40)</f>
        <v>41110.997685185182</v>
      </c>
      <c r="C827">
        <v>550</v>
      </c>
      <c r="D827">
        <v>0</v>
      </c>
      <c r="E827">
        <v>0</v>
      </c>
      <c r="F827">
        <v>550</v>
      </c>
      <c r="G827">
        <v>1344.7182617000001</v>
      </c>
      <c r="H827">
        <v>1340.3885498</v>
      </c>
      <c r="I827">
        <v>1323.4259033000001</v>
      </c>
      <c r="J827">
        <v>1319.4282227000001</v>
      </c>
      <c r="K827">
        <v>80</v>
      </c>
      <c r="L827">
        <v>79.841850281000006</v>
      </c>
      <c r="M827">
        <v>60</v>
      </c>
      <c r="N827">
        <v>53.911849975999999</v>
      </c>
    </row>
    <row r="828" spans="1:14" x14ac:dyDescent="0.25">
      <c r="A828">
        <v>814.25949500000002</v>
      </c>
      <c r="B828" s="1">
        <f>DATE(2012,7,23) + TIME(6,13,40)</f>
        <v>41113.25949074074</v>
      </c>
      <c r="C828">
        <v>550</v>
      </c>
      <c r="D828">
        <v>0</v>
      </c>
      <c r="E828">
        <v>0</v>
      </c>
      <c r="F828">
        <v>550</v>
      </c>
      <c r="G828">
        <v>1344.7015381000001</v>
      </c>
      <c r="H828">
        <v>1340.3778076000001</v>
      </c>
      <c r="I828">
        <v>1323.3936768000001</v>
      </c>
      <c r="J828">
        <v>1319.3731689000001</v>
      </c>
      <c r="K828">
        <v>80</v>
      </c>
      <c r="L828">
        <v>79.841896057</v>
      </c>
      <c r="M828">
        <v>60</v>
      </c>
      <c r="N828">
        <v>53.802722930999998</v>
      </c>
    </row>
    <row r="829" spans="1:14" x14ac:dyDescent="0.25">
      <c r="A829">
        <v>816.58959800000002</v>
      </c>
      <c r="B829" s="1">
        <f>DATE(2012,7,25) + TIME(14,9,1)</f>
        <v>41115.589594907404</v>
      </c>
      <c r="C829">
        <v>550</v>
      </c>
      <c r="D829">
        <v>0</v>
      </c>
      <c r="E829">
        <v>0</v>
      </c>
      <c r="F829">
        <v>550</v>
      </c>
      <c r="G829">
        <v>1344.6845702999999</v>
      </c>
      <c r="H829">
        <v>1340.3669434000001</v>
      </c>
      <c r="I829">
        <v>1323.3609618999999</v>
      </c>
      <c r="J829">
        <v>1319.3168945</v>
      </c>
      <c r="K829">
        <v>80</v>
      </c>
      <c r="L829">
        <v>79.841957092000001</v>
      </c>
      <c r="M829">
        <v>60</v>
      </c>
      <c r="N829">
        <v>53.694000244000001</v>
      </c>
    </row>
    <row r="830" spans="1:14" x14ac:dyDescent="0.25">
      <c r="A830">
        <v>818.94072700000004</v>
      </c>
      <c r="B830" s="1">
        <f>DATE(2012,7,27) + TIME(22,34,38)</f>
        <v>41117.940717592595</v>
      </c>
      <c r="C830">
        <v>550</v>
      </c>
      <c r="D830">
        <v>0</v>
      </c>
      <c r="E830">
        <v>0</v>
      </c>
      <c r="F830">
        <v>550</v>
      </c>
      <c r="G830">
        <v>1344.6674805</v>
      </c>
      <c r="H830">
        <v>1340.355957</v>
      </c>
      <c r="I830">
        <v>1323.3277588000001</v>
      </c>
      <c r="J830">
        <v>1319.2598877</v>
      </c>
      <c r="K830">
        <v>80</v>
      </c>
      <c r="L830">
        <v>79.842018127000003</v>
      </c>
      <c r="M830">
        <v>60</v>
      </c>
      <c r="N830">
        <v>53.587432861000003</v>
      </c>
    </row>
    <row r="831" spans="1:14" x14ac:dyDescent="0.25">
      <c r="A831">
        <v>821.31697799999995</v>
      </c>
      <c r="B831" s="1">
        <f>DATE(2012,7,30) + TIME(7,36,26)</f>
        <v>41120.316967592589</v>
      </c>
      <c r="C831">
        <v>550</v>
      </c>
      <c r="D831">
        <v>0</v>
      </c>
      <c r="E831">
        <v>0</v>
      </c>
      <c r="F831">
        <v>550</v>
      </c>
      <c r="G831">
        <v>1344.6505127</v>
      </c>
      <c r="H831">
        <v>1340.3449707</v>
      </c>
      <c r="I831">
        <v>1323.2947998</v>
      </c>
      <c r="J831">
        <v>1319.2026367000001</v>
      </c>
      <c r="K831">
        <v>80</v>
      </c>
      <c r="L831">
        <v>79.842079162999994</v>
      </c>
      <c r="M831">
        <v>60</v>
      </c>
      <c r="N831">
        <v>53.483600615999997</v>
      </c>
    </row>
    <row r="832" spans="1:14" x14ac:dyDescent="0.25">
      <c r="A832">
        <v>823</v>
      </c>
      <c r="B832" s="1">
        <f>DATE(2012,8,1) + TIME(0,0,0)</f>
        <v>41122</v>
      </c>
      <c r="C832">
        <v>550</v>
      </c>
      <c r="D832">
        <v>0</v>
      </c>
      <c r="E832">
        <v>0</v>
      </c>
      <c r="F832">
        <v>550</v>
      </c>
      <c r="G832">
        <v>1344.6336670000001</v>
      </c>
      <c r="H832">
        <v>1340.3341064000001</v>
      </c>
      <c r="I832">
        <v>1323.2635498</v>
      </c>
      <c r="J832">
        <v>1319.1491699000001</v>
      </c>
      <c r="K832">
        <v>80</v>
      </c>
      <c r="L832">
        <v>79.842094420999999</v>
      </c>
      <c r="M832">
        <v>60</v>
      </c>
      <c r="N832">
        <v>53.403747559000003</v>
      </c>
    </row>
    <row r="833" spans="1:14" x14ac:dyDescent="0.25">
      <c r="A833">
        <v>825.40905499999997</v>
      </c>
      <c r="B833" s="1">
        <f>DATE(2012,8,3) + TIME(9,49,2)</f>
        <v>41124.409050925926</v>
      </c>
      <c r="C833">
        <v>550</v>
      </c>
      <c r="D833">
        <v>0</v>
      </c>
      <c r="E833">
        <v>0</v>
      </c>
      <c r="F833">
        <v>550</v>
      </c>
      <c r="G833">
        <v>1344.6219481999999</v>
      </c>
      <c r="H833">
        <v>1340.3264160000001</v>
      </c>
      <c r="I833">
        <v>1323.2375488</v>
      </c>
      <c r="J833">
        <v>1319.1025391000001</v>
      </c>
      <c r="K833">
        <v>80</v>
      </c>
      <c r="L833">
        <v>79.842178344999994</v>
      </c>
      <c r="M833">
        <v>60</v>
      </c>
      <c r="N833">
        <v>53.309989928999997</v>
      </c>
    </row>
    <row r="834" spans="1:14" x14ac:dyDescent="0.25">
      <c r="A834">
        <v>827.90593799999999</v>
      </c>
      <c r="B834" s="1">
        <f>DATE(2012,8,5) + TIME(21,44,33)</f>
        <v>41126.9059375</v>
      </c>
      <c r="C834">
        <v>550</v>
      </c>
      <c r="D834">
        <v>0</v>
      </c>
      <c r="E834">
        <v>0</v>
      </c>
      <c r="F834">
        <v>550</v>
      </c>
      <c r="G834">
        <v>1344.6053466999999</v>
      </c>
      <c r="H834">
        <v>1340.3156738</v>
      </c>
      <c r="I834">
        <v>1323.2058105000001</v>
      </c>
      <c r="J834">
        <v>1319.0467529</v>
      </c>
      <c r="K834">
        <v>80</v>
      </c>
      <c r="L834">
        <v>79.842262267999999</v>
      </c>
      <c r="M834">
        <v>60</v>
      </c>
      <c r="N834">
        <v>53.217781066999997</v>
      </c>
    </row>
    <row r="835" spans="1:14" x14ac:dyDescent="0.25">
      <c r="A835">
        <v>830.46529899999996</v>
      </c>
      <c r="B835" s="1">
        <f>DATE(2012,8,8) + TIME(11,10,1)</f>
        <v>41129.465289351851</v>
      </c>
      <c r="C835">
        <v>550</v>
      </c>
      <c r="D835">
        <v>0</v>
      </c>
      <c r="E835">
        <v>0</v>
      </c>
      <c r="F835">
        <v>550</v>
      </c>
      <c r="G835">
        <v>1344.5883789</v>
      </c>
      <c r="H835">
        <v>1340.3046875</v>
      </c>
      <c r="I835">
        <v>1323.1737060999999</v>
      </c>
      <c r="J835">
        <v>1318.9897461</v>
      </c>
      <c r="K835">
        <v>80</v>
      </c>
      <c r="L835">
        <v>79.842346191000004</v>
      </c>
      <c r="M835">
        <v>60</v>
      </c>
      <c r="N835">
        <v>53.128730773999997</v>
      </c>
    </row>
    <row r="836" spans="1:14" x14ac:dyDescent="0.25">
      <c r="A836">
        <v>833.097621</v>
      </c>
      <c r="B836" s="1">
        <f>DATE(2012,8,11) + TIME(2,20,34)</f>
        <v>41132.097615740742</v>
      </c>
      <c r="C836">
        <v>550</v>
      </c>
      <c r="D836">
        <v>0</v>
      </c>
      <c r="E836">
        <v>0</v>
      </c>
      <c r="F836">
        <v>550</v>
      </c>
      <c r="G836">
        <v>1344.5712891000001</v>
      </c>
      <c r="H836">
        <v>1340.2935791</v>
      </c>
      <c r="I836">
        <v>1323.1414795000001</v>
      </c>
      <c r="J836">
        <v>1318.932251</v>
      </c>
      <c r="K836">
        <v>80</v>
      </c>
      <c r="L836">
        <v>79.842430114999999</v>
      </c>
      <c r="M836">
        <v>60</v>
      </c>
      <c r="N836">
        <v>53.043815613</v>
      </c>
    </row>
    <row r="837" spans="1:14" x14ac:dyDescent="0.25">
      <c r="A837">
        <v>835.79382799999996</v>
      </c>
      <c r="B837" s="1">
        <f>DATE(2012,8,13) + TIME(19,3,6)</f>
        <v>41134.793819444443</v>
      </c>
      <c r="C837">
        <v>550</v>
      </c>
      <c r="D837">
        <v>0</v>
      </c>
      <c r="E837">
        <v>0</v>
      </c>
      <c r="F837">
        <v>550</v>
      </c>
      <c r="G837">
        <v>1344.5539550999999</v>
      </c>
      <c r="H837">
        <v>1340.2822266000001</v>
      </c>
      <c r="I837">
        <v>1323.1091309000001</v>
      </c>
      <c r="J837">
        <v>1318.8743896000001</v>
      </c>
      <c r="K837">
        <v>80</v>
      </c>
      <c r="L837">
        <v>79.842529296999999</v>
      </c>
      <c r="M837">
        <v>60</v>
      </c>
      <c r="N837">
        <v>52.964370727999999</v>
      </c>
    </row>
    <row r="838" spans="1:14" x14ac:dyDescent="0.25">
      <c r="A838">
        <v>838.54477299999996</v>
      </c>
      <c r="B838" s="1">
        <f>DATE(2012,8,16) + TIME(13,4,28)</f>
        <v>41137.544768518521</v>
      </c>
      <c r="C838">
        <v>550</v>
      </c>
      <c r="D838">
        <v>0</v>
      </c>
      <c r="E838">
        <v>0</v>
      </c>
      <c r="F838">
        <v>550</v>
      </c>
      <c r="G838">
        <v>1344.536499</v>
      </c>
      <c r="H838">
        <v>1340.2707519999999</v>
      </c>
      <c r="I838">
        <v>1323.0770264</v>
      </c>
      <c r="J838">
        <v>1318.8164062000001</v>
      </c>
      <c r="K838">
        <v>80</v>
      </c>
      <c r="L838">
        <v>79.842620850000003</v>
      </c>
      <c r="M838">
        <v>60</v>
      </c>
      <c r="N838">
        <v>52.891757964999996</v>
      </c>
    </row>
    <row r="839" spans="1:14" x14ac:dyDescent="0.25">
      <c r="A839">
        <v>841.36159099999998</v>
      </c>
      <c r="B839" s="1">
        <f>DATE(2012,8,19) + TIME(8,40,41)</f>
        <v>41140.361585648148</v>
      </c>
      <c r="C839">
        <v>550</v>
      </c>
      <c r="D839">
        <v>0</v>
      </c>
      <c r="E839">
        <v>0</v>
      </c>
      <c r="F839">
        <v>550</v>
      </c>
      <c r="G839">
        <v>1344.5189209</v>
      </c>
      <c r="H839">
        <v>1340.2591553</v>
      </c>
      <c r="I839">
        <v>1323.0452881000001</v>
      </c>
      <c r="J839">
        <v>1318.7587891000001</v>
      </c>
      <c r="K839">
        <v>80</v>
      </c>
      <c r="L839">
        <v>79.842720032000003</v>
      </c>
      <c r="M839">
        <v>60</v>
      </c>
      <c r="N839">
        <v>52.827068328999999</v>
      </c>
    </row>
    <row r="840" spans="1:14" x14ac:dyDescent="0.25">
      <c r="A840">
        <v>844.25605800000005</v>
      </c>
      <c r="B840" s="1">
        <f>DATE(2012,8,22) + TIME(6,8,43)</f>
        <v>41143.256053240744</v>
      </c>
      <c r="C840">
        <v>550</v>
      </c>
      <c r="D840">
        <v>0</v>
      </c>
      <c r="E840">
        <v>0</v>
      </c>
      <c r="F840">
        <v>550</v>
      </c>
      <c r="G840">
        <v>1344.5012207</v>
      </c>
      <c r="H840">
        <v>1340.2474365</v>
      </c>
      <c r="I840">
        <v>1323.0139160000001</v>
      </c>
      <c r="J840">
        <v>1318.7016602000001</v>
      </c>
      <c r="K840">
        <v>80</v>
      </c>
      <c r="L840">
        <v>79.842834472999996</v>
      </c>
      <c r="M840">
        <v>60</v>
      </c>
      <c r="N840">
        <v>52.771446228000002</v>
      </c>
    </row>
    <row r="841" spans="1:14" x14ac:dyDescent="0.25">
      <c r="A841">
        <v>847.24115900000004</v>
      </c>
      <c r="B841" s="1">
        <f>DATE(2012,8,25) + TIME(5,47,16)</f>
        <v>41146.241157407407</v>
      </c>
      <c r="C841">
        <v>550</v>
      </c>
      <c r="D841">
        <v>0</v>
      </c>
      <c r="E841">
        <v>0</v>
      </c>
      <c r="F841">
        <v>550</v>
      </c>
      <c r="G841">
        <v>1344.4832764</v>
      </c>
      <c r="H841">
        <v>1340.2355957</v>
      </c>
      <c r="I841">
        <v>1322.9830322</v>
      </c>
      <c r="J841">
        <v>1318.6448975000001</v>
      </c>
      <c r="K841">
        <v>80</v>
      </c>
      <c r="L841">
        <v>79.842948914000004</v>
      </c>
      <c r="M841">
        <v>60</v>
      </c>
      <c r="N841">
        <v>52.726154327000003</v>
      </c>
    </row>
    <row r="842" spans="1:14" x14ac:dyDescent="0.25">
      <c r="A842">
        <v>850.25307199999997</v>
      </c>
      <c r="B842" s="1">
        <f>DATE(2012,8,28) + TIME(6,4,25)</f>
        <v>41149.253067129626</v>
      </c>
      <c r="C842">
        <v>550</v>
      </c>
      <c r="D842">
        <v>0</v>
      </c>
      <c r="E842">
        <v>0</v>
      </c>
      <c r="F842">
        <v>550</v>
      </c>
      <c r="G842">
        <v>1344.4650879000001</v>
      </c>
      <c r="H842">
        <v>1340.2235106999999</v>
      </c>
      <c r="I842">
        <v>1322.9527588000001</v>
      </c>
      <c r="J842">
        <v>1318.5891113</v>
      </c>
      <c r="K842">
        <v>80</v>
      </c>
      <c r="L842">
        <v>79.843063353999995</v>
      </c>
      <c r="M842">
        <v>60</v>
      </c>
      <c r="N842">
        <v>52.693111420000001</v>
      </c>
    </row>
    <row r="843" spans="1:14" x14ac:dyDescent="0.25">
      <c r="A843">
        <v>853.29019400000004</v>
      </c>
      <c r="B843" s="1">
        <f>DATE(2012,8,31) + TIME(6,57,52)</f>
        <v>41152.290185185186</v>
      </c>
      <c r="C843">
        <v>550</v>
      </c>
      <c r="D843">
        <v>0</v>
      </c>
      <c r="E843">
        <v>0</v>
      </c>
      <c r="F843">
        <v>550</v>
      </c>
      <c r="G843">
        <v>1344.4468993999999</v>
      </c>
      <c r="H843">
        <v>1340.2113036999999</v>
      </c>
      <c r="I843">
        <v>1322.9235839999999</v>
      </c>
      <c r="J843">
        <v>1318.5349120999999</v>
      </c>
      <c r="K843">
        <v>80</v>
      </c>
      <c r="L843">
        <v>79.843177795000003</v>
      </c>
      <c r="M843">
        <v>60</v>
      </c>
      <c r="N843">
        <v>52.673500060999999</v>
      </c>
    </row>
    <row r="844" spans="1:14" x14ac:dyDescent="0.25">
      <c r="A844">
        <v>854</v>
      </c>
      <c r="B844" s="1">
        <f>DATE(2012,9,1) + TIME(0,0,0)</f>
        <v>41153</v>
      </c>
      <c r="C844">
        <v>550</v>
      </c>
      <c r="D844">
        <v>0</v>
      </c>
      <c r="E844">
        <v>0</v>
      </c>
      <c r="F844">
        <v>550</v>
      </c>
      <c r="G844">
        <v>1344.4287108999999</v>
      </c>
      <c r="H844">
        <v>1340.1992187999999</v>
      </c>
      <c r="I844">
        <v>1322.9029541</v>
      </c>
      <c r="J844">
        <v>1318.4951172000001</v>
      </c>
      <c r="K844">
        <v>80</v>
      </c>
      <c r="L844">
        <v>79.843162536999998</v>
      </c>
      <c r="M844">
        <v>60</v>
      </c>
      <c r="N844">
        <v>52.671649932999998</v>
      </c>
    </row>
    <row r="845" spans="1:14" x14ac:dyDescent="0.25">
      <c r="A845">
        <v>857.08097999999995</v>
      </c>
      <c r="B845" s="1">
        <f>DATE(2012,9,4) + TIME(1,56,36)</f>
        <v>41156.080972222226</v>
      </c>
      <c r="C845">
        <v>550</v>
      </c>
      <c r="D845">
        <v>0</v>
      </c>
      <c r="E845">
        <v>0</v>
      </c>
      <c r="F845">
        <v>550</v>
      </c>
      <c r="G845">
        <v>1344.4246826000001</v>
      </c>
      <c r="H845">
        <v>1340.1964111</v>
      </c>
      <c r="I845">
        <v>1322.8874512</v>
      </c>
      <c r="J845">
        <v>1318.4678954999999</v>
      </c>
      <c r="K845">
        <v>80</v>
      </c>
      <c r="L845">
        <v>79.843315125000004</v>
      </c>
      <c r="M845">
        <v>60</v>
      </c>
      <c r="N845">
        <v>52.670135498</v>
      </c>
    </row>
    <row r="846" spans="1:14" x14ac:dyDescent="0.25">
      <c r="A846">
        <v>860.23969599999998</v>
      </c>
      <c r="B846" s="1">
        <f>DATE(2012,9,7) + TIME(5,45,9)</f>
        <v>41159.239687499998</v>
      </c>
      <c r="C846">
        <v>550</v>
      </c>
      <c r="D846">
        <v>0</v>
      </c>
      <c r="E846">
        <v>0</v>
      </c>
      <c r="F846">
        <v>550</v>
      </c>
      <c r="G846">
        <v>1344.4067382999999</v>
      </c>
      <c r="H846">
        <v>1340.1843262</v>
      </c>
      <c r="I846">
        <v>1322.8619385</v>
      </c>
      <c r="J846">
        <v>1318.4197998</v>
      </c>
      <c r="K846">
        <v>80</v>
      </c>
      <c r="L846">
        <v>79.843460082999997</v>
      </c>
      <c r="M846">
        <v>60</v>
      </c>
      <c r="N846">
        <v>52.683986664000003</v>
      </c>
    </row>
    <row r="847" spans="1:14" x14ac:dyDescent="0.25">
      <c r="A847">
        <v>863.47283900000002</v>
      </c>
      <c r="B847" s="1">
        <f>DATE(2012,9,10) + TIME(11,20,53)</f>
        <v>41162.47283564815</v>
      </c>
      <c r="C847">
        <v>550</v>
      </c>
      <c r="D847">
        <v>0</v>
      </c>
      <c r="E847">
        <v>0</v>
      </c>
      <c r="F847">
        <v>550</v>
      </c>
      <c r="G847">
        <v>1344.3885498</v>
      </c>
      <c r="H847">
        <v>1340.1721190999999</v>
      </c>
      <c r="I847">
        <v>1322.8370361</v>
      </c>
      <c r="J847">
        <v>1318.3729248</v>
      </c>
      <c r="K847">
        <v>80</v>
      </c>
      <c r="L847">
        <v>79.843597411999994</v>
      </c>
      <c r="M847">
        <v>60</v>
      </c>
      <c r="N847">
        <v>52.714412689</v>
      </c>
    </row>
    <row r="848" spans="1:14" x14ac:dyDescent="0.25">
      <c r="A848">
        <v>866.79366700000003</v>
      </c>
      <c r="B848" s="1">
        <f>DATE(2012,9,13) + TIME(19,2,52)</f>
        <v>41165.793657407405</v>
      </c>
      <c r="C848">
        <v>550</v>
      </c>
      <c r="D848">
        <v>0</v>
      </c>
      <c r="E848">
        <v>0</v>
      </c>
      <c r="F848">
        <v>550</v>
      </c>
      <c r="G848">
        <v>1344.3702393000001</v>
      </c>
      <c r="H848">
        <v>1340.1597899999999</v>
      </c>
      <c r="I848">
        <v>1322.8131103999999</v>
      </c>
      <c r="J848">
        <v>1318.3277588000001</v>
      </c>
      <c r="K848">
        <v>80</v>
      </c>
      <c r="L848">
        <v>79.843742371000005</v>
      </c>
      <c r="M848">
        <v>60</v>
      </c>
      <c r="N848">
        <v>52.762577057000001</v>
      </c>
    </row>
    <row r="849" spans="1:14" x14ac:dyDescent="0.25">
      <c r="A849">
        <v>870.21659699999998</v>
      </c>
      <c r="B849" s="1">
        <f>DATE(2012,9,17) + TIME(5,11,53)</f>
        <v>41169.216585648152</v>
      </c>
      <c r="C849">
        <v>550</v>
      </c>
      <c r="D849">
        <v>0</v>
      </c>
      <c r="E849">
        <v>0</v>
      </c>
      <c r="F849">
        <v>550</v>
      </c>
      <c r="G849">
        <v>1344.3516846</v>
      </c>
      <c r="H849">
        <v>1340.1472168</v>
      </c>
      <c r="I849">
        <v>1322.7904053</v>
      </c>
      <c r="J849">
        <v>1318.284668</v>
      </c>
      <c r="K849">
        <v>80</v>
      </c>
      <c r="L849">
        <v>79.843894958000007</v>
      </c>
      <c r="M849">
        <v>60</v>
      </c>
      <c r="N849">
        <v>52.829715729</v>
      </c>
    </row>
    <row r="850" spans="1:14" x14ac:dyDescent="0.25">
      <c r="A850">
        <v>873.75381200000004</v>
      </c>
      <c r="B850" s="1">
        <f>DATE(2012,9,20) + TIME(18,5,29)</f>
        <v>41172.753807870373</v>
      </c>
      <c r="C850">
        <v>550</v>
      </c>
      <c r="D850">
        <v>0</v>
      </c>
      <c r="E850">
        <v>0</v>
      </c>
      <c r="F850">
        <v>550</v>
      </c>
      <c r="G850">
        <v>1344.3328856999999</v>
      </c>
      <c r="H850">
        <v>1340.1343993999999</v>
      </c>
      <c r="I850">
        <v>1322.7686768000001</v>
      </c>
      <c r="J850">
        <v>1318.2436522999999</v>
      </c>
      <c r="K850">
        <v>80</v>
      </c>
      <c r="L850">
        <v>79.844055175999998</v>
      </c>
      <c r="M850">
        <v>60</v>
      </c>
      <c r="N850">
        <v>52.917083740000002</v>
      </c>
    </row>
    <row r="851" spans="1:14" x14ac:dyDescent="0.25">
      <c r="A851">
        <v>877.38508100000001</v>
      </c>
      <c r="B851" s="1">
        <f>DATE(2012,9,24) + TIME(9,14,30)</f>
        <v>41176.385069444441</v>
      </c>
      <c r="C851">
        <v>550</v>
      </c>
      <c r="D851">
        <v>0</v>
      </c>
      <c r="E851">
        <v>0</v>
      </c>
      <c r="F851">
        <v>550</v>
      </c>
      <c r="G851">
        <v>1344.3137207</v>
      </c>
      <c r="H851">
        <v>1340.1213379000001</v>
      </c>
      <c r="I851">
        <v>1322.7484131000001</v>
      </c>
      <c r="J851">
        <v>1318.2050781</v>
      </c>
      <c r="K851">
        <v>80</v>
      </c>
      <c r="L851">
        <v>79.844223021999994</v>
      </c>
      <c r="M851">
        <v>60</v>
      </c>
      <c r="N851">
        <v>53.025466919000003</v>
      </c>
    </row>
    <row r="852" spans="1:14" x14ac:dyDescent="0.25">
      <c r="A852">
        <v>881.08664399999998</v>
      </c>
      <c r="B852" s="1">
        <f>DATE(2012,9,28) + TIME(2,4,46)</f>
        <v>41180.086643518516</v>
      </c>
      <c r="C852">
        <v>550</v>
      </c>
      <c r="D852">
        <v>0</v>
      </c>
      <c r="E852">
        <v>0</v>
      </c>
      <c r="F852">
        <v>550</v>
      </c>
      <c r="G852">
        <v>1344.2944336</v>
      </c>
      <c r="H852">
        <v>1340.1080322</v>
      </c>
      <c r="I852">
        <v>1322.7296143000001</v>
      </c>
      <c r="J852">
        <v>1318.1695557</v>
      </c>
      <c r="K852">
        <v>80</v>
      </c>
      <c r="L852">
        <v>79.844390868999994</v>
      </c>
      <c r="M852">
        <v>60</v>
      </c>
      <c r="N852">
        <v>53.154895781999997</v>
      </c>
    </row>
    <row r="853" spans="1:14" x14ac:dyDescent="0.25">
      <c r="A853">
        <v>884</v>
      </c>
      <c r="B853" s="1">
        <f>DATE(2012,10,1) + TIME(0,0,0)</f>
        <v>41183</v>
      </c>
      <c r="C853">
        <v>550</v>
      </c>
      <c r="D853">
        <v>0</v>
      </c>
      <c r="E853">
        <v>0</v>
      </c>
      <c r="F853">
        <v>550</v>
      </c>
      <c r="G853">
        <v>1344.2750243999999</v>
      </c>
      <c r="H853">
        <v>1340.0947266000001</v>
      </c>
      <c r="I853">
        <v>1322.7143555</v>
      </c>
      <c r="J853">
        <v>1318.1390381000001</v>
      </c>
      <c r="K853">
        <v>80</v>
      </c>
      <c r="L853">
        <v>79.844497681000007</v>
      </c>
      <c r="M853">
        <v>60</v>
      </c>
      <c r="N853">
        <v>53.286857605000002</v>
      </c>
    </row>
    <row r="854" spans="1:14" x14ac:dyDescent="0.25">
      <c r="A854">
        <v>887.74046599999997</v>
      </c>
      <c r="B854" s="1">
        <f>DATE(2012,10,4) + TIME(17,46,16)</f>
        <v>41186.74046296296</v>
      </c>
      <c r="C854">
        <v>550</v>
      </c>
      <c r="D854">
        <v>0</v>
      </c>
      <c r="E854">
        <v>0</v>
      </c>
      <c r="F854">
        <v>550</v>
      </c>
      <c r="G854">
        <v>1344.2600098</v>
      </c>
      <c r="H854">
        <v>1340.0843506000001</v>
      </c>
      <c r="I854">
        <v>1322.699707</v>
      </c>
      <c r="J854">
        <v>1318.1136475000001</v>
      </c>
      <c r="K854">
        <v>80</v>
      </c>
      <c r="L854">
        <v>79.844688415999997</v>
      </c>
      <c r="M854">
        <v>60</v>
      </c>
      <c r="N854">
        <v>53.442012787000003</v>
      </c>
    </row>
    <row r="855" spans="1:14" x14ac:dyDescent="0.25">
      <c r="A855">
        <v>891.61872300000005</v>
      </c>
      <c r="B855" s="1">
        <f>DATE(2012,10,8) + TIME(14,50,57)</f>
        <v>41190.618715277778</v>
      </c>
      <c r="C855">
        <v>550</v>
      </c>
      <c r="D855">
        <v>0</v>
      </c>
      <c r="E855">
        <v>0</v>
      </c>
      <c r="F855">
        <v>550</v>
      </c>
      <c r="G855">
        <v>1344.2410889</v>
      </c>
      <c r="H855">
        <v>1340.0712891000001</v>
      </c>
      <c r="I855">
        <v>1322.6864014</v>
      </c>
      <c r="J855">
        <v>1318.0883789</v>
      </c>
      <c r="K855">
        <v>80</v>
      </c>
      <c r="L855">
        <v>79.844879149999997</v>
      </c>
      <c r="M855">
        <v>60</v>
      </c>
      <c r="N855">
        <v>53.620643616000002</v>
      </c>
    </row>
    <row r="856" spans="1:14" x14ac:dyDescent="0.25">
      <c r="A856">
        <v>895.59357199999999</v>
      </c>
      <c r="B856" s="1">
        <f>DATE(2012,10,12) + TIME(14,14,44)</f>
        <v>41194.593564814815</v>
      </c>
      <c r="C856">
        <v>550</v>
      </c>
      <c r="D856">
        <v>0</v>
      </c>
      <c r="E856">
        <v>0</v>
      </c>
      <c r="F856">
        <v>550</v>
      </c>
      <c r="G856">
        <v>1344.2216797000001</v>
      </c>
      <c r="H856">
        <v>1340.0579834</v>
      </c>
      <c r="I856">
        <v>1322.6745605000001</v>
      </c>
      <c r="J856">
        <v>1318.065918</v>
      </c>
      <c r="K856">
        <v>80</v>
      </c>
      <c r="L856">
        <v>79.845077515</v>
      </c>
      <c r="M856">
        <v>60</v>
      </c>
      <c r="N856">
        <v>53.820205688000001</v>
      </c>
    </row>
    <row r="857" spans="1:14" x14ac:dyDescent="0.25">
      <c r="A857">
        <v>899.67435699999999</v>
      </c>
      <c r="B857" s="1">
        <f>DATE(2012,10,16) + TIME(16,11,4)</f>
        <v>41198.674351851849</v>
      </c>
      <c r="C857">
        <v>550</v>
      </c>
      <c r="D857">
        <v>0</v>
      </c>
      <c r="E857">
        <v>0</v>
      </c>
      <c r="F857">
        <v>550</v>
      </c>
      <c r="G857">
        <v>1344.2022704999999</v>
      </c>
      <c r="H857">
        <v>1340.0446777</v>
      </c>
      <c r="I857">
        <v>1322.6644286999999</v>
      </c>
      <c r="J857">
        <v>1318.046875</v>
      </c>
      <c r="K857">
        <v>80</v>
      </c>
      <c r="L857">
        <v>79.845275878999999</v>
      </c>
      <c r="M857">
        <v>60</v>
      </c>
      <c r="N857">
        <v>54.038650513</v>
      </c>
    </row>
    <row r="858" spans="1:14" x14ac:dyDescent="0.25">
      <c r="A858">
        <v>903.87669900000003</v>
      </c>
      <c r="B858" s="1">
        <f>DATE(2012,10,20) + TIME(21,2,26)</f>
        <v>41202.876689814817</v>
      </c>
      <c r="C858">
        <v>550</v>
      </c>
      <c r="D858">
        <v>0</v>
      </c>
      <c r="E858">
        <v>0</v>
      </c>
      <c r="F858">
        <v>550</v>
      </c>
      <c r="G858">
        <v>1344.1827393000001</v>
      </c>
      <c r="H858">
        <v>1340.0311279</v>
      </c>
      <c r="I858">
        <v>1322.6558838000001</v>
      </c>
      <c r="J858">
        <v>1318.0310059000001</v>
      </c>
      <c r="K858">
        <v>80</v>
      </c>
      <c r="L858">
        <v>79.845481872999997</v>
      </c>
      <c r="M858">
        <v>60</v>
      </c>
      <c r="N858">
        <v>54.274517058999997</v>
      </c>
    </row>
    <row r="859" spans="1:14" x14ac:dyDescent="0.25">
      <c r="A859">
        <v>908.20159899999999</v>
      </c>
      <c r="B859" s="1">
        <f>DATE(2012,10,25) + TIME(4,50,18)</f>
        <v>41207.201597222222</v>
      </c>
      <c r="C859">
        <v>550</v>
      </c>
      <c r="D859">
        <v>0</v>
      </c>
      <c r="E859">
        <v>0</v>
      </c>
      <c r="F859">
        <v>550</v>
      </c>
      <c r="G859">
        <v>1344.1630858999999</v>
      </c>
      <c r="H859">
        <v>1340.0175781</v>
      </c>
      <c r="I859">
        <v>1322.6490478999999</v>
      </c>
      <c r="J859">
        <v>1318.0184326000001</v>
      </c>
      <c r="K859">
        <v>80</v>
      </c>
      <c r="L859">
        <v>79.845687866000006</v>
      </c>
      <c r="M859">
        <v>60</v>
      </c>
      <c r="N859">
        <v>54.526145935000002</v>
      </c>
    </row>
    <row r="860" spans="1:14" x14ac:dyDescent="0.25">
      <c r="A860">
        <v>912.67093299999999</v>
      </c>
      <c r="B860" s="1">
        <f>DATE(2012,10,29) + TIME(16,6,8)</f>
        <v>41211.670925925922</v>
      </c>
      <c r="C860">
        <v>550</v>
      </c>
      <c r="D860">
        <v>0</v>
      </c>
      <c r="E860">
        <v>0</v>
      </c>
      <c r="F860">
        <v>550</v>
      </c>
      <c r="G860">
        <v>1344.1431885</v>
      </c>
      <c r="H860">
        <v>1340.0039062000001</v>
      </c>
      <c r="I860">
        <v>1322.644043</v>
      </c>
      <c r="J860">
        <v>1318.0091553</v>
      </c>
      <c r="K860">
        <v>80</v>
      </c>
      <c r="L860">
        <v>79.845916747999993</v>
      </c>
      <c r="M860">
        <v>60</v>
      </c>
      <c r="N860">
        <v>54.792186737000002</v>
      </c>
    </row>
    <row r="861" spans="1:14" x14ac:dyDescent="0.25">
      <c r="A861">
        <v>915</v>
      </c>
      <c r="B861" s="1">
        <f>DATE(2012,11,1) + TIME(0,0,0)</f>
        <v>41214</v>
      </c>
      <c r="C861">
        <v>550</v>
      </c>
      <c r="D861">
        <v>0</v>
      </c>
      <c r="E861">
        <v>0</v>
      </c>
      <c r="F861">
        <v>550</v>
      </c>
      <c r="G861">
        <v>1344.1231689000001</v>
      </c>
      <c r="H861">
        <v>1339.9902344</v>
      </c>
      <c r="I861">
        <v>1322.6452637</v>
      </c>
      <c r="J861">
        <v>1318.0053711</v>
      </c>
      <c r="K861">
        <v>80</v>
      </c>
      <c r="L861">
        <v>79.845970154</v>
      </c>
      <c r="M861">
        <v>60</v>
      </c>
      <c r="N861">
        <v>54.991611481</v>
      </c>
    </row>
    <row r="862" spans="1:14" x14ac:dyDescent="0.25">
      <c r="A862">
        <v>915.000001</v>
      </c>
      <c r="B862" s="1">
        <f>DATE(2012,11,1) + TIME(0,0,0)</f>
        <v>41214</v>
      </c>
      <c r="C862">
        <v>0</v>
      </c>
      <c r="D862">
        <v>550</v>
      </c>
      <c r="E862">
        <v>550</v>
      </c>
      <c r="F862">
        <v>0</v>
      </c>
      <c r="G862">
        <v>1339.7904053</v>
      </c>
      <c r="H862">
        <v>1338.1156006000001</v>
      </c>
      <c r="I862">
        <v>1327.8610839999999</v>
      </c>
      <c r="J862">
        <v>1322.8831786999999</v>
      </c>
      <c r="K862">
        <v>80</v>
      </c>
      <c r="L862">
        <v>79.845939635999997</v>
      </c>
      <c r="M862">
        <v>60</v>
      </c>
      <c r="N862">
        <v>54.991641997999999</v>
      </c>
    </row>
    <row r="863" spans="1:14" x14ac:dyDescent="0.25">
      <c r="A863">
        <v>915.00000399999999</v>
      </c>
      <c r="B863" s="1">
        <f>DATE(2012,11,1) + TIME(0,0,0)</f>
        <v>41214</v>
      </c>
      <c r="C863">
        <v>0</v>
      </c>
      <c r="D863">
        <v>550</v>
      </c>
      <c r="E863">
        <v>550</v>
      </c>
      <c r="F863">
        <v>0</v>
      </c>
      <c r="G863">
        <v>1339.2856445</v>
      </c>
      <c r="H863">
        <v>1337.6105957</v>
      </c>
      <c r="I863">
        <v>1328.4172363</v>
      </c>
      <c r="J863">
        <v>1323.5090332</v>
      </c>
      <c r="K863">
        <v>80</v>
      </c>
      <c r="L863">
        <v>79.845870972</v>
      </c>
      <c r="M863">
        <v>60</v>
      </c>
      <c r="N863">
        <v>54.991729736000003</v>
      </c>
    </row>
    <row r="864" spans="1:14" x14ac:dyDescent="0.25">
      <c r="A864">
        <v>915.00001299999997</v>
      </c>
      <c r="B864" s="1">
        <f>DATE(2012,11,1) + TIME(0,0,1)</f>
        <v>41214.000011574077</v>
      </c>
      <c r="C864">
        <v>0</v>
      </c>
      <c r="D864">
        <v>550</v>
      </c>
      <c r="E864">
        <v>550</v>
      </c>
      <c r="F864">
        <v>0</v>
      </c>
      <c r="G864">
        <v>1338.265625</v>
      </c>
      <c r="H864">
        <v>1336.588501</v>
      </c>
      <c r="I864">
        <v>1329.6810303</v>
      </c>
      <c r="J864">
        <v>1324.8774414</v>
      </c>
      <c r="K864">
        <v>80</v>
      </c>
      <c r="L864">
        <v>79.845726013000004</v>
      </c>
      <c r="M864">
        <v>60</v>
      </c>
      <c r="N864">
        <v>54.991920471</v>
      </c>
    </row>
    <row r="865" spans="1:14" x14ac:dyDescent="0.25">
      <c r="A865">
        <v>915.00004000000001</v>
      </c>
      <c r="B865" s="1">
        <f>DATE(2012,11,1) + TIME(0,0,3)</f>
        <v>41214.000034722223</v>
      </c>
      <c r="C865">
        <v>0</v>
      </c>
      <c r="D865">
        <v>550</v>
      </c>
      <c r="E865">
        <v>550</v>
      </c>
      <c r="F865">
        <v>0</v>
      </c>
      <c r="G865">
        <v>1336.7696533000001</v>
      </c>
      <c r="H865">
        <v>1335.0812988</v>
      </c>
      <c r="I865">
        <v>1331.8276367000001</v>
      </c>
      <c r="J865">
        <v>1327.0740966999999</v>
      </c>
      <c r="K865">
        <v>80</v>
      </c>
      <c r="L865">
        <v>79.845512389999996</v>
      </c>
      <c r="M865">
        <v>60</v>
      </c>
      <c r="N865">
        <v>54.992248535000002</v>
      </c>
    </row>
    <row r="866" spans="1:14" x14ac:dyDescent="0.25">
      <c r="A866">
        <v>915.00012100000004</v>
      </c>
      <c r="B866" s="1">
        <f>DATE(2012,11,1) + TIME(0,0,10)</f>
        <v>41214.000115740739</v>
      </c>
      <c r="C866">
        <v>0</v>
      </c>
      <c r="D866">
        <v>550</v>
      </c>
      <c r="E866">
        <v>550</v>
      </c>
      <c r="F866">
        <v>0</v>
      </c>
      <c r="G866">
        <v>1335.081543</v>
      </c>
      <c r="H866">
        <v>1333.3652344</v>
      </c>
      <c r="I866">
        <v>1334.5268555</v>
      </c>
      <c r="J866">
        <v>1329.7475586</v>
      </c>
      <c r="K866">
        <v>80</v>
      </c>
      <c r="L866">
        <v>79.845260620000005</v>
      </c>
      <c r="M866">
        <v>60</v>
      </c>
      <c r="N866">
        <v>54.992721558</v>
      </c>
    </row>
    <row r="867" spans="1:14" x14ac:dyDescent="0.25">
      <c r="A867">
        <v>915.00036399999999</v>
      </c>
      <c r="B867" s="1">
        <f>DATE(2012,11,1) + TIME(0,0,31)</f>
        <v>41214.000358796293</v>
      </c>
      <c r="C867">
        <v>0</v>
      </c>
      <c r="D867">
        <v>550</v>
      </c>
      <c r="E867">
        <v>550</v>
      </c>
      <c r="F867">
        <v>0</v>
      </c>
      <c r="G867">
        <v>1333.3245850000001</v>
      </c>
      <c r="H867">
        <v>1331.534668</v>
      </c>
      <c r="I867">
        <v>1337.3804932</v>
      </c>
      <c r="J867">
        <v>1332.5548096</v>
      </c>
      <c r="K867">
        <v>80</v>
      </c>
      <c r="L867">
        <v>79.844978333</v>
      </c>
      <c r="M867">
        <v>60</v>
      </c>
      <c r="N867">
        <v>54.993473053000002</v>
      </c>
    </row>
    <row r="868" spans="1:14" x14ac:dyDescent="0.25">
      <c r="A868">
        <v>915.00109299999997</v>
      </c>
      <c r="B868" s="1">
        <f>DATE(2012,11,1) + TIME(0,1,34)</f>
        <v>41214.001087962963</v>
      </c>
      <c r="C868">
        <v>0</v>
      </c>
      <c r="D868">
        <v>550</v>
      </c>
      <c r="E868">
        <v>550</v>
      </c>
      <c r="F868">
        <v>0</v>
      </c>
      <c r="G868">
        <v>1331.5212402</v>
      </c>
      <c r="H868">
        <v>1329.5895995999999</v>
      </c>
      <c r="I868">
        <v>1340.203125</v>
      </c>
      <c r="J868">
        <v>1335.3248291</v>
      </c>
      <c r="K868">
        <v>80</v>
      </c>
      <c r="L868">
        <v>79.844619750999996</v>
      </c>
      <c r="M868">
        <v>60</v>
      </c>
      <c r="N868">
        <v>54.995018004999999</v>
      </c>
    </row>
    <row r="869" spans="1:14" x14ac:dyDescent="0.25">
      <c r="A869">
        <v>915.00328000000002</v>
      </c>
      <c r="B869" s="1">
        <f>DATE(2012,11,1) + TIME(0,4,43)</f>
        <v>41214.003275462965</v>
      </c>
      <c r="C869">
        <v>0</v>
      </c>
      <c r="D869">
        <v>550</v>
      </c>
      <c r="E869">
        <v>550</v>
      </c>
      <c r="F869">
        <v>0</v>
      </c>
      <c r="G869">
        <v>1329.8673096</v>
      </c>
      <c r="H869">
        <v>1327.7839355000001</v>
      </c>
      <c r="I869">
        <v>1342.6295166</v>
      </c>
      <c r="J869">
        <v>1337.6966553</v>
      </c>
      <c r="K869">
        <v>80</v>
      </c>
      <c r="L869">
        <v>79.844055175999998</v>
      </c>
      <c r="M869">
        <v>60</v>
      </c>
      <c r="N869">
        <v>54.998916626000003</v>
      </c>
    </row>
    <row r="870" spans="1:14" x14ac:dyDescent="0.25">
      <c r="A870">
        <v>915.00984100000005</v>
      </c>
      <c r="B870" s="1">
        <f>DATE(2012,11,1) + TIME(0,14,10)</f>
        <v>41214.009837962964</v>
      </c>
      <c r="C870">
        <v>0</v>
      </c>
      <c r="D870">
        <v>550</v>
      </c>
      <c r="E870">
        <v>550</v>
      </c>
      <c r="F870">
        <v>0</v>
      </c>
      <c r="G870">
        <v>1328.6400146000001</v>
      </c>
      <c r="H870">
        <v>1326.4785156</v>
      </c>
      <c r="I870">
        <v>1344.2348632999999</v>
      </c>
      <c r="J870">
        <v>1339.2617187999999</v>
      </c>
      <c r="K870">
        <v>80</v>
      </c>
      <c r="L870">
        <v>79.842880249000004</v>
      </c>
      <c r="M870">
        <v>60</v>
      </c>
      <c r="N870">
        <v>55.009971618999998</v>
      </c>
    </row>
    <row r="871" spans="1:14" x14ac:dyDescent="0.25">
      <c r="A871">
        <v>915.02952400000004</v>
      </c>
      <c r="B871" s="1">
        <f>DATE(2012,11,1) + TIME(0,42,30)</f>
        <v>41214.029513888891</v>
      </c>
      <c r="C871">
        <v>0</v>
      </c>
      <c r="D871">
        <v>550</v>
      </c>
      <c r="E871">
        <v>550</v>
      </c>
      <c r="F871">
        <v>0</v>
      </c>
      <c r="G871">
        <v>1327.9274902</v>
      </c>
      <c r="H871">
        <v>1325.7459716999999</v>
      </c>
      <c r="I871">
        <v>1345.0014647999999</v>
      </c>
      <c r="J871">
        <v>1340.0075684000001</v>
      </c>
      <c r="K871">
        <v>80</v>
      </c>
      <c r="L871">
        <v>79.839759826999995</v>
      </c>
      <c r="M871">
        <v>60</v>
      </c>
      <c r="N871">
        <v>55.042556763</v>
      </c>
    </row>
    <row r="872" spans="1:14" x14ac:dyDescent="0.25">
      <c r="A872">
        <v>915.088573</v>
      </c>
      <c r="B872" s="1">
        <f>DATE(2012,11,1) + TIME(2,7,32)</f>
        <v>41214.088564814818</v>
      </c>
      <c r="C872">
        <v>0</v>
      </c>
      <c r="D872">
        <v>550</v>
      </c>
      <c r="E872">
        <v>550</v>
      </c>
      <c r="F872">
        <v>0</v>
      </c>
      <c r="G872">
        <v>1327.6075439000001</v>
      </c>
      <c r="H872">
        <v>1325.4234618999999</v>
      </c>
      <c r="I872">
        <v>1345.2142334</v>
      </c>
      <c r="J872">
        <v>1340.2216797000001</v>
      </c>
      <c r="K872">
        <v>80</v>
      </c>
      <c r="L872">
        <v>79.830741881999998</v>
      </c>
      <c r="M872">
        <v>60</v>
      </c>
      <c r="N872">
        <v>55.138221741000002</v>
      </c>
    </row>
    <row r="873" spans="1:14" x14ac:dyDescent="0.25">
      <c r="A873">
        <v>915.25476800000001</v>
      </c>
      <c r="B873" s="1">
        <f>DATE(2012,11,1) + TIME(6,6,51)</f>
        <v>41214.254756944443</v>
      </c>
      <c r="C873">
        <v>0</v>
      </c>
      <c r="D873">
        <v>550</v>
      </c>
      <c r="E873">
        <v>550</v>
      </c>
      <c r="F873">
        <v>0</v>
      </c>
      <c r="G873">
        <v>1327.5107422000001</v>
      </c>
      <c r="H873">
        <v>1325.3260498</v>
      </c>
      <c r="I873">
        <v>1345.1756591999999</v>
      </c>
      <c r="J873">
        <v>1340.2093506000001</v>
      </c>
      <c r="K873">
        <v>80</v>
      </c>
      <c r="L873">
        <v>79.806144713999998</v>
      </c>
      <c r="M873">
        <v>60</v>
      </c>
      <c r="N873">
        <v>55.392471313000001</v>
      </c>
    </row>
    <row r="874" spans="1:14" x14ac:dyDescent="0.25">
      <c r="A874">
        <v>915.42520200000001</v>
      </c>
      <c r="B874" s="1">
        <f>DATE(2012,11,1) + TIME(10,12,17)</f>
        <v>41214.425196759257</v>
      </c>
      <c r="C874">
        <v>0</v>
      </c>
      <c r="D874">
        <v>550</v>
      </c>
      <c r="E874">
        <v>550</v>
      </c>
      <c r="F874">
        <v>0</v>
      </c>
      <c r="G874">
        <v>1327.4929199000001</v>
      </c>
      <c r="H874">
        <v>1325.3067627</v>
      </c>
      <c r="I874">
        <v>1345.1375731999999</v>
      </c>
      <c r="J874">
        <v>1340.1895752</v>
      </c>
      <c r="K874">
        <v>80</v>
      </c>
      <c r="L874">
        <v>79.781219481999997</v>
      </c>
      <c r="M874">
        <v>60</v>
      </c>
      <c r="N874">
        <v>55.638782501000001</v>
      </c>
    </row>
    <row r="875" spans="1:14" x14ac:dyDescent="0.25">
      <c r="A875">
        <v>915.60057900000004</v>
      </c>
      <c r="B875" s="1">
        <f>DATE(2012,11,1) + TIME(14,24,50)</f>
        <v>41214.600578703707</v>
      </c>
      <c r="C875">
        <v>0</v>
      </c>
      <c r="D875">
        <v>550</v>
      </c>
      <c r="E875">
        <v>550</v>
      </c>
      <c r="F875">
        <v>0</v>
      </c>
      <c r="G875">
        <v>1327.4864502</v>
      </c>
      <c r="H875">
        <v>1325.2988281</v>
      </c>
      <c r="I875">
        <v>1345.1037598</v>
      </c>
      <c r="J875">
        <v>1340.1733397999999</v>
      </c>
      <c r="K875">
        <v>80</v>
      </c>
      <c r="L875">
        <v>79.755874633999994</v>
      </c>
      <c r="M875">
        <v>60</v>
      </c>
      <c r="N875">
        <v>55.877834319999998</v>
      </c>
    </row>
    <row r="876" spans="1:14" x14ac:dyDescent="0.25">
      <c r="A876">
        <v>915.78125899999998</v>
      </c>
      <c r="B876" s="1">
        <f>DATE(2012,11,1) + TIME(18,45,0)</f>
        <v>41214.78125</v>
      </c>
      <c r="C876">
        <v>0</v>
      </c>
      <c r="D876">
        <v>550</v>
      </c>
      <c r="E876">
        <v>550</v>
      </c>
      <c r="F876">
        <v>0</v>
      </c>
      <c r="G876">
        <v>1327.4816894999999</v>
      </c>
      <c r="H876">
        <v>1325.2926024999999</v>
      </c>
      <c r="I876">
        <v>1345.0726318</v>
      </c>
      <c r="J876">
        <v>1340.1589355000001</v>
      </c>
      <c r="K876">
        <v>80</v>
      </c>
      <c r="L876">
        <v>79.730064392000003</v>
      </c>
      <c r="M876">
        <v>60</v>
      </c>
      <c r="N876">
        <v>56.109718323000003</v>
      </c>
    </row>
    <row r="877" spans="1:14" x14ac:dyDescent="0.25">
      <c r="A877">
        <v>915.96761000000004</v>
      </c>
      <c r="B877" s="1">
        <f>DATE(2012,11,1) + TIME(23,13,21)</f>
        <v>41214.967604166668</v>
      </c>
      <c r="C877">
        <v>0</v>
      </c>
      <c r="D877">
        <v>550</v>
      </c>
      <c r="E877">
        <v>550</v>
      </c>
      <c r="F877">
        <v>0</v>
      </c>
      <c r="G877">
        <v>1327.4771728999999</v>
      </c>
      <c r="H877">
        <v>1325.286499</v>
      </c>
      <c r="I877">
        <v>1345.0433350000001</v>
      </c>
      <c r="J877">
        <v>1340.1455077999999</v>
      </c>
      <c r="K877">
        <v>80</v>
      </c>
      <c r="L877">
        <v>79.703765868999994</v>
      </c>
      <c r="M877">
        <v>60</v>
      </c>
      <c r="N877">
        <v>56.334495543999999</v>
      </c>
    </row>
    <row r="878" spans="1:14" x14ac:dyDescent="0.25">
      <c r="A878">
        <v>916.16010300000005</v>
      </c>
      <c r="B878" s="1">
        <f>DATE(2012,11,2) + TIME(3,50,32)</f>
        <v>41215.160092592596</v>
      </c>
      <c r="C878">
        <v>0</v>
      </c>
      <c r="D878">
        <v>550</v>
      </c>
      <c r="E878">
        <v>550</v>
      </c>
      <c r="F878">
        <v>0</v>
      </c>
      <c r="G878">
        <v>1327.4725341999999</v>
      </c>
      <c r="H878">
        <v>1325.2801514</v>
      </c>
      <c r="I878">
        <v>1345.015625</v>
      </c>
      <c r="J878">
        <v>1340.1329346</v>
      </c>
      <c r="K878">
        <v>80</v>
      </c>
      <c r="L878">
        <v>79.676918029999996</v>
      </c>
      <c r="M878">
        <v>60</v>
      </c>
      <c r="N878">
        <v>56.552280426000003</v>
      </c>
    </row>
    <row r="879" spans="1:14" x14ac:dyDescent="0.25">
      <c r="A879">
        <v>916.35923700000001</v>
      </c>
      <c r="B879" s="1">
        <f>DATE(2012,11,2) + TIME(8,37,18)</f>
        <v>41215.359236111108</v>
      </c>
      <c r="C879">
        <v>0</v>
      </c>
      <c r="D879">
        <v>550</v>
      </c>
      <c r="E879">
        <v>550</v>
      </c>
      <c r="F879">
        <v>0</v>
      </c>
      <c r="G879">
        <v>1327.4677733999999</v>
      </c>
      <c r="H879">
        <v>1325.2736815999999</v>
      </c>
      <c r="I879">
        <v>1344.9893798999999</v>
      </c>
      <c r="J879">
        <v>1340.1209716999999</v>
      </c>
      <c r="K879">
        <v>80</v>
      </c>
      <c r="L879">
        <v>79.649482727000006</v>
      </c>
      <c r="M879">
        <v>60</v>
      </c>
      <c r="N879">
        <v>56.763160706000001</v>
      </c>
    </row>
    <row r="880" spans="1:14" x14ac:dyDescent="0.25">
      <c r="A880">
        <v>916.56555300000002</v>
      </c>
      <c r="B880" s="1">
        <f>DATE(2012,11,2) + TIME(13,34,23)</f>
        <v>41215.56554398148</v>
      </c>
      <c r="C880">
        <v>0</v>
      </c>
      <c r="D880">
        <v>550</v>
      </c>
      <c r="E880">
        <v>550</v>
      </c>
      <c r="F880">
        <v>0</v>
      </c>
      <c r="G880">
        <v>1327.4627685999999</v>
      </c>
      <c r="H880">
        <v>1325.2668457</v>
      </c>
      <c r="I880">
        <v>1344.9643555</v>
      </c>
      <c r="J880">
        <v>1340.1097411999999</v>
      </c>
      <c r="K880">
        <v>80</v>
      </c>
      <c r="L880">
        <v>79.621406554999993</v>
      </c>
      <c r="M880">
        <v>60</v>
      </c>
      <c r="N880">
        <v>56.967185974000003</v>
      </c>
    </row>
    <row r="881" spans="1:14" x14ac:dyDescent="0.25">
      <c r="A881">
        <v>916.77965500000005</v>
      </c>
      <c r="B881" s="1">
        <f>DATE(2012,11,2) + TIME(18,42,42)</f>
        <v>41215.779652777775</v>
      </c>
      <c r="C881">
        <v>0</v>
      </c>
      <c r="D881">
        <v>550</v>
      </c>
      <c r="E881">
        <v>550</v>
      </c>
      <c r="F881">
        <v>0</v>
      </c>
      <c r="G881">
        <v>1327.4576416</v>
      </c>
      <c r="H881">
        <v>1325.2596435999999</v>
      </c>
      <c r="I881">
        <v>1344.9406738</v>
      </c>
      <c r="J881">
        <v>1340.098999</v>
      </c>
      <c r="K881">
        <v>80</v>
      </c>
      <c r="L881">
        <v>79.592643738000007</v>
      </c>
      <c r="M881">
        <v>60</v>
      </c>
      <c r="N881">
        <v>57.164405823000003</v>
      </c>
    </row>
    <row r="882" spans="1:14" x14ac:dyDescent="0.25">
      <c r="A882">
        <v>917.00221399999998</v>
      </c>
      <c r="B882" s="1">
        <f>DATE(2012,11,3) + TIME(0,3,11)</f>
        <v>41216.002210648148</v>
      </c>
      <c r="C882">
        <v>0</v>
      </c>
      <c r="D882">
        <v>550</v>
      </c>
      <c r="E882">
        <v>550</v>
      </c>
      <c r="F882">
        <v>0</v>
      </c>
      <c r="G882">
        <v>1327.4521483999999</v>
      </c>
      <c r="H882">
        <v>1325.2521973</v>
      </c>
      <c r="I882">
        <v>1344.9180908000001</v>
      </c>
      <c r="J882">
        <v>1340.0887451000001</v>
      </c>
      <c r="K882">
        <v>80</v>
      </c>
      <c r="L882">
        <v>79.563117981000005</v>
      </c>
      <c r="M882">
        <v>60</v>
      </c>
      <c r="N882">
        <v>57.354854584000002</v>
      </c>
    </row>
    <row r="883" spans="1:14" x14ac:dyDescent="0.25">
      <c r="A883">
        <v>917.23398199999997</v>
      </c>
      <c r="B883" s="1">
        <f>DATE(2012,11,3) + TIME(5,36,56)</f>
        <v>41216.233981481484</v>
      </c>
      <c r="C883">
        <v>0</v>
      </c>
      <c r="D883">
        <v>550</v>
      </c>
      <c r="E883">
        <v>550</v>
      </c>
      <c r="F883">
        <v>0</v>
      </c>
      <c r="G883">
        <v>1327.4465332</v>
      </c>
      <c r="H883">
        <v>1325.2445068</v>
      </c>
      <c r="I883">
        <v>1344.8967285000001</v>
      </c>
      <c r="J883">
        <v>1340.0789795000001</v>
      </c>
      <c r="K883">
        <v>80</v>
      </c>
      <c r="L883">
        <v>79.532760620000005</v>
      </c>
      <c r="M883">
        <v>60</v>
      </c>
      <c r="N883">
        <v>57.538547516000001</v>
      </c>
    </row>
    <row r="884" spans="1:14" x14ac:dyDescent="0.25">
      <c r="A884">
        <v>917.47580400000004</v>
      </c>
      <c r="B884" s="1">
        <f>DATE(2012,11,3) + TIME(11,25,9)</f>
        <v>41216.475798611114</v>
      </c>
      <c r="C884">
        <v>0</v>
      </c>
      <c r="D884">
        <v>550</v>
      </c>
      <c r="E884">
        <v>550</v>
      </c>
      <c r="F884">
        <v>0</v>
      </c>
      <c r="G884">
        <v>1327.4406738</v>
      </c>
      <c r="H884">
        <v>1325.2363281</v>
      </c>
      <c r="I884">
        <v>1344.8763428</v>
      </c>
      <c r="J884">
        <v>1340.0697021000001</v>
      </c>
      <c r="K884">
        <v>80</v>
      </c>
      <c r="L884">
        <v>79.501518250000004</v>
      </c>
      <c r="M884">
        <v>60</v>
      </c>
      <c r="N884">
        <v>57.715503693000002</v>
      </c>
    </row>
    <row r="885" spans="1:14" x14ac:dyDescent="0.25">
      <c r="A885">
        <v>917.72863600000005</v>
      </c>
      <c r="B885" s="1">
        <f>DATE(2012,11,3) + TIME(17,29,14)</f>
        <v>41216.728634259256</v>
      </c>
      <c r="C885">
        <v>0</v>
      </c>
      <c r="D885">
        <v>550</v>
      </c>
      <c r="E885">
        <v>550</v>
      </c>
      <c r="F885">
        <v>0</v>
      </c>
      <c r="G885">
        <v>1327.4344481999999</v>
      </c>
      <c r="H885">
        <v>1325.2279053</v>
      </c>
      <c r="I885">
        <v>1344.8569336</v>
      </c>
      <c r="J885">
        <v>1340.0607910000001</v>
      </c>
      <c r="K885">
        <v>80</v>
      </c>
      <c r="L885">
        <v>79.469284058</v>
      </c>
      <c r="M885">
        <v>60</v>
      </c>
      <c r="N885">
        <v>57.885711669999999</v>
      </c>
    </row>
    <row r="886" spans="1:14" x14ac:dyDescent="0.25">
      <c r="A886">
        <v>917.993561</v>
      </c>
      <c r="B886" s="1">
        <f>DATE(2012,11,3) + TIME(23,50,43)</f>
        <v>41216.99355324074</v>
      </c>
      <c r="C886">
        <v>0</v>
      </c>
      <c r="D886">
        <v>550</v>
      </c>
      <c r="E886">
        <v>550</v>
      </c>
      <c r="F886">
        <v>0</v>
      </c>
      <c r="G886">
        <v>1327.4279785000001</v>
      </c>
      <c r="H886">
        <v>1325.2188721</v>
      </c>
      <c r="I886">
        <v>1344.8383789</v>
      </c>
      <c r="J886">
        <v>1340.0522461</v>
      </c>
      <c r="K886">
        <v>80</v>
      </c>
      <c r="L886">
        <v>79.435974121000001</v>
      </c>
      <c r="M886">
        <v>60</v>
      </c>
      <c r="N886">
        <v>58.049167633000003</v>
      </c>
    </row>
    <row r="887" spans="1:14" x14ac:dyDescent="0.25">
      <c r="A887">
        <v>918.27178900000001</v>
      </c>
      <c r="B887" s="1">
        <f>DATE(2012,11,4) + TIME(6,31,22)</f>
        <v>41217.271782407406</v>
      </c>
      <c r="C887">
        <v>0</v>
      </c>
      <c r="D887">
        <v>550</v>
      </c>
      <c r="E887">
        <v>550</v>
      </c>
      <c r="F887">
        <v>0</v>
      </c>
      <c r="G887">
        <v>1327.4212646000001</v>
      </c>
      <c r="H887">
        <v>1325.2094727000001</v>
      </c>
      <c r="I887">
        <v>1344.8208007999999</v>
      </c>
      <c r="J887">
        <v>1340.0440673999999</v>
      </c>
      <c r="K887">
        <v>80</v>
      </c>
      <c r="L887">
        <v>79.401481627999999</v>
      </c>
      <c r="M887">
        <v>60</v>
      </c>
      <c r="N887">
        <v>58.205829620000003</v>
      </c>
    </row>
    <row r="888" spans="1:14" x14ac:dyDescent="0.25">
      <c r="A888">
        <v>918.56472900000006</v>
      </c>
      <c r="B888" s="1">
        <f>DATE(2012,11,4) + TIME(13,33,12)</f>
        <v>41217.564722222225</v>
      </c>
      <c r="C888">
        <v>0</v>
      </c>
      <c r="D888">
        <v>550</v>
      </c>
      <c r="E888">
        <v>550</v>
      </c>
      <c r="F888">
        <v>0</v>
      </c>
      <c r="G888">
        <v>1327.4140625</v>
      </c>
      <c r="H888">
        <v>1325.1995850000001</v>
      </c>
      <c r="I888">
        <v>1344.8038329999999</v>
      </c>
      <c r="J888">
        <v>1340.0360106999999</v>
      </c>
      <c r="K888">
        <v>80</v>
      </c>
      <c r="L888">
        <v>79.365684509000005</v>
      </c>
      <c r="M888">
        <v>60</v>
      </c>
      <c r="N888">
        <v>58.355667113999999</v>
      </c>
    </row>
    <row r="889" spans="1:14" x14ac:dyDescent="0.25">
      <c r="A889">
        <v>918.87405999999999</v>
      </c>
      <c r="B889" s="1">
        <f>DATE(2012,11,4) + TIME(20,58,38)</f>
        <v>41217.874050925922</v>
      </c>
      <c r="C889">
        <v>0</v>
      </c>
      <c r="D889">
        <v>550</v>
      </c>
      <c r="E889">
        <v>550</v>
      </c>
      <c r="F889">
        <v>0</v>
      </c>
      <c r="G889">
        <v>1327.4064940999999</v>
      </c>
      <c r="H889">
        <v>1325.1890868999999</v>
      </c>
      <c r="I889">
        <v>1344.7875977000001</v>
      </c>
      <c r="J889">
        <v>1340.0283202999999</v>
      </c>
      <c r="K889">
        <v>80</v>
      </c>
      <c r="L889">
        <v>79.328445435000006</v>
      </c>
      <c r="M889">
        <v>60</v>
      </c>
      <c r="N889">
        <v>58.498664855999998</v>
      </c>
    </row>
    <row r="890" spans="1:14" x14ac:dyDescent="0.25">
      <c r="A890">
        <v>919.20169699999997</v>
      </c>
      <c r="B890" s="1">
        <f>DATE(2012,11,5) + TIME(4,50,26)</f>
        <v>41218.201689814814</v>
      </c>
      <c r="C890">
        <v>0</v>
      </c>
      <c r="D890">
        <v>550</v>
      </c>
      <c r="E890">
        <v>550</v>
      </c>
      <c r="F890">
        <v>0</v>
      </c>
      <c r="G890">
        <v>1327.3985596</v>
      </c>
      <c r="H890">
        <v>1325.1779785000001</v>
      </c>
      <c r="I890">
        <v>1344.7720947</v>
      </c>
      <c r="J890">
        <v>1340.0207519999999</v>
      </c>
      <c r="K890">
        <v>80</v>
      </c>
      <c r="L890">
        <v>79.289604186999995</v>
      </c>
      <c r="M890">
        <v>60</v>
      </c>
      <c r="N890">
        <v>58.634765625</v>
      </c>
    </row>
    <row r="891" spans="1:14" x14ac:dyDescent="0.25">
      <c r="A891">
        <v>919.54989399999999</v>
      </c>
      <c r="B891" s="1">
        <f>DATE(2012,11,5) + TIME(13,11,50)</f>
        <v>41218.549884259257</v>
      </c>
      <c r="C891">
        <v>0</v>
      </c>
      <c r="D891">
        <v>550</v>
      </c>
      <c r="E891">
        <v>550</v>
      </c>
      <c r="F891">
        <v>0</v>
      </c>
      <c r="G891">
        <v>1327.3900146000001</v>
      </c>
      <c r="H891">
        <v>1325.1662598</v>
      </c>
      <c r="I891">
        <v>1344.7569579999999</v>
      </c>
      <c r="J891">
        <v>1340.0131836</v>
      </c>
      <c r="K891">
        <v>80</v>
      </c>
      <c r="L891">
        <v>79.248977660999998</v>
      </c>
      <c r="M891">
        <v>60</v>
      </c>
      <c r="N891">
        <v>58.763923644999998</v>
      </c>
    </row>
    <row r="892" spans="1:14" x14ac:dyDescent="0.25">
      <c r="A892">
        <v>919.92132000000004</v>
      </c>
      <c r="B892" s="1">
        <f>DATE(2012,11,5) + TIME(22,6,42)</f>
        <v>41218.921319444446</v>
      </c>
      <c r="C892">
        <v>0</v>
      </c>
      <c r="D892">
        <v>550</v>
      </c>
      <c r="E892">
        <v>550</v>
      </c>
      <c r="F892">
        <v>0</v>
      </c>
      <c r="G892">
        <v>1327.3809814000001</v>
      </c>
      <c r="H892">
        <v>1325.1536865</v>
      </c>
      <c r="I892">
        <v>1344.7424315999999</v>
      </c>
      <c r="J892">
        <v>1340.0058594</v>
      </c>
      <c r="K892">
        <v>80</v>
      </c>
      <c r="L892">
        <v>79.206336974999999</v>
      </c>
      <c r="M892">
        <v>60</v>
      </c>
      <c r="N892">
        <v>58.886074065999999</v>
      </c>
    </row>
    <row r="893" spans="1:14" x14ac:dyDescent="0.25">
      <c r="A893">
        <v>920.31916799999999</v>
      </c>
      <c r="B893" s="1">
        <f>DATE(2012,11,6) + TIME(7,39,36)</f>
        <v>41219.319166666668</v>
      </c>
      <c r="C893">
        <v>0</v>
      </c>
      <c r="D893">
        <v>550</v>
      </c>
      <c r="E893">
        <v>550</v>
      </c>
      <c r="F893">
        <v>0</v>
      </c>
      <c r="G893">
        <v>1327.3712158000001</v>
      </c>
      <c r="H893">
        <v>1325.1402588000001</v>
      </c>
      <c r="I893">
        <v>1344.7282714999999</v>
      </c>
      <c r="J893">
        <v>1339.9984131000001</v>
      </c>
      <c r="K893">
        <v>80</v>
      </c>
      <c r="L893">
        <v>79.161430358999993</v>
      </c>
      <c r="M893">
        <v>60</v>
      </c>
      <c r="N893">
        <v>59.001152038999997</v>
      </c>
    </row>
    <row r="894" spans="1:14" x14ac:dyDescent="0.25">
      <c r="A894">
        <v>920.74730499999998</v>
      </c>
      <c r="B894" s="1">
        <f>DATE(2012,11,6) + TIME(17,56,7)</f>
        <v>41219.747303240743</v>
      </c>
      <c r="C894">
        <v>0</v>
      </c>
      <c r="D894">
        <v>550</v>
      </c>
      <c r="E894">
        <v>550</v>
      </c>
      <c r="F894">
        <v>0</v>
      </c>
      <c r="G894">
        <v>1327.3608397999999</v>
      </c>
      <c r="H894">
        <v>1325.1258545000001</v>
      </c>
      <c r="I894">
        <v>1344.7144774999999</v>
      </c>
      <c r="J894">
        <v>1339.9909668</v>
      </c>
      <c r="K894">
        <v>80</v>
      </c>
      <c r="L894">
        <v>79.113952636999997</v>
      </c>
      <c r="M894">
        <v>60</v>
      </c>
      <c r="N894">
        <v>59.109092711999999</v>
      </c>
    </row>
    <row r="895" spans="1:14" x14ac:dyDescent="0.25">
      <c r="A895">
        <v>921.210463</v>
      </c>
      <c r="B895" s="1">
        <f>DATE(2012,11,7) + TIME(5,3,4)</f>
        <v>41220.210462962961</v>
      </c>
      <c r="C895">
        <v>0</v>
      </c>
      <c r="D895">
        <v>550</v>
      </c>
      <c r="E895">
        <v>550</v>
      </c>
      <c r="F895">
        <v>0</v>
      </c>
      <c r="G895">
        <v>1327.3496094</v>
      </c>
      <c r="H895">
        <v>1325.1102295000001</v>
      </c>
      <c r="I895">
        <v>1344.7008057</v>
      </c>
      <c r="J895">
        <v>1339.9833983999999</v>
      </c>
      <c r="K895">
        <v>80</v>
      </c>
      <c r="L895">
        <v>79.063537597999996</v>
      </c>
      <c r="M895">
        <v>60</v>
      </c>
      <c r="N895">
        <v>59.209823608000001</v>
      </c>
    </row>
    <row r="896" spans="1:14" x14ac:dyDescent="0.25">
      <c r="A896">
        <v>921.71452299999999</v>
      </c>
      <c r="B896" s="1">
        <f>DATE(2012,11,7) + TIME(17,8,54)</f>
        <v>41220.714513888888</v>
      </c>
      <c r="C896">
        <v>0</v>
      </c>
      <c r="D896">
        <v>550</v>
      </c>
      <c r="E896">
        <v>550</v>
      </c>
      <c r="F896">
        <v>0</v>
      </c>
      <c r="G896">
        <v>1327.3375243999999</v>
      </c>
      <c r="H896">
        <v>1325.0933838000001</v>
      </c>
      <c r="I896">
        <v>1344.6872559000001</v>
      </c>
      <c r="J896">
        <v>1339.9757079999999</v>
      </c>
      <c r="K896">
        <v>80</v>
      </c>
      <c r="L896">
        <v>79.009719849000007</v>
      </c>
      <c r="M896">
        <v>60</v>
      </c>
      <c r="N896">
        <v>59.303272247000002</v>
      </c>
    </row>
    <row r="897" spans="1:14" x14ac:dyDescent="0.25">
      <c r="A897">
        <v>922.26690399999995</v>
      </c>
      <c r="B897" s="1">
        <f>DATE(2012,11,8) + TIME(6,24,20)</f>
        <v>41221.266898148147</v>
      </c>
      <c r="C897">
        <v>0</v>
      </c>
      <c r="D897">
        <v>550</v>
      </c>
      <c r="E897">
        <v>550</v>
      </c>
      <c r="F897">
        <v>0</v>
      </c>
      <c r="G897">
        <v>1327.3242187999999</v>
      </c>
      <c r="H897">
        <v>1325.0750731999999</v>
      </c>
      <c r="I897">
        <v>1344.6738281</v>
      </c>
      <c r="J897">
        <v>1339.9676514</v>
      </c>
      <c r="K897">
        <v>80</v>
      </c>
      <c r="L897">
        <v>78.951950073000006</v>
      </c>
      <c r="M897">
        <v>60</v>
      </c>
      <c r="N897">
        <v>59.389373779000003</v>
      </c>
    </row>
    <row r="898" spans="1:14" x14ac:dyDescent="0.25">
      <c r="A898">
        <v>922.87736399999994</v>
      </c>
      <c r="B898" s="1">
        <f>DATE(2012,11,8) + TIME(21,3,24)</f>
        <v>41221.87736111111</v>
      </c>
      <c r="C898">
        <v>0</v>
      </c>
      <c r="D898">
        <v>550</v>
      </c>
      <c r="E898">
        <v>550</v>
      </c>
      <c r="F898">
        <v>0</v>
      </c>
      <c r="G898">
        <v>1327.3095702999999</v>
      </c>
      <c r="H898">
        <v>1325.0548096</v>
      </c>
      <c r="I898">
        <v>1344.6602783000001</v>
      </c>
      <c r="J898">
        <v>1339.9592285000001</v>
      </c>
      <c r="K898">
        <v>80</v>
      </c>
      <c r="L898">
        <v>78.889503478999998</v>
      </c>
      <c r="M898">
        <v>60</v>
      </c>
      <c r="N898">
        <v>59.468086243000002</v>
      </c>
    </row>
    <row r="899" spans="1:14" x14ac:dyDescent="0.25">
      <c r="A899">
        <v>923.52233100000001</v>
      </c>
      <c r="B899" s="1">
        <f>DATE(2012,11,9) + TIME(12,32,9)</f>
        <v>41222.522326388891</v>
      </c>
      <c r="C899">
        <v>0</v>
      </c>
      <c r="D899">
        <v>550</v>
      </c>
      <c r="E899">
        <v>550</v>
      </c>
      <c r="F899">
        <v>0</v>
      </c>
      <c r="G899">
        <v>1327.2935791</v>
      </c>
      <c r="H899">
        <v>1325.0327147999999</v>
      </c>
      <c r="I899">
        <v>1344.6475829999999</v>
      </c>
      <c r="J899">
        <v>1339.9510498</v>
      </c>
      <c r="K899">
        <v>80</v>
      </c>
      <c r="L899">
        <v>78.824623107999997</v>
      </c>
      <c r="M899">
        <v>60</v>
      </c>
      <c r="N899">
        <v>59.536251067999999</v>
      </c>
    </row>
    <row r="900" spans="1:14" x14ac:dyDescent="0.25">
      <c r="A900">
        <v>924.196102</v>
      </c>
      <c r="B900" s="1">
        <f>DATE(2012,11,10) + TIME(4,42,23)</f>
        <v>41223.196099537039</v>
      </c>
      <c r="C900">
        <v>0</v>
      </c>
      <c r="D900">
        <v>550</v>
      </c>
      <c r="E900">
        <v>550</v>
      </c>
      <c r="F900">
        <v>0</v>
      </c>
      <c r="G900">
        <v>1327.2766113</v>
      </c>
      <c r="H900">
        <v>1325.0093993999999</v>
      </c>
      <c r="I900">
        <v>1344.6354980000001</v>
      </c>
      <c r="J900">
        <v>1339.9428711</v>
      </c>
      <c r="K900">
        <v>80</v>
      </c>
      <c r="L900">
        <v>78.757865906000006</v>
      </c>
      <c r="M900">
        <v>60</v>
      </c>
      <c r="N900">
        <v>59.594196320000002</v>
      </c>
    </row>
    <row r="901" spans="1:14" x14ac:dyDescent="0.25">
      <c r="A901">
        <v>924.90110900000002</v>
      </c>
      <c r="B901" s="1">
        <f>DATE(2012,11,10) + TIME(21,37,35)</f>
        <v>41223.901099537034</v>
      </c>
      <c r="C901">
        <v>0</v>
      </c>
      <c r="D901">
        <v>550</v>
      </c>
      <c r="E901">
        <v>550</v>
      </c>
      <c r="F901">
        <v>0</v>
      </c>
      <c r="G901">
        <v>1327.2587891000001</v>
      </c>
      <c r="H901">
        <v>1324.9849853999999</v>
      </c>
      <c r="I901">
        <v>1344.6234131000001</v>
      </c>
      <c r="J901">
        <v>1339.9345702999999</v>
      </c>
      <c r="K901">
        <v>80</v>
      </c>
      <c r="L901">
        <v>78.689071655000006</v>
      </c>
      <c r="M901">
        <v>60</v>
      </c>
      <c r="N901">
        <v>59.643142699999999</v>
      </c>
    </row>
    <row r="902" spans="1:14" x14ac:dyDescent="0.25">
      <c r="A902">
        <v>925.639365</v>
      </c>
      <c r="B902" s="1">
        <f>DATE(2012,11,11) + TIME(15,20,41)</f>
        <v>41224.639363425929</v>
      </c>
      <c r="C902">
        <v>0</v>
      </c>
      <c r="D902">
        <v>550</v>
      </c>
      <c r="E902">
        <v>550</v>
      </c>
      <c r="F902">
        <v>0</v>
      </c>
      <c r="G902">
        <v>1327.2401123</v>
      </c>
      <c r="H902">
        <v>1324.9592285000001</v>
      </c>
      <c r="I902">
        <v>1344.6115723</v>
      </c>
      <c r="J902">
        <v>1339.9261475000001</v>
      </c>
      <c r="K902">
        <v>80</v>
      </c>
      <c r="L902">
        <v>78.618118285999998</v>
      </c>
      <c r="M902">
        <v>60</v>
      </c>
      <c r="N902">
        <v>59.684196471999996</v>
      </c>
    </row>
    <row r="903" spans="1:14" x14ac:dyDescent="0.25">
      <c r="A903">
        <v>926.41368999999997</v>
      </c>
      <c r="B903" s="1">
        <f>DATE(2012,11,12) + TIME(9,55,42)</f>
        <v>41225.413680555554</v>
      </c>
      <c r="C903">
        <v>0</v>
      </c>
      <c r="D903">
        <v>550</v>
      </c>
      <c r="E903">
        <v>550</v>
      </c>
      <c r="F903">
        <v>0</v>
      </c>
      <c r="G903">
        <v>1327.2205810999999</v>
      </c>
      <c r="H903">
        <v>1324.932251</v>
      </c>
      <c r="I903">
        <v>1344.5997314000001</v>
      </c>
      <c r="J903">
        <v>1339.9174805</v>
      </c>
      <c r="K903">
        <v>80</v>
      </c>
      <c r="L903">
        <v>78.544815063000001</v>
      </c>
      <c r="M903">
        <v>60</v>
      </c>
      <c r="N903">
        <v>59.718391418000003</v>
      </c>
    </row>
    <row r="904" spans="1:14" x14ac:dyDescent="0.25">
      <c r="A904">
        <v>927.218797</v>
      </c>
      <c r="B904" s="1">
        <f>DATE(2012,11,13) + TIME(5,15,4)</f>
        <v>41226.2187962963</v>
      </c>
      <c r="C904">
        <v>0</v>
      </c>
      <c r="D904">
        <v>550</v>
      </c>
      <c r="E904">
        <v>550</v>
      </c>
      <c r="F904">
        <v>0</v>
      </c>
      <c r="G904">
        <v>1327.1998291</v>
      </c>
      <c r="H904">
        <v>1324.9038086</v>
      </c>
      <c r="I904">
        <v>1344.5880127</v>
      </c>
      <c r="J904">
        <v>1339.9088135</v>
      </c>
      <c r="K904">
        <v>80</v>
      </c>
      <c r="L904">
        <v>78.469635010000005</v>
      </c>
      <c r="M904">
        <v>60</v>
      </c>
      <c r="N904">
        <v>59.746448516999997</v>
      </c>
    </row>
    <row r="905" spans="1:14" x14ac:dyDescent="0.25">
      <c r="A905">
        <v>928.04856400000006</v>
      </c>
      <c r="B905" s="1">
        <f>DATE(2012,11,14) + TIME(1,9,55)</f>
        <v>41227.04855324074</v>
      </c>
      <c r="C905">
        <v>0</v>
      </c>
      <c r="D905">
        <v>550</v>
      </c>
      <c r="E905">
        <v>550</v>
      </c>
      <c r="F905">
        <v>0</v>
      </c>
      <c r="G905">
        <v>1327.1783447</v>
      </c>
      <c r="H905">
        <v>1324.8742675999999</v>
      </c>
      <c r="I905">
        <v>1344.5765381000001</v>
      </c>
      <c r="J905">
        <v>1339.8999022999999</v>
      </c>
      <c r="K905">
        <v>80</v>
      </c>
      <c r="L905">
        <v>78.393089294000006</v>
      </c>
      <c r="M905">
        <v>60</v>
      </c>
      <c r="N905">
        <v>59.769161224000001</v>
      </c>
    </row>
    <row r="906" spans="1:14" x14ac:dyDescent="0.25">
      <c r="A906">
        <v>928.90805699999999</v>
      </c>
      <c r="B906" s="1">
        <f>DATE(2012,11,14) + TIME(21,47,36)</f>
        <v>41227.908055555556</v>
      </c>
      <c r="C906">
        <v>0</v>
      </c>
      <c r="D906">
        <v>550</v>
      </c>
      <c r="E906">
        <v>550</v>
      </c>
      <c r="F906">
        <v>0</v>
      </c>
      <c r="G906">
        <v>1327.1561279</v>
      </c>
      <c r="H906">
        <v>1324.8436279</v>
      </c>
      <c r="I906">
        <v>1344.5650635</v>
      </c>
      <c r="J906">
        <v>1339.8911132999999</v>
      </c>
      <c r="K906">
        <v>80</v>
      </c>
      <c r="L906">
        <v>78.314826964999995</v>
      </c>
      <c r="M906">
        <v>60</v>
      </c>
      <c r="N906">
        <v>59.787548065000003</v>
      </c>
    </row>
    <row r="907" spans="1:14" x14ac:dyDescent="0.25">
      <c r="A907">
        <v>929.79564500000004</v>
      </c>
      <c r="B907" s="1">
        <f>DATE(2012,11,15) + TIME(19,5,43)</f>
        <v>41228.795636574076</v>
      </c>
      <c r="C907">
        <v>0</v>
      </c>
      <c r="D907">
        <v>550</v>
      </c>
      <c r="E907">
        <v>550</v>
      </c>
      <c r="F907">
        <v>0</v>
      </c>
      <c r="G907">
        <v>1327.1330565999999</v>
      </c>
      <c r="H907">
        <v>1324.8118896000001</v>
      </c>
      <c r="I907">
        <v>1344.5535889</v>
      </c>
      <c r="J907">
        <v>1339.8822021000001</v>
      </c>
      <c r="K907">
        <v>80</v>
      </c>
      <c r="L907">
        <v>78.235008239999999</v>
      </c>
      <c r="M907">
        <v>60</v>
      </c>
      <c r="N907">
        <v>59.802322388</v>
      </c>
    </row>
    <row r="908" spans="1:14" x14ac:dyDescent="0.25">
      <c r="A908">
        <v>930.71504400000003</v>
      </c>
      <c r="B908" s="1">
        <f>DATE(2012,11,16) + TIME(17,9,39)</f>
        <v>41229.71503472222</v>
      </c>
      <c r="C908">
        <v>0</v>
      </c>
      <c r="D908">
        <v>550</v>
      </c>
      <c r="E908">
        <v>550</v>
      </c>
      <c r="F908">
        <v>0</v>
      </c>
      <c r="G908">
        <v>1327.1091309000001</v>
      </c>
      <c r="H908">
        <v>1324.7789307</v>
      </c>
      <c r="I908">
        <v>1344.5423584</v>
      </c>
      <c r="J908">
        <v>1339.8734131000001</v>
      </c>
      <c r="K908">
        <v>80</v>
      </c>
      <c r="L908">
        <v>78.153396606000001</v>
      </c>
      <c r="M908">
        <v>60</v>
      </c>
      <c r="N908">
        <v>59.814182281000001</v>
      </c>
    </row>
    <row r="909" spans="1:14" x14ac:dyDescent="0.25">
      <c r="A909">
        <v>931.67077099999995</v>
      </c>
      <c r="B909" s="1">
        <f>DATE(2012,11,17) + TIME(16,5,54)</f>
        <v>41230.670763888891</v>
      </c>
      <c r="C909">
        <v>0</v>
      </c>
      <c r="D909">
        <v>550</v>
      </c>
      <c r="E909">
        <v>550</v>
      </c>
      <c r="F909">
        <v>0</v>
      </c>
      <c r="G909">
        <v>1327.0842285000001</v>
      </c>
      <c r="H909">
        <v>1324.744751</v>
      </c>
      <c r="I909">
        <v>1344.5310059000001</v>
      </c>
      <c r="J909">
        <v>1339.8645019999999</v>
      </c>
      <c r="K909">
        <v>80</v>
      </c>
      <c r="L909">
        <v>78.069702148000005</v>
      </c>
      <c r="M909">
        <v>60</v>
      </c>
      <c r="N909">
        <v>59.823696136000002</v>
      </c>
    </row>
    <row r="910" spans="1:14" x14ac:dyDescent="0.25">
      <c r="A910">
        <v>932.66811199999995</v>
      </c>
      <c r="B910" s="1">
        <f>DATE(2012,11,18) + TIME(16,2,4)</f>
        <v>41231.66810185185</v>
      </c>
      <c r="C910">
        <v>0</v>
      </c>
      <c r="D910">
        <v>550</v>
      </c>
      <c r="E910">
        <v>550</v>
      </c>
      <c r="F910">
        <v>0</v>
      </c>
      <c r="G910">
        <v>1327.0583495999999</v>
      </c>
      <c r="H910">
        <v>1324.7091064000001</v>
      </c>
      <c r="I910">
        <v>1344.5197754000001</v>
      </c>
      <c r="J910">
        <v>1339.8555908000001</v>
      </c>
      <c r="K910">
        <v>80</v>
      </c>
      <c r="L910">
        <v>77.983604431000003</v>
      </c>
      <c r="M910">
        <v>60</v>
      </c>
      <c r="N910">
        <v>59.831317902000002</v>
      </c>
    </row>
    <row r="911" spans="1:14" x14ac:dyDescent="0.25">
      <c r="A911">
        <v>933.71296900000004</v>
      </c>
      <c r="B911" s="1">
        <f>DATE(2012,11,19) + TIME(17,6,40)</f>
        <v>41232.712962962964</v>
      </c>
      <c r="C911">
        <v>0</v>
      </c>
      <c r="D911">
        <v>550</v>
      </c>
      <c r="E911">
        <v>550</v>
      </c>
      <c r="F911">
        <v>0</v>
      </c>
      <c r="G911">
        <v>1327.0313721</v>
      </c>
      <c r="H911">
        <v>1324.6717529</v>
      </c>
      <c r="I911">
        <v>1344.5085449000001</v>
      </c>
      <c r="J911">
        <v>1339.8465576000001</v>
      </c>
      <c r="K911">
        <v>80</v>
      </c>
      <c r="L911">
        <v>77.894744872999993</v>
      </c>
      <c r="M911">
        <v>60</v>
      </c>
      <c r="N911">
        <v>59.837425232000001</v>
      </c>
    </row>
    <row r="912" spans="1:14" x14ac:dyDescent="0.25">
      <c r="A912">
        <v>934.81221600000003</v>
      </c>
      <c r="B912" s="1">
        <f>DATE(2012,11,20) + TIME(19,29,35)</f>
        <v>41233.812210648146</v>
      </c>
      <c r="C912">
        <v>0</v>
      </c>
      <c r="D912">
        <v>550</v>
      </c>
      <c r="E912">
        <v>550</v>
      </c>
      <c r="F912">
        <v>0</v>
      </c>
      <c r="G912">
        <v>1327.0029297000001</v>
      </c>
      <c r="H912">
        <v>1324.6326904</v>
      </c>
      <c r="I912">
        <v>1344.4973144999999</v>
      </c>
      <c r="J912">
        <v>1339.8375243999999</v>
      </c>
      <c r="K912">
        <v>80</v>
      </c>
      <c r="L912">
        <v>77.802719116000006</v>
      </c>
      <c r="M912">
        <v>60</v>
      </c>
      <c r="N912">
        <v>59.842319488999998</v>
      </c>
    </row>
    <row r="913" spans="1:14" x14ac:dyDescent="0.25">
      <c r="A913">
        <v>935.95441600000004</v>
      </c>
      <c r="B913" s="1">
        <f>DATE(2012,11,21) + TIME(22,54,21)</f>
        <v>41234.954409722224</v>
      </c>
      <c r="C913">
        <v>0</v>
      </c>
      <c r="D913">
        <v>550</v>
      </c>
      <c r="E913">
        <v>550</v>
      </c>
      <c r="F913">
        <v>0</v>
      </c>
      <c r="G913">
        <v>1326.9731445</v>
      </c>
      <c r="H913">
        <v>1324.5915527</v>
      </c>
      <c r="I913">
        <v>1344.4859618999999</v>
      </c>
      <c r="J913">
        <v>1339.8283690999999</v>
      </c>
      <c r="K913">
        <v>80</v>
      </c>
      <c r="L913">
        <v>77.708335876000007</v>
      </c>
      <c r="M913">
        <v>60</v>
      </c>
      <c r="N913">
        <v>59.846195221000002</v>
      </c>
    </row>
    <row r="914" spans="1:14" x14ac:dyDescent="0.25">
      <c r="A914">
        <v>937.13386200000002</v>
      </c>
      <c r="B914" s="1">
        <f>DATE(2012,11,23) + TIME(3,12,45)</f>
        <v>41236.13385416667</v>
      </c>
      <c r="C914">
        <v>0</v>
      </c>
      <c r="D914">
        <v>550</v>
      </c>
      <c r="E914">
        <v>550</v>
      </c>
      <c r="F914">
        <v>0</v>
      </c>
      <c r="G914">
        <v>1326.9422606999999</v>
      </c>
      <c r="H914">
        <v>1324.5488281</v>
      </c>
      <c r="I914">
        <v>1344.4747314000001</v>
      </c>
      <c r="J914">
        <v>1339.8193358999999</v>
      </c>
      <c r="K914">
        <v>80</v>
      </c>
      <c r="L914">
        <v>77.612030028999996</v>
      </c>
      <c r="M914">
        <v>60</v>
      </c>
      <c r="N914">
        <v>59.849254608000003</v>
      </c>
    </row>
    <row r="915" spans="1:14" x14ac:dyDescent="0.25">
      <c r="A915">
        <v>938.353523</v>
      </c>
      <c r="B915" s="1">
        <f>DATE(2012,11,24) + TIME(8,29,4)</f>
        <v>41237.353518518517</v>
      </c>
      <c r="C915">
        <v>0</v>
      </c>
      <c r="D915">
        <v>550</v>
      </c>
      <c r="E915">
        <v>550</v>
      </c>
      <c r="F915">
        <v>0</v>
      </c>
      <c r="G915">
        <v>1326.9101562000001</v>
      </c>
      <c r="H915">
        <v>1324.5045166</v>
      </c>
      <c r="I915">
        <v>1344.4637451000001</v>
      </c>
      <c r="J915">
        <v>1339.8104248</v>
      </c>
      <c r="K915">
        <v>80</v>
      </c>
      <c r="L915">
        <v>77.513687133999994</v>
      </c>
      <c r="M915">
        <v>60</v>
      </c>
      <c r="N915">
        <v>59.851688385000003</v>
      </c>
    </row>
    <row r="916" spans="1:14" x14ac:dyDescent="0.25">
      <c r="A916">
        <v>939.61634200000003</v>
      </c>
      <c r="B916" s="1">
        <f>DATE(2012,11,25) + TIME(14,47,31)</f>
        <v>41238.616331018522</v>
      </c>
      <c r="C916">
        <v>0</v>
      </c>
      <c r="D916">
        <v>550</v>
      </c>
      <c r="E916">
        <v>550</v>
      </c>
      <c r="F916">
        <v>0</v>
      </c>
      <c r="G916">
        <v>1326.8769531</v>
      </c>
      <c r="H916">
        <v>1324.4586182</v>
      </c>
      <c r="I916">
        <v>1344.4527588000001</v>
      </c>
      <c r="J916">
        <v>1339.8015137</v>
      </c>
      <c r="K916">
        <v>80</v>
      </c>
      <c r="L916">
        <v>77.413192749000004</v>
      </c>
      <c r="M916">
        <v>60</v>
      </c>
      <c r="N916">
        <v>59.853637695000003</v>
      </c>
    </row>
    <row r="917" spans="1:14" x14ac:dyDescent="0.25">
      <c r="A917">
        <v>940.92551400000002</v>
      </c>
      <c r="B917" s="1">
        <f>DATE(2012,11,26) + TIME(22,12,44)</f>
        <v>41239.925509259258</v>
      </c>
      <c r="C917">
        <v>0</v>
      </c>
      <c r="D917">
        <v>550</v>
      </c>
      <c r="E917">
        <v>550</v>
      </c>
      <c r="F917">
        <v>0</v>
      </c>
      <c r="G917">
        <v>1326.8425293</v>
      </c>
      <c r="H917">
        <v>1324.4111327999999</v>
      </c>
      <c r="I917">
        <v>1344.4420166</v>
      </c>
      <c r="J917">
        <v>1339.7927245999999</v>
      </c>
      <c r="K917">
        <v>80</v>
      </c>
      <c r="L917">
        <v>77.310432434000006</v>
      </c>
      <c r="M917">
        <v>60</v>
      </c>
      <c r="N917">
        <v>59.855216980000002</v>
      </c>
    </row>
    <row r="918" spans="1:14" x14ac:dyDescent="0.25">
      <c r="A918">
        <v>942.28449499999999</v>
      </c>
      <c r="B918" s="1">
        <f>DATE(2012,11,28) + TIME(6,49,40)</f>
        <v>41241.284490740742</v>
      </c>
      <c r="C918">
        <v>0</v>
      </c>
      <c r="D918">
        <v>550</v>
      </c>
      <c r="E918">
        <v>550</v>
      </c>
      <c r="F918">
        <v>0</v>
      </c>
      <c r="G918">
        <v>1326.8067627</v>
      </c>
      <c r="H918">
        <v>1324.3616943</v>
      </c>
      <c r="I918">
        <v>1344.4312743999999</v>
      </c>
      <c r="J918">
        <v>1339.7840576000001</v>
      </c>
      <c r="K918">
        <v>80</v>
      </c>
      <c r="L918">
        <v>77.205261230000005</v>
      </c>
      <c r="M918">
        <v>60</v>
      </c>
      <c r="N918">
        <v>59.856506348000003</v>
      </c>
    </row>
    <row r="919" spans="1:14" x14ac:dyDescent="0.25">
      <c r="A919">
        <v>943.69652499999995</v>
      </c>
      <c r="B919" s="1">
        <f>DATE(2012,11,29) + TIME(16,42,59)</f>
        <v>41242.696516203701</v>
      </c>
      <c r="C919">
        <v>0</v>
      </c>
      <c r="D919">
        <v>550</v>
      </c>
      <c r="E919">
        <v>550</v>
      </c>
      <c r="F919">
        <v>0</v>
      </c>
      <c r="G919">
        <v>1326.7696533000001</v>
      </c>
      <c r="H919">
        <v>1324.3103027</v>
      </c>
      <c r="I919">
        <v>1344.4206543</v>
      </c>
      <c r="J919">
        <v>1339.7753906</v>
      </c>
      <c r="K919">
        <v>80</v>
      </c>
      <c r="L919">
        <v>77.097557068</v>
      </c>
      <c r="M919">
        <v>60</v>
      </c>
      <c r="N919">
        <v>59.857574462999999</v>
      </c>
    </row>
    <row r="920" spans="1:14" x14ac:dyDescent="0.25">
      <c r="A920">
        <v>945</v>
      </c>
      <c r="B920" s="1">
        <f>DATE(2012,12,1) + TIME(0,0,0)</f>
        <v>41244</v>
      </c>
      <c r="C920">
        <v>0</v>
      </c>
      <c r="D920">
        <v>550</v>
      </c>
      <c r="E920">
        <v>550</v>
      </c>
      <c r="F920">
        <v>0</v>
      </c>
      <c r="G920">
        <v>1326.7316894999999</v>
      </c>
      <c r="H920">
        <v>1324.2579346</v>
      </c>
      <c r="I920">
        <v>1344.4101562000001</v>
      </c>
      <c r="J920">
        <v>1339.7668457</v>
      </c>
      <c r="K920">
        <v>80</v>
      </c>
      <c r="L920">
        <v>76.996704101999995</v>
      </c>
      <c r="M920">
        <v>60</v>
      </c>
      <c r="N920">
        <v>59.858379364000001</v>
      </c>
    </row>
    <row r="921" spans="1:14" x14ac:dyDescent="0.25">
      <c r="A921">
        <v>946.46953800000006</v>
      </c>
      <c r="B921" s="1">
        <f>DATE(2012,12,2) + TIME(11,16,8)</f>
        <v>41245.469537037039</v>
      </c>
      <c r="C921">
        <v>0</v>
      </c>
      <c r="D921">
        <v>550</v>
      </c>
      <c r="E921">
        <v>550</v>
      </c>
      <c r="F921">
        <v>0</v>
      </c>
      <c r="G921">
        <v>1326.6951904</v>
      </c>
      <c r="H921">
        <v>1324.2069091999999</v>
      </c>
      <c r="I921">
        <v>1344.401001</v>
      </c>
      <c r="J921">
        <v>1339.7592772999999</v>
      </c>
      <c r="K921">
        <v>80</v>
      </c>
      <c r="L921">
        <v>76.887458800999994</v>
      </c>
      <c r="M921">
        <v>60</v>
      </c>
      <c r="N921">
        <v>59.859127045000001</v>
      </c>
    </row>
    <row r="922" spans="1:14" x14ac:dyDescent="0.25">
      <c r="A922">
        <v>948.06042300000001</v>
      </c>
      <c r="B922" s="1">
        <f>DATE(2012,12,4) + TIME(1,27,0)</f>
        <v>41247.060416666667</v>
      </c>
      <c r="C922">
        <v>0</v>
      </c>
      <c r="D922">
        <v>550</v>
      </c>
      <c r="E922">
        <v>550</v>
      </c>
      <c r="F922">
        <v>0</v>
      </c>
      <c r="G922">
        <v>1326.6547852000001</v>
      </c>
      <c r="H922">
        <v>1324.1507568</v>
      </c>
      <c r="I922">
        <v>1344.3909911999999</v>
      </c>
      <c r="J922">
        <v>1339.7510986</v>
      </c>
      <c r="K922">
        <v>80</v>
      </c>
      <c r="L922">
        <v>76.772193908999995</v>
      </c>
      <c r="M922">
        <v>60</v>
      </c>
      <c r="N922">
        <v>59.859798431000002</v>
      </c>
    </row>
    <row r="923" spans="1:14" x14ac:dyDescent="0.25">
      <c r="A923">
        <v>949.720868</v>
      </c>
      <c r="B923" s="1">
        <f>DATE(2012,12,5) + TIME(17,18,2)</f>
        <v>41248.720856481479</v>
      </c>
      <c r="C923">
        <v>0</v>
      </c>
      <c r="D923">
        <v>550</v>
      </c>
      <c r="E923">
        <v>550</v>
      </c>
      <c r="F923">
        <v>0</v>
      </c>
      <c r="G923">
        <v>1326.6115723</v>
      </c>
      <c r="H923">
        <v>1324.0908202999999</v>
      </c>
      <c r="I923">
        <v>1344.3806152</v>
      </c>
      <c r="J923">
        <v>1339.7426757999999</v>
      </c>
      <c r="K923">
        <v>80</v>
      </c>
      <c r="L923">
        <v>76.653495789000004</v>
      </c>
      <c r="M923">
        <v>60</v>
      </c>
      <c r="N923">
        <v>59.860378265000001</v>
      </c>
    </row>
    <row r="924" spans="1:14" x14ac:dyDescent="0.25">
      <c r="A924">
        <v>951.44103900000005</v>
      </c>
      <c r="B924" s="1">
        <f>DATE(2012,12,7) + TIME(10,35,5)</f>
        <v>41250.441030092596</v>
      </c>
      <c r="C924">
        <v>0</v>
      </c>
      <c r="D924">
        <v>550</v>
      </c>
      <c r="E924">
        <v>550</v>
      </c>
      <c r="F924">
        <v>0</v>
      </c>
      <c r="G924">
        <v>1326.5664062000001</v>
      </c>
      <c r="H924">
        <v>1324.0280762</v>
      </c>
      <c r="I924">
        <v>1344.3703613</v>
      </c>
      <c r="J924">
        <v>1339.7342529</v>
      </c>
      <c r="K924">
        <v>80</v>
      </c>
      <c r="L924">
        <v>76.531944275000001</v>
      </c>
      <c r="M924">
        <v>60</v>
      </c>
      <c r="N924">
        <v>59.860889434999997</v>
      </c>
    </row>
    <row r="925" spans="1:14" x14ac:dyDescent="0.25">
      <c r="A925">
        <v>953.20809399999996</v>
      </c>
      <c r="B925" s="1">
        <f>DATE(2012,12,9) + TIME(4,59,39)</f>
        <v>41252.208090277774</v>
      </c>
      <c r="C925">
        <v>0</v>
      </c>
      <c r="D925">
        <v>550</v>
      </c>
      <c r="E925">
        <v>550</v>
      </c>
      <c r="F925">
        <v>0</v>
      </c>
      <c r="G925">
        <v>1326.5195312000001</v>
      </c>
      <c r="H925">
        <v>1323.9630127</v>
      </c>
      <c r="I925">
        <v>1344.3602295000001</v>
      </c>
      <c r="J925">
        <v>1339.7259521000001</v>
      </c>
      <c r="K925">
        <v>80</v>
      </c>
      <c r="L925">
        <v>76.408317565999994</v>
      </c>
      <c r="M925">
        <v>60</v>
      </c>
      <c r="N925">
        <v>59.861339569000002</v>
      </c>
    </row>
    <row r="926" spans="1:14" x14ac:dyDescent="0.25">
      <c r="A926">
        <v>955.02629100000001</v>
      </c>
      <c r="B926" s="1">
        <f>DATE(2012,12,11) + TIME(0,37,51)</f>
        <v>41254.026284722226</v>
      </c>
      <c r="C926">
        <v>0</v>
      </c>
      <c r="D926">
        <v>550</v>
      </c>
      <c r="E926">
        <v>550</v>
      </c>
      <c r="F926">
        <v>0</v>
      </c>
      <c r="G926">
        <v>1326.4713135</v>
      </c>
      <c r="H926">
        <v>1323.8959961</v>
      </c>
      <c r="I926">
        <v>1344.3502197</v>
      </c>
      <c r="J926">
        <v>1339.7177733999999</v>
      </c>
      <c r="K926">
        <v>80</v>
      </c>
      <c r="L926">
        <v>76.282562256000006</v>
      </c>
      <c r="M926">
        <v>60</v>
      </c>
      <c r="N926">
        <v>59.861740112</v>
      </c>
    </row>
    <row r="927" spans="1:14" x14ac:dyDescent="0.25">
      <c r="A927">
        <v>956.89975800000002</v>
      </c>
      <c r="B927" s="1">
        <f>DATE(2012,12,12) + TIME(21,35,39)</f>
        <v>41255.899756944447</v>
      </c>
      <c r="C927">
        <v>0</v>
      </c>
      <c r="D927">
        <v>550</v>
      </c>
      <c r="E927">
        <v>550</v>
      </c>
      <c r="F927">
        <v>0</v>
      </c>
      <c r="G927">
        <v>1326.4217529</v>
      </c>
      <c r="H927">
        <v>1323.8267822</v>
      </c>
      <c r="I927">
        <v>1344.3404541</v>
      </c>
      <c r="J927">
        <v>1339.7097168</v>
      </c>
      <c r="K927">
        <v>80</v>
      </c>
      <c r="L927">
        <v>76.154602050999998</v>
      </c>
      <c r="M927">
        <v>60</v>
      </c>
      <c r="N927">
        <v>59.862106322999999</v>
      </c>
    </row>
    <row r="928" spans="1:14" x14ac:dyDescent="0.25">
      <c r="A928">
        <v>958.83290699999998</v>
      </c>
      <c r="B928" s="1">
        <f>DATE(2012,12,14) + TIME(19,59,23)</f>
        <v>41257.832905092589</v>
      </c>
      <c r="C928">
        <v>0</v>
      </c>
      <c r="D928">
        <v>550</v>
      </c>
      <c r="E928">
        <v>550</v>
      </c>
      <c r="F928">
        <v>0</v>
      </c>
      <c r="G928">
        <v>1326.3704834</v>
      </c>
      <c r="H928">
        <v>1323.7554932</v>
      </c>
      <c r="I928">
        <v>1344.3308105000001</v>
      </c>
      <c r="J928">
        <v>1339.7019043</v>
      </c>
      <c r="K928">
        <v>80</v>
      </c>
      <c r="L928">
        <v>76.024299622000001</v>
      </c>
      <c r="M928">
        <v>60</v>
      </c>
      <c r="N928">
        <v>59.862438202</v>
      </c>
    </row>
    <row r="929" spans="1:14" x14ac:dyDescent="0.25">
      <c r="A929">
        <v>960.83044800000005</v>
      </c>
      <c r="B929" s="1">
        <f>DATE(2012,12,16) + TIME(19,55,50)</f>
        <v>41259.830439814818</v>
      </c>
      <c r="C929">
        <v>0</v>
      </c>
      <c r="D929">
        <v>550</v>
      </c>
      <c r="E929">
        <v>550</v>
      </c>
      <c r="F929">
        <v>0</v>
      </c>
      <c r="G929">
        <v>1326.317749</v>
      </c>
      <c r="H929">
        <v>1323.6817627</v>
      </c>
      <c r="I929">
        <v>1344.3214111</v>
      </c>
      <c r="J929">
        <v>1339.6940918</v>
      </c>
      <c r="K929">
        <v>80</v>
      </c>
      <c r="L929">
        <v>75.891456603999998</v>
      </c>
      <c r="M929">
        <v>60</v>
      </c>
      <c r="N929">
        <v>59.862751007</v>
      </c>
    </row>
    <row r="930" spans="1:14" x14ac:dyDescent="0.25">
      <c r="A930">
        <v>962.89745900000003</v>
      </c>
      <c r="B930" s="1">
        <f>DATE(2012,12,18) + TIME(21,32,20)</f>
        <v>41261.897453703707</v>
      </c>
      <c r="C930">
        <v>0</v>
      </c>
      <c r="D930">
        <v>550</v>
      </c>
      <c r="E930">
        <v>550</v>
      </c>
      <c r="F930">
        <v>0</v>
      </c>
      <c r="G930">
        <v>1326.2631836</v>
      </c>
      <c r="H930">
        <v>1323.6055908000001</v>
      </c>
      <c r="I930">
        <v>1344.3120117000001</v>
      </c>
      <c r="J930">
        <v>1339.6865233999999</v>
      </c>
      <c r="K930">
        <v>80</v>
      </c>
      <c r="L930">
        <v>75.755867003999995</v>
      </c>
      <c r="M930">
        <v>60</v>
      </c>
      <c r="N930">
        <v>59.863044739000003</v>
      </c>
    </row>
    <row r="931" spans="1:14" x14ac:dyDescent="0.25">
      <c r="A931">
        <v>965.03919399999995</v>
      </c>
      <c r="B931" s="1">
        <f>DATE(2012,12,21) + TIME(0,56,26)</f>
        <v>41264.039189814815</v>
      </c>
      <c r="C931">
        <v>0</v>
      </c>
      <c r="D931">
        <v>550</v>
      </c>
      <c r="E931">
        <v>550</v>
      </c>
      <c r="F931">
        <v>0</v>
      </c>
      <c r="G931">
        <v>1326.2067870999999</v>
      </c>
      <c r="H931">
        <v>1323.5267334</v>
      </c>
      <c r="I931">
        <v>1344.3027344</v>
      </c>
      <c r="J931">
        <v>1339.6788329999999</v>
      </c>
      <c r="K931">
        <v>80</v>
      </c>
      <c r="L931">
        <v>75.617256165000001</v>
      </c>
      <c r="M931">
        <v>60</v>
      </c>
      <c r="N931">
        <v>59.863323211999997</v>
      </c>
    </row>
    <row r="932" spans="1:14" x14ac:dyDescent="0.25">
      <c r="A932">
        <v>967.26105700000005</v>
      </c>
      <c r="B932" s="1">
        <f>DATE(2012,12,23) + TIME(6,15,55)</f>
        <v>41266.261053240742</v>
      </c>
      <c r="C932">
        <v>0</v>
      </c>
      <c r="D932">
        <v>550</v>
      </c>
      <c r="E932">
        <v>550</v>
      </c>
      <c r="F932">
        <v>0</v>
      </c>
      <c r="G932">
        <v>1326.1484375</v>
      </c>
      <c r="H932">
        <v>1323.4451904</v>
      </c>
      <c r="I932">
        <v>1344.2935791</v>
      </c>
      <c r="J932">
        <v>1339.6713867000001</v>
      </c>
      <c r="K932">
        <v>80</v>
      </c>
      <c r="L932">
        <v>75.475334167</v>
      </c>
      <c r="M932">
        <v>60</v>
      </c>
      <c r="N932">
        <v>59.863594055</v>
      </c>
    </row>
    <row r="933" spans="1:14" x14ac:dyDescent="0.25">
      <c r="A933">
        <v>969.57016699999997</v>
      </c>
      <c r="B933" s="1">
        <f>DATE(2012,12,25) + TIME(13,41,2)</f>
        <v>41268.570162037038</v>
      </c>
      <c r="C933">
        <v>0</v>
      </c>
      <c r="D933">
        <v>550</v>
      </c>
      <c r="E933">
        <v>550</v>
      </c>
      <c r="F933">
        <v>0</v>
      </c>
      <c r="G933">
        <v>1326.0881348</v>
      </c>
      <c r="H933">
        <v>1323.3604736</v>
      </c>
      <c r="I933">
        <v>1344.2844238</v>
      </c>
      <c r="J933">
        <v>1339.6639404</v>
      </c>
      <c r="K933">
        <v>80</v>
      </c>
      <c r="L933">
        <v>75.329727172999995</v>
      </c>
      <c r="M933">
        <v>60</v>
      </c>
      <c r="N933">
        <v>59.863857269</v>
      </c>
    </row>
    <row r="934" spans="1:14" x14ac:dyDescent="0.25">
      <c r="A934">
        <v>971.97364300000004</v>
      </c>
      <c r="B934" s="1">
        <f>DATE(2012,12,27) + TIME(23,22,2)</f>
        <v>41270.973634259259</v>
      </c>
      <c r="C934">
        <v>0</v>
      </c>
      <c r="D934">
        <v>550</v>
      </c>
      <c r="E934">
        <v>550</v>
      </c>
      <c r="F934">
        <v>0</v>
      </c>
      <c r="G934">
        <v>1326.0253906</v>
      </c>
      <c r="H934">
        <v>1323.2727050999999</v>
      </c>
      <c r="I934">
        <v>1344.2752685999999</v>
      </c>
      <c r="J934">
        <v>1339.6566161999999</v>
      </c>
      <c r="K934">
        <v>80</v>
      </c>
      <c r="L934">
        <v>75.180023192999997</v>
      </c>
      <c r="M934">
        <v>60</v>
      </c>
      <c r="N934">
        <v>59.864116668999998</v>
      </c>
    </row>
    <row r="935" spans="1:14" x14ac:dyDescent="0.25">
      <c r="A935">
        <v>974.46766100000002</v>
      </c>
      <c r="B935" s="1">
        <f>DATE(2012,12,30) + TIME(11,13,25)</f>
        <v>41273.467650462961</v>
      </c>
      <c r="C935">
        <v>0</v>
      </c>
      <c r="D935">
        <v>550</v>
      </c>
      <c r="E935">
        <v>550</v>
      </c>
      <c r="F935">
        <v>0</v>
      </c>
      <c r="G935">
        <v>1325.9604492000001</v>
      </c>
      <c r="H935">
        <v>1323.1813964999999</v>
      </c>
      <c r="I935">
        <v>1344.2662353999999</v>
      </c>
      <c r="J935">
        <v>1339.6491699000001</v>
      </c>
      <c r="K935">
        <v>80</v>
      </c>
      <c r="L935">
        <v>75.026199340999995</v>
      </c>
      <c r="M935">
        <v>60</v>
      </c>
      <c r="N935">
        <v>59.864376067999999</v>
      </c>
    </row>
    <row r="936" spans="1:14" x14ac:dyDescent="0.25">
      <c r="A936">
        <v>976</v>
      </c>
      <c r="B936" s="1">
        <f>DATE(2013,1,1) + TIME(0,0,0)</f>
        <v>41275</v>
      </c>
      <c r="C936">
        <v>0</v>
      </c>
      <c r="D936">
        <v>550</v>
      </c>
      <c r="E936">
        <v>550</v>
      </c>
      <c r="F936">
        <v>0</v>
      </c>
      <c r="G936">
        <v>1325.8963623</v>
      </c>
      <c r="H936">
        <v>1323.0935059000001</v>
      </c>
      <c r="I936">
        <v>1344.2568358999999</v>
      </c>
      <c r="J936">
        <v>1339.6417236</v>
      </c>
      <c r="K936">
        <v>80</v>
      </c>
      <c r="L936">
        <v>74.914283752000003</v>
      </c>
      <c r="M936">
        <v>60</v>
      </c>
      <c r="N936">
        <v>59.864517212000003</v>
      </c>
    </row>
    <row r="937" spans="1:14" x14ac:dyDescent="0.25">
      <c r="A937">
        <v>978.560473</v>
      </c>
      <c r="B937" s="1">
        <f>DATE(2013,1,3) + TIME(13,27,4)</f>
        <v>41277.56046296296</v>
      </c>
      <c r="C937">
        <v>0</v>
      </c>
      <c r="D937">
        <v>550</v>
      </c>
      <c r="E937">
        <v>550</v>
      </c>
      <c r="F937">
        <v>0</v>
      </c>
      <c r="G937">
        <v>1325.8482666</v>
      </c>
      <c r="H937">
        <v>1323.0228271000001</v>
      </c>
      <c r="I937">
        <v>1344.2518310999999</v>
      </c>
      <c r="J937">
        <v>1339.6375731999999</v>
      </c>
      <c r="K937">
        <v>80</v>
      </c>
      <c r="L937">
        <v>74.763313292999996</v>
      </c>
      <c r="M937">
        <v>60</v>
      </c>
      <c r="N937">
        <v>59.864772797000001</v>
      </c>
    </row>
    <row r="938" spans="1:14" x14ac:dyDescent="0.25">
      <c r="A938">
        <v>981.24113899999998</v>
      </c>
      <c r="B938" s="1">
        <f>DATE(2013,1,6) + TIME(5,47,14)</f>
        <v>41280.24113425926</v>
      </c>
      <c r="C938">
        <v>0</v>
      </c>
      <c r="D938">
        <v>550</v>
      </c>
      <c r="E938">
        <v>550</v>
      </c>
      <c r="F938">
        <v>0</v>
      </c>
      <c r="G938">
        <v>1325.7805175999999</v>
      </c>
      <c r="H938">
        <v>1322.9277344</v>
      </c>
      <c r="I938">
        <v>1344.2430420000001</v>
      </c>
      <c r="J938">
        <v>1339.6306152</v>
      </c>
      <c r="K938">
        <v>80</v>
      </c>
      <c r="L938">
        <v>74.604682921999995</v>
      </c>
      <c r="M938">
        <v>60</v>
      </c>
      <c r="N938">
        <v>59.865024566999999</v>
      </c>
    </row>
    <row r="939" spans="1:14" x14ac:dyDescent="0.25">
      <c r="A939">
        <v>984.00418999999999</v>
      </c>
      <c r="B939" s="1">
        <f>DATE(2013,1,9) + TIME(0,6,1)</f>
        <v>41283.004178240742</v>
      </c>
      <c r="C939">
        <v>0</v>
      </c>
      <c r="D939">
        <v>550</v>
      </c>
      <c r="E939">
        <v>550</v>
      </c>
      <c r="F939">
        <v>0</v>
      </c>
      <c r="G939">
        <v>1325.7094727000001</v>
      </c>
      <c r="H939">
        <v>1322.8278809000001</v>
      </c>
      <c r="I939">
        <v>1344.2342529</v>
      </c>
      <c r="J939">
        <v>1339.6236572</v>
      </c>
      <c r="K939">
        <v>80</v>
      </c>
      <c r="L939">
        <v>74.439903259000005</v>
      </c>
      <c r="M939">
        <v>60</v>
      </c>
      <c r="N939">
        <v>59.865276336999997</v>
      </c>
    </row>
    <row r="940" spans="1:14" x14ac:dyDescent="0.25">
      <c r="A940">
        <v>986.85792800000002</v>
      </c>
      <c r="B940" s="1">
        <f>DATE(2013,1,11) + TIME(20,35,24)</f>
        <v>41285.857916666668</v>
      </c>
      <c r="C940">
        <v>0</v>
      </c>
      <c r="D940">
        <v>550</v>
      </c>
      <c r="E940">
        <v>550</v>
      </c>
      <c r="F940">
        <v>0</v>
      </c>
      <c r="G940">
        <v>1325.6361084</v>
      </c>
      <c r="H940">
        <v>1322.7242432</v>
      </c>
      <c r="I940">
        <v>1344.2254639</v>
      </c>
      <c r="J940">
        <v>1339.6166992000001</v>
      </c>
      <c r="K940">
        <v>80</v>
      </c>
      <c r="L940">
        <v>74.269149780000006</v>
      </c>
      <c r="M940">
        <v>60</v>
      </c>
      <c r="N940">
        <v>59.865531920999999</v>
      </c>
    </row>
    <row r="941" spans="1:14" x14ac:dyDescent="0.25">
      <c r="A941">
        <v>989.80991200000005</v>
      </c>
      <c r="B941" s="1">
        <f>DATE(2013,1,14) + TIME(19,26,16)</f>
        <v>41288.809907407405</v>
      </c>
      <c r="C941">
        <v>0</v>
      </c>
      <c r="D941">
        <v>550</v>
      </c>
      <c r="E941">
        <v>550</v>
      </c>
      <c r="F941">
        <v>0</v>
      </c>
      <c r="G941">
        <v>1325.5601807</v>
      </c>
      <c r="H941">
        <v>1322.6169434000001</v>
      </c>
      <c r="I941">
        <v>1344.2167969</v>
      </c>
      <c r="J941">
        <v>1339.6098632999999</v>
      </c>
      <c r="K941">
        <v>80</v>
      </c>
      <c r="L941">
        <v>74.092178344999994</v>
      </c>
      <c r="M941">
        <v>60</v>
      </c>
      <c r="N941">
        <v>59.865791321000003</v>
      </c>
    </row>
    <row r="942" spans="1:14" x14ac:dyDescent="0.25">
      <c r="A942">
        <v>992.86805400000003</v>
      </c>
      <c r="B942" s="1">
        <f>DATE(2013,1,17) + TIME(20,49,59)</f>
        <v>41291.868043981478</v>
      </c>
      <c r="C942">
        <v>0</v>
      </c>
      <c r="D942">
        <v>550</v>
      </c>
      <c r="E942">
        <v>550</v>
      </c>
      <c r="F942">
        <v>0</v>
      </c>
      <c r="G942">
        <v>1325.4819336</v>
      </c>
      <c r="H942">
        <v>1322.5061035000001</v>
      </c>
      <c r="I942">
        <v>1344.2080077999999</v>
      </c>
      <c r="J942">
        <v>1339.6031493999999</v>
      </c>
      <c r="K942">
        <v>80</v>
      </c>
      <c r="L942">
        <v>73.908508300999998</v>
      </c>
      <c r="M942">
        <v>60</v>
      </c>
      <c r="N942">
        <v>59.866054535000004</v>
      </c>
    </row>
    <row r="943" spans="1:14" x14ac:dyDescent="0.25">
      <c r="A943">
        <v>996.04034000000001</v>
      </c>
      <c r="B943" s="1">
        <f>DATE(2013,1,21) + TIME(0,58,5)</f>
        <v>41295.040335648147</v>
      </c>
      <c r="C943">
        <v>0</v>
      </c>
      <c r="D943">
        <v>550</v>
      </c>
      <c r="E943">
        <v>550</v>
      </c>
      <c r="F943">
        <v>0</v>
      </c>
      <c r="G943">
        <v>1325.4011230000001</v>
      </c>
      <c r="H943">
        <v>1322.3914795000001</v>
      </c>
      <c r="I943">
        <v>1344.1992187999999</v>
      </c>
      <c r="J943">
        <v>1339.5964355000001</v>
      </c>
      <c r="K943">
        <v>80</v>
      </c>
      <c r="L943">
        <v>73.717430114999999</v>
      </c>
      <c r="M943">
        <v>60</v>
      </c>
      <c r="N943">
        <v>59.866321564000003</v>
      </c>
    </row>
    <row r="944" spans="1:14" x14ac:dyDescent="0.25">
      <c r="A944">
        <v>999.33732199999997</v>
      </c>
      <c r="B944" s="1">
        <f>DATE(2013,1,24) + TIME(8,5,44)</f>
        <v>41298.337314814817</v>
      </c>
      <c r="C944">
        <v>0</v>
      </c>
      <c r="D944">
        <v>550</v>
      </c>
      <c r="E944">
        <v>550</v>
      </c>
      <c r="F944">
        <v>0</v>
      </c>
      <c r="G944">
        <v>1325.3178711</v>
      </c>
      <c r="H944">
        <v>1322.2730713000001</v>
      </c>
      <c r="I944">
        <v>1344.1904297000001</v>
      </c>
      <c r="J944">
        <v>1339.5897216999999</v>
      </c>
      <c r="K944">
        <v>80</v>
      </c>
      <c r="L944">
        <v>73.517997742000006</v>
      </c>
      <c r="M944">
        <v>60</v>
      </c>
      <c r="N944">
        <v>59.866592406999999</v>
      </c>
    </row>
    <row r="945" spans="1:14" x14ac:dyDescent="0.25">
      <c r="A945">
        <v>1002.744046</v>
      </c>
      <c r="B945" s="1">
        <f>DATE(2013,1,27) + TIME(17,51,25)</f>
        <v>41301.744039351855</v>
      </c>
      <c r="C945">
        <v>0</v>
      </c>
      <c r="D945">
        <v>550</v>
      </c>
      <c r="E945">
        <v>550</v>
      </c>
      <c r="F945">
        <v>0</v>
      </c>
      <c r="G945">
        <v>1325.2318115</v>
      </c>
      <c r="H945">
        <v>1322.1505127</v>
      </c>
      <c r="I945">
        <v>1344.1815185999999</v>
      </c>
      <c r="J945">
        <v>1339.5830077999999</v>
      </c>
      <c r="K945">
        <v>80</v>
      </c>
      <c r="L945">
        <v>73.309883118000002</v>
      </c>
      <c r="M945">
        <v>60</v>
      </c>
      <c r="N945">
        <v>59.86687088</v>
      </c>
    </row>
    <row r="946" spans="1:14" x14ac:dyDescent="0.25">
      <c r="A946">
        <v>1006.272153</v>
      </c>
      <c r="B946" s="1">
        <f>DATE(2013,1,31) + TIME(6,31,54)</f>
        <v>41305.272152777776</v>
      </c>
      <c r="C946">
        <v>0</v>
      </c>
      <c r="D946">
        <v>550</v>
      </c>
      <c r="E946">
        <v>550</v>
      </c>
      <c r="F946">
        <v>0</v>
      </c>
      <c r="G946">
        <v>1325.1433105000001</v>
      </c>
      <c r="H946">
        <v>1322.0242920000001</v>
      </c>
      <c r="I946">
        <v>1344.1726074000001</v>
      </c>
      <c r="J946">
        <v>1339.5764160000001</v>
      </c>
      <c r="K946">
        <v>80</v>
      </c>
      <c r="L946">
        <v>73.092170714999995</v>
      </c>
      <c r="M946">
        <v>60</v>
      </c>
      <c r="N946">
        <v>59.867153168000002</v>
      </c>
    </row>
    <row r="947" spans="1:14" x14ac:dyDescent="0.25">
      <c r="A947">
        <v>1007</v>
      </c>
      <c r="B947" s="1">
        <f>DATE(2013,2,1) + TIME(0,0,0)</f>
        <v>41306</v>
      </c>
      <c r="C947">
        <v>0</v>
      </c>
      <c r="D947">
        <v>550</v>
      </c>
      <c r="E947">
        <v>550</v>
      </c>
      <c r="F947">
        <v>0</v>
      </c>
      <c r="G947">
        <v>1325.0621338000001</v>
      </c>
      <c r="H947">
        <v>1321.9160156</v>
      </c>
      <c r="I947">
        <v>1344.1627197</v>
      </c>
      <c r="J947">
        <v>1339.5690918</v>
      </c>
      <c r="K947">
        <v>80</v>
      </c>
      <c r="L947">
        <v>73.015968322999996</v>
      </c>
      <c r="M947">
        <v>60</v>
      </c>
      <c r="N947">
        <v>59.867198944000002</v>
      </c>
    </row>
    <row r="948" spans="1:14" x14ac:dyDescent="0.25">
      <c r="A948">
        <v>1010.627417</v>
      </c>
      <c r="B948" s="1">
        <f>DATE(2013,2,4) + TIME(15,3,28)</f>
        <v>41309.62740740741</v>
      </c>
      <c r="C948">
        <v>0</v>
      </c>
      <c r="D948">
        <v>550</v>
      </c>
      <c r="E948">
        <v>550</v>
      </c>
      <c r="F948">
        <v>0</v>
      </c>
      <c r="G948">
        <v>1325.0283202999999</v>
      </c>
      <c r="H948">
        <v>1321.8579102000001</v>
      </c>
      <c r="I948">
        <v>1344.1618652</v>
      </c>
      <c r="J948">
        <v>1339.5683594</v>
      </c>
      <c r="K948">
        <v>80</v>
      </c>
      <c r="L948">
        <v>72.802406310999999</v>
      </c>
      <c r="M948">
        <v>60</v>
      </c>
      <c r="N948">
        <v>59.867496490000001</v>
      </c>
    </row>
    <row r="949" spans="1:14" x14ac:dyDescent="0.25">
      <c r="A949">
        <v>1014.386704</v>
      </c>
      <c r="B949" s="1">
        <f>DATE(2013,2,8) + TIME(9,16,51)</f>
        <v>41313.386701388888</v>
      </c>
      <c r="C949">
        <v>0</v>
      </c>
      <c r="D949">
        <v>550</v>
      </c>
      <c r="E949">
        <v>550</v>
      </c>
      <c r="F949">
        <v>0</v>
      </c>
      <c r="G949">
        <v>1324.9384766000001</v>
      </c>
      <c r="H949">
        <v>1321.7298584</v>
      </c>
      <c r="I949">
        <v>1344.1527100000001</v>
      </c>
      <c r="J949">
        <v>1339.5617675999999</v>
      </c>
      <c r="K949">
        <v>80</v>
      </c>
      <c r="L949">
        <v>72.570175171000002</v>
      </c>
      <c r="M949">
        <v>60</v>
      </c>
      <c r="N949">
        <v>59.867790221999996</v>
      </c>
    </row>
    <row r="950" spans="1:14" x14ac:dyDescent="0.25">
      <c r="A950">
        <v>1018.267978</v>
      </c>
      <c r="B950" s="1">
        <f>DATE(2013,2,12) + TIME(6,25,53)</f>
        <v>41317.267974537041</v>
      </c>
      <c r="C950">
        <v>0</v>
      </c>
      <c r="D950">
        <v>550</v>
      </c>
      <c r="E950">
        <v>550</v>
      </c>
      <c r="F950">
        <v>0</v>
      </c>
      <c r="G950">
        <v>1324.8448486</v>
      </c>
      <c r="H950">
        <v>1321.5955810999999</v>
      </c>
      <c r="I950">
        <v>1344.1435547000001</v>
      </c>
      <c r="J950">
        <v>1339.5552978999999</v>
      </c>
      <c r="K950">
        <v>80</v>
      </c>
      <c r="L950">
        <v>72.321868895999998</v>
      </c>
      <c r="M950">
        <v>60</v>
      </c>
      <c r="N950">
        <v>59.868087768999999</v>
      </c>
    </row>
    <row r="951" spans="1:14" x14ac:dyDescent="0.25">
      <c r="A951">
        <v>1022.282476</v>
      </c>
      <c r="B951" s="1">
        <f>DATE(2013,2,16) + TIME(6,46,45)</f>
        <v>41321.282465277778</v>
      </c>
      <c r="C951">
        <v>0</v>
      </c>
      <c r="D951">
        <v>550</v>
      </c>
      <c r="E951">
        <v>550</v>
      </c>
      <c r="F951">
        <v>0</v>
      </c>
      <c r="G951">
        <v>1324.7484131000001</v>
      </c>
      <c r="H951">
        <v>1321.4566649999999</v>
      </c>
      <c r="I951">
        <v>1344.1342772999999</v>
      </c>
      <c r="J951">
        <v>1339.5487060999999</v>
      </c>
      <c r="K951">
        <v>80</v>
      </c>
      <c r="L951">
        <v>72.058090210000003</v>
      </c>
      <c r="M951">
        <v>60</v>
      </c>
      <c r="N951">
        <v>59.868389129999997</v>
      </c>
    </row>
    <row r="952" spans="1:14" x14ac:dyDescent="0.25">
      <c r="A952">
        <v>1026.3793989999999</v>
      </c>
      <c r="B952" s="1">
        <f>DATE(2013,2,20) + TIME(9,6,20)</f>
        <v>41325.37939814815</v>
      </c>
      <c r="C952">
        <v>0</v>
      </c>
      <c r="D952">
        <v>550</v>
      </c>
      <c r="E952">
        <v>550</v>
      </c>
      <c r="F952">
        <v>0</v>
      </c>
      <c r="G952">
        <v>1324.6496582</v>
      </c>
      <c r="H952">
        <v>1321.3139647999999</v>
      </c>
      <c r="I952">
        <v>1344.1248779</v>
      </c>
      <c r="J952">
        <v>1339.5421143000001</v>
      </c>
      <c r="K952">
        <v>80</v>
      </c>
      <c r="L952">
        <v>71.780197143999999</v>
      </c>
      <c r="M952">
        <v>60</v>
      </c>
      <c r="N952">
        <v>59.868690491000002</v>
      </c>
    </row>
    <row r="953" spans="1:14" x14ac:dyDescent="0.25">
      <c r="A953">
        <v>1030.576049</v>
      </c>
      <c r="B953" s="1">
        <f>DATE(2013,2,24) + TIME(13,49,30)</f>
        <v>41329.576041666667</v>
      </c>
      <c r="C953">
        <v>0</v>
      </c>
      <c r="D953">
        <v>550</v>
      </c>
      <c r="E953">
        <v>550</v>
      </c>
      <c r="F953">
        <v>0</v>
      </c>
      <c r="G953">
        <v>1324.5498047000001</v>
      </c>
      <c r="H953">
        <v>1321.1690673999999</v>
      </c>
      <c r="I953">
        <v>1344.1153564000001</v>
      </c>
      <c r="J953">
        <v>1339.5356445</v>
      </c>
      <c r="K953">
        <v>80</v>
      </c>
      <c r="L953">
        <v>71.488243103000002</v>
      </c>
      <c r="M953">
        <v>60</v>
      </c>
      <c r="N953">
        <v>59.868995667</v>
      </c>
    </row>
    <row r="954" spans="1:14" x14ac:dyDescent="0.25">
      <c r="A954">
        <v>1035</v>
      </c>
      <c r="B954" s="1">
        <f>DATE(2013,3,1) + TIME(0,0,0)</f>
        <v>41334</v>
      </c>
      <c r="C954">
        <v>0</v>
      </c>
      <c r="D954">
        <v>550</v>
      </c>
      <c r="E954">
        <v>550</v>
      </c>
      <c r="F954">
        <v>0</v>
      </c>
      <c r="G954">
        <v>1324.4486084</v>
      </c>
      <c r="H954">
        <v>1321.0216064000001</v>
      </c>
      <c r="I954">
        <v>1344.1057129000001</v>
      </c>
      <c r="J954">
        <v>1339.5291748</v>
      </c>
      <c r="K954">
        <v>80</v>
      </c>
      <c r="L954">
        <v>71.177833557</v>
      </c>
      <c r="M954">
        <v>60</v>
      </c>
      <c r="N954">
        <v>59.869312286000003</v>
      </c>
    </row>
    <row r="955" spans="1:14" x14ac:dyDescent="0.25">
      <c r="A955">
        <v>1039.325683</v>
      </c>
      <c r="B955" s="1">
        <f>DATE(2013,3,5) + TIME(7,48,58)</f>
        <v>41338.325671296298</v>
      </c>
      <c r="C955">
        <v>0</v>
      </c>
      <c r="D955">
        <v>550</v>
      </c>
      <c r="E955">
        <v>550</v>
      </c>
      <c r="F955">
        <v>0</v>
      </c>
      <c r="G955">
        <v>1324.3449707</v>
      </c>
      <c r="H955">
        <v>1320.8707274999999</v>
      </c>
      <c r="I955">
        <v>1344.0957031</v>
      </c>
      <c r="J955">
        <v>1339.5224608999999</v>
      </c>
      <c r="K955">
        <v>80</v>
      </c>
      <c r="L955">
        <v>70.85546875</v>
      </c>
      <c r="M955">
        <v>60</v>
      </c>
      <c r="N955">
        <v>59.869613647000001</v>
      </c>
    </row>
    <row r="956" spans="1:14" x14ac:dyDescent="0.25">
      <c r="A956">
        <v>1044.007239</v>
      </c>
      <c r="B956" s="1">
        <f>DATE(2013,3,10) + TIME(0,10,25)</f>
        <v>41343.007233796299</v>
      </c>
      <c r="C956">
        <v>0</v>
      </c>
      <c r="D956">
        <v>550</v>
      </c>
      <c r="E956">
        <v>550</v>
      </c>
      <c r="F956">
        <v>0</v>
      </c>
      <c r="G956">
        <v>1324.2434082</v>
      </c>
      <c r="H956">
        <v>1320.7209473</v>
      </c>
      <c r="I956">
        <v>1344.0860596</v>
      </c>
      <c r="J956">
        <v>1339.5159911999999</v>
      </c>
      <c r="K956">
        <v>80</v>
      </c>
      <c r="L956">
        <v>70.513122558999996</v>
      </c>
      <c r="M956">
        <v>60</v>
      </c>
      <c r="N956">
        <v>59.869937897</v>
      </c>
    </row>
    <row r="957" spans="1:14" x14ac:dyDescent="0.25">
      <c r="A957">
        <v>1048.845597</v>
      </c>
      <c r="B957" s="1">
        <f>DATE(2013,3,14) + TIME(20,17,39)</f>
        <v>41347.845590277779</v>
      </c>
      <c r="C957">
        <v>0</v>
      </c>
      <c r="D957">
        <v>550</v>
      </c>
      <c r="E957">
        <v>550</v>
      </c>
      <c r="F957">
        <v>0</v>
      </c>
      <c r="G957">
        <v>1324.1379394999999</v>
      </c>
      <c r="H957">
        <v>1320.565918</v>
      </c>
      <c r="I957">
        <v>1344.0756836</v>
      </c>
      <c r="J957">
        <v>1339.5092772999999</v>
      </c>
      <c r="K957">
        <v>80</v>
      </c>
      <c r="L957">
        <v>70.147636414000004</v>
      </c>
      <c r="M957">
        <v>60</v>
      </c>
      <c r="N957">
        <v>59.870265961000001</v>
      </c>
    </row>
    <row r="958" spans="1:14" x14ac:dyDescent="0.25">
      <c r="A958">
        <v>1053.794189</v>
      </c>
      <c r="B958" s="1">
        <f>DATE(2013,3,19) + TIME(19,3,37)</f>
        <v>41352.794178240743</v>
      </c>
      <c r="C958">
        <v>0</v>
      </c>
      <c r="D958">
        <v>550</v>
      </c>
      <c r="E958">
        <v>550</v>
      </c>
      <c r="F958">
        <v>0</v>
      </c>
      <c r="G958">
        <v>1324.0311279</v>
      </c>
      <c r="H958">
        <v>1320.4083252</v>
      </c>
      <c r="I958">
        <v>1344.0649414</v>
      </c>
      <c r="J958">
        <v>1339.5023193</v>
      </c>
      <c r="K958">
        <v>80</v>
      </c>
      <c r="L958">
        <v>69.761024474999999</v>
      </c>
      <c r="M958">
        <v>60</v>
      </c>
      <c r="N958">
        <v>59.870597838999998</v>
      </c>
    </row>
    <row r="959" spans="1:14" x14ac:dyDescent="0.25">
      <c r="A959">
        <v>1058.8699750000001</v>
      </c>
      <c r="B959" s="1">
        <f>DATE(2013,3,24) + TIME(20,52,45)</f>
        <v>41357.86996527778</v>
      </c>
      <c r="C959">
        <v>0</v>
      </c>
      <c r="D959">
        <v>550</v>
      </c>
      <c r="E959">
        <v>550</v>
      </c>
      <c r="F959">
        <v>0</v>
      </c>
      <c r="G959">
        <v>1323.9244385</v>
      </c>
      <c r="H959">
        <v>1320.2497559000001</v>
      </c>
      <c r="I959">
        <v>1344.0540771000001</v>
      </c>
      <c r="J959">
        <v>1339.4953613</v>
      </c>
      <c r="K959">
        <v>80</v>
      </c>
      <c r="L959">
        <v>69.354499817000004</v>
      </c>
      <c r="M959">
        <v>60</v>
      </c>
      <c r="N959">
        <v>59.870925903</v>
      </c>
    </row>
    <row r="960" spans="1:14" x14ac:dyDescent="0.25">
      <c r="A960">
        <v>1064.0399110000001</v>
      </c>
      <c r="B960" s="1">
        <f>DATE(2013,3,30) + TIME(0,57,28)</f>
        <v>41363.039907407408</v>
      </c>
      <c r="C960">
        <v>0</v>
      </c>
      <c r="D960">
        <v>550</v>
      </c>
      <c r="E960">
        <v>550</v>
      </c>
      <c r="F960">
        <v>0</v>
      </c>
      <c r="G960">
        <v>1323.8179932</v>
      </c>
      <c r="H960">
        <v>1320.0910644999999</v>
      </c>
      <c r="I960">
        <v>1344.0429687999999</v>
      </c>
      <c r="J960">
        <v>1339.4882812000001</v>
      </c>
      <c r="K960">
        <v>80</v>
      </c>
      <c r="L960">
        <v>68.929664611999996</v>
      </c>
      <c r="M960">
        <v>60</v>
      </c>
      <c r="N960">
        <v>59.871257782000001</v>
      </c>
    </row>
    <row r="961" spans="1:14" x14ac:dyDescent="0.25">
      <c r="A961">
        <v>1066</v>
      </c>
      <c r="B961" s="1">
        <f>DATE(2013,4,1) + TIME(0,0,0)</f>
        <v>41365</v>
      </c>
      <c r="C961">
        <v>0</v>
      </c>
      <c r="D961">
        <v>550</v>
      </c>
      <c r="E961">
        <v>550</v>
      </c>
      <c r="F961">
        <v>0</v>
      </c>
      <c r="G961">
        <v>1323.7174072</v>
      </c>
      <c r="H961">
        <v>1319.9500731999999</v>
      </c>
      <c r="I961">
        <v>1344.0311279</v>
      </c>
      <c r="J961">
        <v>1339.4807129000001</v>
      </c>
      <c r="K961">
        <v>80</v>
      </c>
      <c r="L961">
        <v>68.660148621000005</v>
      </c>
      <c r="M961">
        <v>60</v>
      </c>
      <c r="N961">
        <v>59.871349334999998</v>
      </c>
    </row>
    <row r="962" spans="1:14" x14ac:dyDescent="0.25">
      <c r="A962">
        <v>1071.301209</v>
      </c>
      <c r="B962" s="1">
        <f>DATE(2013,4,6) + TIME(7,13,44)</f>
        <v>41370.301203703704</v>
      </c>
      <c r="C962">
        <v>0</v>
      </c>
      <c r="D962">
        <v>550</v>
      </c>
      <c r="E962">
        <v>550</v>
      </c>
      <c r="F962">
        <v>0</v>
      </c>
      <c r="G962">
        <v>1323.6639404</v>
      </c>
      <c r="H962">
        <v>1319.855957</v>
      </c>
      <c r="I962">
        <v>1344.0274658000001</v>
      </c>
      <c r="J962">
        <v>1339.4782714999999</v>
      </c>
      <c r="K962">
        <v>80</v>
      </c>
      <c r="L962">
        <v>68.278381347999996</v>
      </c>
      <c r="M962">
        <v>60</v>
      </c>
      <c r="N962">
        <v>59.871704102000002</v>
      </c>
    </row>
    <row r="963" spans="1:14" x14ac:dyDescent="0.25">
      <c r="A963">
        <v>1076.850144</v>
      </c>
      <c r="B963" s="1">
        <f>DATE(2013,4,11) + TIME(20,24,12)</f>
        <v>41375.850138888891</v>
      </c>
      <c r="C963">
        <v>0</v>
      </c>
      <c r="D963">
        <v>550</v>
      </c>
      <c r="E963">
        <v>550</v>
      </c>
      <c r="F963">
        <v>0</v>
      </c>
      <c r="G963">
        <v>1323.5672606999999</v>
      </c>
      <c r="H963">
        <v>1319.7124022999999</v>
      </c>
      <c r="I963">
        <v>1344.0157471</v>
      </c>
      <c r="J963">
        <v>1339.4710693</v>
      </c>
      <c r="K963">
        <v>80</v>
      </c>
      <c r="L963">
        <v>67.836097717000001</v>
      </c>
      <c r="M963">
        <v>60</v>
      </c>
      <c r="N963">
        <v>59.872051239000001</v>
      </c>
    </row>
    <row r="964" spans="1:14" x14ac:dyDescent="0.25">
      <c r="A964">
        <v>1082.6254839999999</v>
      </c>
      <c r="B964" s="1">
        <f>DATE(2013,4,17) + TIME(15,0,41)</f>
        <v>41381.625474537039</v>
      </c>
      <c r="C964">
        <v>0</v>
      </c>
      <c r="D964">
        <v>550</v>
      </c>
      <c r="E964">
        <v>550</v>
      </c>
      <c r="F964">
        <v>0</v>
      </c>
      <c r="G964">
        <v>1323.4667969</v>
      </c>
      <c r="H964">
        <v>1319.5610352000001</v>
      </c>
      <c r="I964">
        <v>1344.0035399999999</v>
      </c>
      <c r="J964">
        <v>1339.463501</v>
      </c>
      <c r="K964">
        <v>80</v>
      </c>
      <c r="L964">
        <v>67.354904175000001</v>
      </c>
      <c r="M964">
        <v>60</v>
      </c>
      <c r="N964">
        <v>59.872402190999999</v>
      </c>
    </row>
    <row r="965" spans="1:14" x14ac:dyDescent="0.25">
      <c r="A965">
        <v>1088.6030029999999</v>
      </c>
      <c r="B965" s="1">
        <f>DATE(2013,4,23) + TIME(14,28,19)</f>
        <v>41387.602997685186</v>
      </c>
      <c r="C965">
        <v>0</v>
      </c>
      <c r="D965">
        <v>550</v>
      </c>
      <c r="E965">
        <v>550</v>
      </c>
      <c r="F965">
        <v>0</v>
      </c>
      <c r="G965">
        <v>1323.3654785000001</v>
      </c>
      <c r="H965">
        <v>1319.4069824000001</v>
      </c>
      <c r="I965">
        <v>1343.9908447</v>
      </c>
      <c r="J965">
        <v>1339.4556885</v>
      </c>
      <c r="K965">
        <v>80</v>
      </c>
      <c r="L965">
        <v>66.845413207999997</v>
      </c>
      <c r="M965">
        <v>60</v>
      </c>
      <c r="N965">
        <v>59.872756957999997</v>
      </c>
    </row>
    <row r="966" spans="1:14" x14ac:dyDescent="0.25">
      <c r="A966">
        <v>1094.680728</v>
      </c>
      <c r="B966" s="1">
        <f>DATE(2013,4,29) + TIME(16,20,14)</f>
        <v>41393.680717592593</v>
      </c>
      <c r="C966">
        <v>0</v>
      </c>
      <c r="D966">
        <v>550</v>
      </c>
      <c r="E966">
        <v>550</v>
      </c>
      <c r="F966">
        <v>0</v>
      </c>
      <c r="G966">
        <v>1323.2647704999999</v>
      </c>
      <c r="H966">
        <v>1319.2530518000001</v>
      </c>
      <c r="I966">
        <v>1343.9777832</v>
      </c>
      <c r="J966">
        <v>1339.4475098</v>
      </c>
      <c r="K966">
        <v>80</v>
      </c>
      <c r="L966">
        <v>66.316444396999998</v>
      </c>
      <c r="M966">
        <v>60</v>
      </c>
      <c r="N966">
        <v>59.873107910000002</v>
      </c>
    </row>
    <row r="967" spans="1:14" x14ac:dyDescent="0.25">
      <c r="A967">
        <v>1096</v>
      </c>
      <c r="B967" s="1">
        <f>DATE(2013,5,1) + TIME(0,0,0)</f>
        <v>41395</v>
      </c>
      <c r="C967">
        <v>0</v>
      </c>
      <c r="D967">
        <v>550</v>
      </c>
      <c r="E967">
        <v>550</v>
      </c>
      <c r="F967">
        <v>0</v>
      </c>
      <c r="G967">
        <v>1323.1704102000001</v>
      </c>
      <c r="H967">
        <v>1319.1252440999999</v>
      </c>
      <c r="I967">
        <v>1343.9637451000001</v>
      </c>
      <c r="J967">
        <v>1339.4385986</v>
      </c>
      <c r="K967">
        <v>80</v>
      </c>
      <c r="L967">
        <v>66.073554993000002</v>
      </c>
      <c r="M967">
        <v>60</v>
      </c>
      <c r="N967">
        <v>59.873149871999999</v>
      </c>
    </row>
    <row r="968" spans="1:14" x14ac:dyDescent="0.25">
      <c r="A968">
        <v>1096.0000010000001</v>
      </c>
      <c r="B968" s="1">
        <f>DATE(2013,5,1) + TIME(0,0,0)</f>
        <v>41395</v>
      </c>
      <c r="C968">
        <v>550</v>
      </c>
      <c r="D968">
        <v>0</v>
      </c>
      <c r="E968">
        <v>0</v>
      </c>
      <c r="F968">
        <v>550</v>
      </c>
      <c r="G968">
        <v>1328.3250731999999</v>
      </c>
      <c r="H968">
        <v>1323.4294434000001</v>
      </c>
      <c r="I968">
        <v>1339.2385254000001</v>
      </c>
      <c r="J968">
        <v>1336.2225341999999</v>
      </c>
      <c r="K968">
        <v>80</v>
      </c>
      <c r="L968">
        <v>66.073600768999995</v>
      </c>
      <c r="M968">
        <v>60</v>
      </c>
      <c r="N968">
        <v>59.873123169000003</v>
      </c>
    </row>
    <row r="969" spans="1:14" x14ac:dyDescent="0.25">
      <c r="A969">
        <v>1096.000004</v>
      </c>
      <c r="B969" s="1">
        <f>DATE(2013,5,1) + TIME(0,0,0)</f>
        <v>41395</v>
      </c>
      <c r="C969">
        <v>550</v>
      </c>
      <c r="D969">
        <v>0</v>
      </c>
      <c r="E969">
        <v>0</v>
      </c>
      <c r="F969">
        <v>550</v>
      </c>
      <c r="G969">
        <v>1328.8889160000001</v>
      </c>
      <c r="H969">
        <v>1324.0935059000001</v>
      </c>
      <c r="I969">
        <v>1338.7143555</v>
      </c>
      <c r="J969">
        <v>1335.6977539</v>
      </c>
      <c r="K969">
        <v>80</v>
      </c>
      <c r="L969">
        <v>66.073699950999995</v>
      </c>
      <c r="M969">
        <v>60</v>
      </c>
      <c r="N969">
        <v>59.873054504000002</v>
      </c>
    </row>
    <row r="970" spans="1:14" x14ac:dyDescent="0.25">
      <c r="A970">
        <v>1096.0000130000001</v>
      </c>
      <c r="B970" s="1">
        <f>DATE(2013,5,1) + TIME(0,0,1)</f>
        <v>41395.000011574077</v>
      </c>
      <c r="C970">
        <v>550</v>
      </c>
      <c r="D970">
        <v>0</v>
      </c>
      <c r="E970">
        <v>0</v>
      </c>
      <c r="F970">
        <v>550</v>
      </c>
      <c r="G970">
        <v>1330.1352539</v>
      </c>
      <c r="H970">
        <v>1325.4761963000001</v>
      </c>
      <c r="I970">
        <v>1337.5797118999999</v>
      </c>
      <c r="J970">
        <v>1334.5625</v>
      </c>
      <c r="K970">
        <v>80</v>
      </c>
      <c r="L970">
        <v>66.073936462000006</v>
      </c>
      <c r="M970">
        <v>60</v>
      </c>
      <c r="N970">
        <v>59.872901917</v>
      </c>
    </row>
    <row r="971" spans="1:14" x14ac:dyDescent="0.25">
      <c r="A971">
        <v>1096.0000399999999</v>
      </c>
      <c r="B971" s="1">
        <f>DATE(2013,5,1) + TIME(0,0,3)</f>
        <v>41395.000034722223</v>
      </c>
      <c r="C971">
        <v>550</v>
      </c>
      <c r="D971">
        <v>0</v>
      </c>
      <c r="E971">
        <v>0</v>
      </c>
      <c r="F971">
        <v>550</v>
      </c>
      <c r="G971">
        <v>1332.1979980000001</v>
      </c>
      <c r="H971">
        <v>1327.5996094</v>
      </c>
      <c r="I971">
        <v>1335.7727050999999</v>
      </c>
      <c r="J971">
        <v>1332.7554932</v>
      </c>
      <c r="K971">
        <v>80</v>
      </c>
      <c r="L971">
        <v>66.074363708000007</v>
      </c>
      <c r="M971">
        <v>60</v>
      </c>
      <c r="N971">
        <v>59.872665404999999</v>
      </c>
    </row>
    <row r="972" spans="1:14" x14ac:dyDescent="0.25">
      <c r="A972">
        <v>1096.000121</v>
      </c>
      <c r="B972" s="1">
        <f>DATE(2013,5,1) + TIME(0,0,10)</f>
        <v>41395.000115740739</v>
      </c>
      <c r="C972">
        <v>550</v>
      </c>
      <c r="D972">
        <v>0</v>
      </c>
      <c r="E972">
        <v>0</v>
      </c>
      <c r="F972">
        <v>550</v>
      </c>
      <c r="G972">
        <v>1334.7388916</v>
      </c>
      <c r="H972">
        <v>1330.0931396000001</v>
      </c>
      <c r="I972">
        <v>1333.6402588000001</v>
      </c>
      <c r="J972">
        <v>1330.6229248</v>
      </c>
      <c r="K972">
        <v>80</v>
      </c>
      <c r="L972">
        <v>66.075119018999999</v>
      </c>
      <c r="M972">
        <v>60</v>
      </c>
      <c r="N972">
        <v>59.872375488000003</v>
      </c>
    </row>
    <row r="973" spans="1:14" x14ac:dyDescent="0.25">
      <c r="A973">
        <v>1096.000364</v>
      </c>
      <c r="B973" s="1">
        <f>DATE(2013,5,1) + TIME(0,0,31)</f>
        <v>41395.000358796293</v>
      </c>
      <c r="C973">
        <v>550</v>
      </c>
      <c r="D973">
        <v>0</v>
      </c>
      <c r="E973">
        <v>0</v>
      </c>
      <c r="F973">
        <v>550</v>
      </c>
      <c r="G973">
        <v>1337.411499</v>
      </c>
      <c r="H973">
        <v>1332.6937256000001</v>
      </c>
      <c r="I973">
        <v>1331.4461670000001</v>
      </c>
      <c r="J973">
        <v>1328.4100341999999</v>
      </c>
      <c r="K973">
        <v>80</v>
      </c>
      <c r="L973">
        <v>66.076751709000007</v>
      </c>
      <c r="M973">
        <v>60</v>
      </c>
      <c r="N973">
        <v>59.872058868000003</v>
      </c>
    </row>
    <row r="974" spans="1:14" x14ac:dyDescent="0.25">
      <c r="A974">
        <v>1096.0010930000001</v>
      </c>
      <c r="B974" s="1">
        <f>DATE(2013,5,1) + TIME(0,1,34)</f>
        <v>41395.001087962963</v>
      </c>
      <c r="C974">
        <v>550</v>
      </c>
      <c r="D974">
        <v>0</v>
      </c>
      <c r="E974">
        <v>0</v>
      </c>
      <c r="F974">
        <v>550</v>
      </c>
      <c r="G974">
        <v>1340.072876</v>
      </c>
      <c r="H974">
        <v>1335.2844238</v>
      </c>
      <c r="I974">
        <v>1329.2436522999999</v>
      </c>
      <c r="J974">
        <v>1326.1318358999999</v>
      </c>
      <c r="K974">
        <v>80</v>
      </c>
      <c r="L974">
        <v>66.081001282000003</v>
      </c>
      <c r="M974">
        <v>60</v>
      </c>
      <c r="N974">
        <v>59.871677398999999</v>
      </c>
    </row>
    <row r="975" spans="1:14" x14ac:dyDescent="0.25">
      <c r="A975">
        <v>1096.0032799999999</v>
      </c>
      <c r="B975" s="1">
        <f>DATE(2013,5,1) + TIME(0,4,43)</f>
        <v>41395.003275462965</v>
      </c>
      <c r="C975">
        <v>550</v>
      </c>
      <c r="D975">
        <v>0</v>
      </c>
      <c r="E975">
        <v>0</v>
      </c>
      <c r="F975">
        <v>550</v>
      </c>
      <c r="G975">
        <v>1342.3985596</v>
      </c>
      <c r="H975">
        <v>1337.5588379000001</v>
      </c>
      <c r="I975">
        <v>1327.230957</v>
      </c>
      <c r="J975">
        <v>1323.9993896000001</v>
      </c>
      <c r="K975">
        <v>80</v>
      </c>
      <c r="L975">
        <v>66.09312439</v>
      </c>
      <c r="M975">
        <v>60</v>
      </c>
      <c r="N975">
        <v>59.871131896999998</v>
      </c>
    </row>
    <row r="976" spans="1:14" x14ac:dyDescent="0.25">
      <c r="A976">
        <v>1096.0098410000001</v>
      </c>
      <c r="B976" s="1">
        <f>DATE(2013,5,1) + TIME(0,14,10)</f>
        <v>41395.009837962964</v>
      </c>
      <c r="C976">
        <v>550</v>
      </c>
      <c r="D976">
        <v>0</v>
      </c>
      <c r="E976">
        <v>0</v>
      </c>
      <c r="F976">
        <v>550</v>
      </c>
      <c r="G976">
        <v>1343.9885254000001</v>
      </c>
      <c r="H976">
        <v>1339.1334228999999</v>
      </c>
      <c r="I976">
        <v>1325.7475586</v>
      </c>
      <c r="J976">
        <v>1322.4265137</v>
      </c>
      <c r="K976">
        <v>80</v>
      </c>
      <c r="L976">
        <v>66.128837584999999</v>
      </c>
      <c r="M976">
        <v>60</v>
      </c>
      <c r="N976">
        <v>59.870079040999997</v>
      </c>
    </row>
    <row r="977" spans="1:14" x14ac:dyDescent="0.25">
      <c r="A977">
        <v>1096.029524</v>
      </c>
      <c r="B977" s="1">
        <f>DATE(2013,5,1) + TIME(0,42,30)</f>
        <v>41395.029513888891</v>
      </c>
      <c r="C977">
        <v>550</v>
      </c>
      <c r="D977">
        <v>0</v>
      </c>
      <c r="E977">
        <v>0</v>
      </c>
      <c r="F977">
        <v>550</v>
      </c>
      <c r="G977">
        <v>1344.8098144999999</v>
      </c>
      <c r="H977">
        <v>1339.9593506000001</v>
      </c>
      <c r="I977">
        <v>1324.9329834</v>
      </c>
      <c r="J977">
        <v>1321.5756836</v>
      </c>
      <c r="K977">
        <v>80</v>
      </c>
      <c r="L977">
        <v>66.234664917000003</v>
      </c>
      <c r="M977">
        <v>60</v>
      </c>
      <c r="N977">
        <v>59.867397308000001</v>
      </c>
    </row>
    <row r="978" spans="1:14" x14ac:dyDescent="0.25">
      <c r="A978">
        <v>1096.088573</v>
      </c>
      <c r="B978" s="1">
        <f>DATE(2013,5,1) + TIME(2,7,32)</f>
        <v>41395.088564814818</v>
      </c>
      <c r="C978">
        <v>550</v>
      </c>
      <c r="D978">
        <v>0</v>
      </c>
      <c r="E978">
        <v>0</v>
      </c>
      <c r="F978">
        <v>550</v>
      </c>
      <c r="G978">
        <v>1345.112793</v>
      </c>
      <c r="H978">
        <v>1340.2839355000001</v>
      </c>
      <c r="I978">
        <v>1324.6496582</v>
      </c>
      <c r="J978">
        <v>1321.2833252</v>
      </c>
      <c r="K978">
        <v>80</v>
      </c>
      <c r="L978">
        <v>66.544593810999999</v>
      </c>
      <c r="M978">
        <v>60</v>
      </c>
      <c r="N978">
        <v>59.859714508000003</v>
      </c>
    </row>
    <row r="979" spans="1:14" x14ac:dyDescent="0.25">
      <c r="A979">
        <v>1096.2019009999999</v>
      </c>
      <c r="B979" s="1">
        <f>DATE(2013,5,1) + TIME(4,50,44)</f>
        <v>41395.201898148145</v>
      </c>
      <c r="C979">
        <v>550</v>
      </c>
      <c r="D979">
        <v>0</v>
      </c>
      <c r="E979">
        <v>0</v>
      </c>
      <c r="F979">
        <v>550</v>
      </c>
      <c r="G979">
        <v>1345.1500243999999</v>
      </c>
      <c r="H979">
        <v>1340.3554687999999</v>
      </c>
      <c r="I979">
        <v>1324.6157227000001</v>
      </c>
      <c r="J979">
        <v>1321.2478027</v>
      </c>
      <c r="K979">
        <v>80</v>
      </c>
      <c r="L979">
        <v>67.114280700999998</v>
      </c>
      <c r="M979">
        <v>60</v>
      </c>
      <c r="N979">
        <v>59.845306395999998</v>
      </c>
    </row>
    <row r="980" spans="1:14" x14ac:dyDescent="0.25">
      <c r="A980">
        <v>1096.3175269999999</v>
      </c>
      <c r="B980" s="1">
        <f>DATE(2013,5,1) + TIME(7,37,14)</f>
        <v>41395.317523148151</v>
      </c>
      <c r="C980">
        <v>550</v>
      </c>
      <c r="D980">
        <v>0</v>
      </c>
      <c r="E980">
        <v>0</v>
      </c>
      <c r="F980">
        <v>550</v>
      </c>
      <c r="G980">
        <v>1345.1472168</v>
      </c>
      <c r="H980">
        <v>1340.3734131000001</v>
      </c>
      <c r="I980">
        <v>1324.6179199000001</v>
      </c>
      <c r="J980">
        <v>1321.2490233999999</v>
      </c>
      <c r="K980">
        <v>80</v>
      </c>
      <c r="L980">
        <v>67.671981811999999</v>
      </c>
      <c r="M980">
        <v>60</v>
      </c>
      <c r="N980">
        <v>59.830753326</v>
      </c>
    </row>
    <row r="981" spans="1:14" x14ac:dyDescent="0.25">
      <c r="A981">
        <v>1096.4358050000001</v>
      </c>
      <c r="B981" s="1">
        <f>DATE(2013,5,1) + TIME(10,27,33)</f>
        <v>41395.435798611114</v>
      </c>
      <c r="C981">
        <v>550</v>
      </c>
      <c r="D981">
        <v>0</v>
      </c>
      <c r="E981">
        <v>0</v>
      </c>
      <c r="F981">
        <v>550</v>
      </c>
      <c r="G981">
        <v>1345.1333007999999</v>
      </c>
      <c r="H981">
        <v>1340.3789062000001</v>
      </c>
      <c r="I981">
        <v>1324.6198730000001</v>
      </c>
      <c r="J981">
        <v>1321.2501221</v>
      </c>
      <c r="K981">
        <v>80</v>
      </c>
      <c r="L981">
        <v>68.21875</v>
      </c>
      <c r="M981">
        <v>60</v>
      </c>
      <c r="N981">
        <v>59.816020966000004</v>
      </c>
    </row>
    <row r="982" spans="1:14" x14ac:dyDescent="0.25">
      <c r="A982">
        <v>1096.556875</v>
      </c>
      <c r="B982" s="1">
        <f>DATE(2013,5,1) + TIME(13,21,54)</f>
        <v>41395.556875000002</v>
      </c>
      <c r="C982">
        <v>550</v>
      </c>
      <c r="D982">
        <v>0</v>
      </c>
      <c r="E982">
        <v>0</v>
      </c>
      <c r="F982">
        <v>550</v>
      </c>
      <c r="G982">
        <v>1345.1186522999999</v>
      </c>
      <c r="H982">
        <v>1340.3825684000001</v>
      </c>
      <c r="I982">
        <v>1324.6206055</v>
      </c>
      <c r="J982">
        <v>1321.2498779</v>
      </c>
      <c r="K982">
        <v>80</v>
      </c>
      <c r="L982">
        <v>68.754516601999995</v>
      </c>
      <c r="M982">
        <v>60</v>
      </c>
      <c r="N982">
        <v>59.801090240000001</v>
      </c>
    </row>
    <row r="983" spans="1:14" x14ac:dyDescent="0.25">
      <c r="A983">
        <v>1096.6808900000001</v>
      </c>
      <c r="B983" s="1">
        <f>DATE(2013,5,1) + TIME(16,20,28)</f>
        <v>41395.680879629632</v>
      </c>
      <c r="C983">
        <v>550</v>
      </c>
      <c r="D983">
        <v>0</v>
      </c>
      <c r="E983">
        <v>0</v>
      </c>
      <c r="F983">
        <v>550</v>
      </c>
      <c r="G983">
        <v>1345.1054687999999</v>
      </c>
      <c r="H983">
        <v>1340.3863524999999</v>
      </c>
      <c r="I983">
        <v>1324.6207274999999</v>
      </c>
      <c r="J983">
        <v>1321.2491454999999</v>
      </c>
      <c r="K983">
        <v>80</v>
      </c>
      <c r="L983">
        <v>69.279212951999995</v>
      </c>
      <c r="M983">
        <v>60</v>
      </c>
      <c r="N983">
        <v>59.785949707</v>
      </c>
    </row>
    <row r="984" spans="1:14" x14ac:dyDescent="0.25">
      <c r="A984">
        <v>1096.8078410000001</v>
      </c>
      <c r="B984" s="1">
        <f>DATE(2013,5,1) + TIME(19,23,17)</f>
        <v>41395.807835648149</v>
      </c>
      <c r="C984">
        <v>550</v>
      </c>
      <c r="D984">
        <v>0</v>
      </c>
      <c r="E984">
        <v>0</v>
      </c>
      <c r="F984">
        <v>550</v>
      </c>
      <c r="G984">
        <v>1345.0941161999999</v>
      </c>
      <c r="H984">
        <v>1340.3909911999999</v>
      </c>
      <c r="I984">
        <v>1324.6207274999999</v>
      </c>
      <c r="J984">
        <v>1321.2480469</v>
      </c>
      <c r="K984">
        <v>80</v>
      </c>
      <c r="L984">
        <v>69.792083739999995</v>
      </c>
      <c r="M984">
        <v>60</v>
      </c>
      <c r="N984">
        <v>59.770610808999997</v>
      </c>
    </row>
    <row r="985" spans="1:14" x14ac:dyDescent="0.25">
      <c r="A985">
        <v>1096.9378300000001</v>
      </c>
      <c r="B985" s="1">
        <f>DATE(2013,5,1) + TIME(22,30,28)</f>
        <v>41395.937824074077</v>
      </c>
      <c r="C985">
        <v>550</v>
      </c>
      <c r="D985">
        <v>0</v>
      </c>
      <c r="E985">
        <v>0</v>
      </c>
      <c r="F985">
        <v>550</v>
      </c>
      <c r="G985">
        <v>1345.0847168</v>
      </c>
      <c r="H985">
        <v>1340.3963623</v>
      </c>
      <c r="I985">
        <v>1324.6207274999999</v>
      </c>
      <c r="J985">
        <v>1321.2469481999999</v>
      </c>
      <c r="K985">
        <v>80</v>
      </c>
      <c r="L985">
        <v>70.292648314999994</v>
      </c>
      <c r="M985">
        <v>60</v>
      </c>
      <c r="N985">
        <v>59.755065918</v>
      </c>
    </row>
    <row r="986" spans="1:14" x14ac:dyDescent="0.25">
      <c r="A986">
        <v>1097.0710260000001</v>
      </c>
      <c r="B986" s="1">
        <f>DATE(2013,5,2) + TIME(1,42,16)</f>
        <v>41396.071018518516</v>
      </c>
      <c r="C986">
        <v>550</v>
      </c>
      <c r="D986">
        <v>0</v>
      </c>
      <c r="E986">
        <v>0</v>
      </c>
      <c r="F986">
        <v>550</v>
      </c>
      <c r="G986">
        <v>1345.0770264</v>
      </c>
      <c r="H986">
        <v>1340.4025879000001</v>
      </c>
      <c r="I986">
        <v>1324.6206055</v>
      </c>
      <c r="J986">
        <v>1321.2458495999999</v>
      </c>
      <c r="K986">
        <v>80</v>
      </c>
      <c r="L986">
        <v>70.780914307000003</v>
      </c>
      <c r="M986">
        <v>60</v>
      </c>
      <c r="N986">
        <v>59.739303589000002</v>
      </c>
    </row>
    <row r="987" spans="1:14" x14ac:dyDescent="0.25">
      <c r="A987">
        <v>1097.2076119999999</v>
      </c>
      <c r="B987" s="1">
        <f>DATE(2013,5,2) + TIME(4,58,57)</f>
        <v>41396.207604166666</v>
      </c>
      <c r="C987">
        <v>550</v>
      </c>
      <c r="D987">
        <v>0</v>
      </c>
      <c r="E987">
        <v>0</v>
      </c>
      <c r="F987">
        <v>550</v>
      </c>
      <c r="G987">
        <v>1345.0710449000001</v>
      </c>
      <c r="H987">
        <v>1340.4094238</v>
      </c>
      <c r="I987">
        <v>1324.6204834</v>
      </c>
      <c r="J987">
        <v>1321.2445068</v>
      </c>
      <c r="K987">
        <v>80</v>
      </c>
      <c r="L987">
        <v>71.256973267000006</v>
      </c>
      <c r="M987">
        <v>60</v>
      </c>
      <c r="N987">
        <v>59.723304749</v>
      </c>
    </row>
    <row r="988" spans="1:14" x14ac:dyDescent="0.25">
      <c r="A988">
        <v>1097.3477809999999</v>
      </c>
      <c r="B988" s="1">
        <f>DATE(2013,5,2) + TIME(8,20,48)</f>
        <v>41396.347777777781</v>
      </c>
      <c r="C988">
        <v>550</v>
      </c>
      <c r="D988">
        <v>0</v>
      </c>
      <c r="E988">
        <v>0</v>
      </c>
      <c r="F988">
        <v>550</v>
      </c>
      <c r="G988">
        <v>1345.0666504000001</v>
      </c>
      <c r="H988">
        <v>1340.4168701000001</v>
      </c>
      <c r="I988">
        <v>1324.6202393000001</v>
      </c>
      <c r="J988">
        <v>1321.2431641000001</v>
      </c>
      <c r="K988">
        <v>80</v>
      </c>
      <c r="L988">
        <v>71.720748900999993</v>
      </c>
      <c r="M988">
        <v>60</v>
      </c>
      <c r="N988">
        <v>59.707061768000003</v>
      </c>
    </row>
    <row r="989" spans="1:14" x14ac:dyDescent="0.25">
      <c r="A989">
        <v>1097.4917399999999</v>
      </c>
      <c r="B989" s="1">
        <f>DATE(2013,5,2) + TIME(11,48,6)</f>
        <v>41396.491736111115</v>
      </c>
      <c r="C989">
        <v>550</v>
      </c>
      <c r="D989">
        <v>0</v>
      </c>
      <c r="E989">
        <v>0</v>
      </c>
      <c r="F989">
        <v>550</v>
      </c>
      <c r="G989">
        <v>1345.0637207</v>
      </c>
      <c r="H989">
        <v>1340.4248047000001</v>
      </c>
      <c r="I989">
        <v>1324.6199951000001</v>
      </c>
      <c r="J989">
        <v>1321.2418213000001</v>
      </c>
      <c r="K989">
        <v>80</v>
      </c>
      <c r="L989">
        <v>72.172157287999994</v>
      </c>
      <c r="M989">
        <v>60</v>
      </c>
      <c r="N989">
        <v>59.690555572999997</v>
      </c>
    </row>
    <row r="990" spans="1:14" x14ac:dyDescent="0.25">
      <c r="A990">
        <v>1097.639711</v>
      </c>
      <c r="B990" s="1">
        <f>DATE(2013,5,2) + TIME(15,21,11)</f>
        <v>41396.639710648145</v>
      </c>
      <c r="C990">
        <v>550</v>
      </c>
      <c r="D990">
        <v>0</v>
      </c>
      <c r="E990">
        <v>0</v>
      </c>
      <c r="F990">
        <v>550</v>
      </c>
      <c r="G990">
        <v>1345.0621338000001</v>
      </c>
      <c r="H990">
        <v>1340.4333495999999</v>
      </c>
      <c r="I990">
        <v>1324.619751</v>
      </c>
      <c r="J990">
        <v>1321.2403564000001</v>
      </c>
      <c r="K990">
        <v>80</v>
      </c>
      <c r="L990">
        <v>72.611099242999998</v>
      </c>
      <c r="M990">
        <v>60</v>
      </c>
      <c r="N990">
        <v>59.673770904999998</v>
      </c>
    </row>
    <row r="991" spans="1:14" x14ac:dyDescent="0.25">
      <c r="A991">
        <v>1097.7919220000001</v>
      </c>
      <c r="B991" s="1">
        <f>DATE(2013,5,2) + TIME(19,0,22)</f>
        <v>41396.791921296295</v>
      </c>
      <c r="C991">
        <v>550</v>
      </c>
      <c r="D991">
        <v>0</v>
      </c>
      <c r="E991">
        <v>0</v>
      </c>
      <c r="F991">
        <v>550</v>
      </c>
      <c r="G991">
        <v>1345.0617675999999</v>
      </c>
      <c r="H991">
        <v>1340.4423827999999</v>
      </c>
      <c r="I991">
        <v>1324.6193848</v>
      </c>
      <c r="J991">
        <v>1321.2387695</v>
      </c>
      <c r="K991">
        <v>80</v>
      </c>
      <c r="L991">
        <v>73.037445067999997</v>
      </c>
      <c r="M991">
        <v>60</v>
      </c>
      <c r="N991">
        <v>59.656692505000002</v>
      </c>
    </row>
    <row r="992" spans="1:14" x14ac:dyDescent="0.25">
      <c r="A992">
        <v>1097.9486079999999</v>
      </c>
      <c r="B992" s="1">
        <f>DATE(2013,5,2) + TIME(22,45,59)</f>
        <v>41396.948599537034</v>
      </c>
      <c r="C992">
        <v>550</v>
      </c>
      <c r="D992">
        <v>0</v>
      </c>
      <c r="E992">
        <v>0</v>
      </c>
      <c r="F992">
        <v>550</v>
      </c>
      <c r="G992">
        <v>1345.0627440999999</v>
      </c>
      <c r="H992">
        <v>1340.4517822</v>
      </c>
      <c r="I992">
        <v>1324.6190185999999</v>
      </c>
      <c r="J992">
        <v>1321.2370605000001</v>
      </c>
      <c r="K992">
        <v>80</v>
      </c>
      <c r="L992">
        <v>73.451042174999998</v>
      </c>
      <c r="M992">
        <v>60</v>
      </c>
      <c r="N992">
        <v>59.6393013</v>
      </c>
    </row>
    <row r="993" spans="1:14" x14ac:dyDescent="0.25">
      <c r="A993">
        <v>1098.110068</v>
      </c>
      <c r="B993" s="1">
        <f>DATE(2013,5,3) + TIME(2,38,29)</f>
        <v>41397.11005787037</v>
      </c>
      <c r="C993">
        <v>550</v>
      </c>
      <c r="D993">
        <v>0</v>
      </c>
      <c r="E993">
        <v>0</v>
      </c>
      <c r="F993">
        <v>550</v>
      </c>
      <c r="G993">
        <v>1345.0646973</v>
      </c>
      <c r="H993">
        <v>1340.4616699000001</v>
      </c>
      <c r="I993">
        <v>1324.6186522999999</v>
      </c>
      <c r="J993">
        <v>1321.2353516000001</v>
      </c>
      <c r="K993">
        <v>80</v>
      </c>
      <c r="L993">
        <v>73.851837157999995</v>
      </c>
      <c r="M993">
        <v>60</v>
      </c>
      <c r="N993">
        <v>59.621578217</v>
      </c>
    </row>
    <row r="994" spans="1:14" x14ac:dyDescent="0.25">
      <c r="A994">
        <v>1098.2765979999999</v>
      </c>
      <c r="B994" s="1">
        <f>DATE(2013,5,3) + TIME(6,38,18)</f>
        <v>41397.276597222219</v>
      </c>
      <c r="C994">
        <v>550</v>
      </c>
      <c r="D994">
        <v>0</v>
      </c>
      <c r="E994">
        <v>0</v>
      </c>
      <c r="F994">
        <v>550</v>
      </c>
      <c r="G994">
        <v>1345.067749</v>
      </c>
      <c r="H994">
        <v>1340.4716797000001</v>
      </c>
      <c r="I994">
        <v>1324.6181641000001</v>
      </c>
      <c r="J994">
        <v>1321.2335204999999</v>
      </c>
      <c r="K994">
        <v>80</v>
      </c>
      <c r="L994">
        <v>74.239715575999995</v>
      </c>
      <c r="M994">
        <v>60</v>
      </c>
      <c r="N994">
        <v>59.603496552000003</v>
      </c>
    </row>
    <row r="995" spans="1:14" x14ac:dyDescent="0.25">
      <c r="A995">
        <v>1098.448517</v>
      </c>
      <c r="B995" s="1">
        <f>DATE(2013,5,3) + TIME(10,45,51)</f>
        <v>41397.448506944442</v>
      </c>
      <c r="C995">
        <v>550</v>
      </c>
      <c r="D995">
        <v>0</v>
      </c>
      <c r="E995">
        <v>0</v>
      </c>
      <c r="F995">
        <v>550</v>
      </c>
      <c r="G995">
        <v>1345.0717772999999</v>
      </c>
      <c r="H995">
        <v>1340.4820557</v>
      </c>
      <c r="I995">
        <v>1324.6176757999999</v>
      </c>
      <c r="J995">
        <v>1321.2316894999999</v>
      </c>
      <c r="K995">
        <v>80</v>
      </c>
      <c r="L995">
        <v>74.614540099999999</v>
      </c>
      <c r="M995">
        <v>60</v>
      </c>
      <c r="N995">
        <v>59.585044861</v>
      </c>
    </row>
    <row r="996" spans="1:14" x14ac:dyDescent="0.25">
      <c r="A996">
        <v>1098.6261689999999</v>
      </c>
      <c r="B996" s="1">
        <f>DATE(2013,5,3) + TIME(15,1,41)</f>
        <v>41397.626168981478</v>
      </c>
      <c r="C996">
        <v>550</v>
      </c>
      <c r="D996">
        <v>0</v>
      </c>
      <c r="E996">
        <v>0</v>
      </c>
      <c r="F996">
        <v>550</v>
      </c>
      <c r="G996">
        <v>1345.0765381000001</v>
      </c>
      <c r="H996">
        <v>1340.4925536999999</v>
      </c>
      <c r="I996">
        <v>1324.6170654</v>
      </c>
      <c r="J996">
        <v>1321.2296143000001</v>
      </c>
      <c r="K996">
        <v>80</v>
      </c>
      <c r="L996">
        <v>74.976196289000001</v>
      </c>
      <c r="M996">
        <v>60</v>
      </c>
      <c r="N996">
        <v>59.566188812</v>
      </c>
    </row>
    <row r="997" spans="1:14" x14ac:dyDescent="0.25">
      <c r="A997">
        <v>1098.809929</v>
      </c>
      <c r="B997" s="1">
        <f>DATE(2013,5,3) + TIME(19,26,17)</f>
        <v>41397.809918981482</v>
      </c>
      <c r="C997">
        <v>550</v>
      </c>
      <c r="D997">
        <v>0</v>
      </c>
      <c r="E997">
        <v>0</v>
      </c>
      <c r="F997">
        <v>550</v>
      </c>
      <c r="G997">
        <v>1345.0820312000001</v>
      </c>
      <c r="H997">
        <v>1340.5032959</v>
      </c>
      <c r="I997">
        <v>1324.6164550999999</v>
      </c>
      <c r="J997">
        <v>1321.2275391000001</v>
      </c>
      <c r="K997">
        <v>80</v>
      </c>
      <c r="L997">
        <v>75.324310303000004</v>
      </c>
      <c r="M997">
        <v>60</v>
      </c>
      <c r="N997">
        <v>59.546909331999998</v>
      </c>
    </row>
    <row r="998" spans="1:14" x14ac:dyDescent="0.25">
      <c r="A998">
        <v>1099.0002019999999</v>
      </c>
      <c r="B998" s="1">
        <f>DATE(2013,5,4) + TIME(0,0,17)</f>
        <v>41398.000196759262</v>
      </c>
      <c r="C998">
        <v>550</v>
      </c>
      <c r="D998">
        <v>0</v>
      </c>
      <c r="E998">
        <v>0</v>
      </c>
      <c r="F998">
        <v>550</v>
      </c>
      <c r="G998">
        <v>1345.0882568</v>
      </c>
      <c r="H998">
        <v>1340.5140381000001</v>
      </c>
      <c r="I998">
        <v>1324.6157227000001</v>
      </c>
      <c r="J998">
        <v>1321.2253418</v>
      </c>
      <c r="K998">
        <v>80</v>
      </c>
      <c r="L998">
        <v>75.658996582</v>
      </c>
      <c r="M998">
        <v>60</v>
      </c>
      <c r="N998">
        <v>59.527175903</v>
      </c>
    </row>
    <row r="999" spans="1:14" x14ac:dyDescent="0.25">
      <c r="A999">
        <v>1099.1974319999999</v>
      </c>
      <c r="B999" s="1">
        <f>DATE(2013,5,4) + TIME(4,44,18)</f>
        <v>41398.197430555556</v>
      </c>
      <c r="C999">
        <v>550</v>
      </c>
      <c r="D999">
        <v>0</v>
      </c>
      <c r="E999">
        <v>0</v>
      </c>
      <c r="F999">
        <v>550</v>
      </c>
      <c r="G999">
        <v>1345.0950928</v>
      </c>
      <c r="H999">
        <v>1340.5249022999999</v>
      </c>
      <c r="I999">
        <v>1324.6149902</v>
      </c>
      <c r="J999">
        <v>1321.2231445</v>
      </c>
      <c r="K999">
        <v>80</v>
      </c>
      <c r="L999">
        <v>75.980148314999994</v>
      </c>
      <c r="M999">
        <v>60</v>
      </c>
      <c r="N999">
        <v>59.506961822999997</v>
      </c>
    </row>
    <row r="1000" spans="1:14" x14ac:dyDescent="0.25">
      <c r="A1000">
        <v>1099.4021009999999</v>
      </c>
      <c r="B1000" s="1">
        <f>DATE(2013,5,4) + TIME(9,39,1)</f>
        <v>41398.402094907404</v>
      </c>
      <c r="C1000">
        <v>550</v>
      </c>
      <c r="D1000">
        <v>0</v>
      </c>
      <c r="E1000">
        <v>0</v>
      </c>
      <c r="F1000">
        <v>550</v>
      </c>
      <c r="G1000">
        <v>1345.1022949000001</v>
      </c>
      <c r="H1000">
        <v>1340.5356445</v>
      </c>
      <c r="I1000">
        <v>1324.6141356999999</v>
      </c>
      <c r="J1000">
        <v>1321.2207031</v>
      </c>
      <c r="K1000">
        <v>80</v>
      </c>
      <c r="L1000">
        <v>76.287673949999999</v>
      </c>
      <c r="M1000">
        <v>60</v>
      </c>
      <c r="N1000">
        <v>59.486228943</v>
      </c>
    </row>
    <row r="1001" spans="1:14" x14ac:dyDescent="0.25">
      <c r="A1001">
        <v>1099.614738</v>
      </c>
      <c r="B1001" s="1">
        <f>DATE(2013,5,4) + TIME(14,45,13)</f>
        <v>41398.614733796298</v>
      </c>
      <c r="C1001">
        <v>550</v>
      </c>
      <c r="D1001">
        <v>0</v>
      </c>
      <c r="E1001">
        <v>0</v>
      </c>
      <c r="F1001">
        <v>550</v>
      </c>
      <c r="G1001">
        <v>1345.1101074000001</v>
      </c>
      <c r="H1001">
        <v>1340.5463867000001</v>
      </c>
      <c r="I1001">
        <v>1324.6132812000001</v>
      </c>
      <c r="J1001">
        <v>1321.2182617000001</v>
      </c>
      <c r="K1001">
        <v>80</v>
      </c>
      <c r="L1001">
        <v>76.581489563000005</v>
      </c>
      <c r="M1001">
        <v>60</v>
      </c>
      <c r="N1001">
        <v>59.464946746999999</v>
      </c>
    </row>
    <row r="1002" spans="1:14" x14ac:dyDescent="0.25">
      <c r="A1002">
        <v>1099.8360170000001</v>
      </c>
      <c r="B1002" s="1">
        <f>DATE(2013,5,4) + TIME(20,3,51)</f>
        <v>41398.836006944446</v>
      </c>
      <c r="C1002">
        <v>550</v>
      </c>
      <c r="D1002">
        <v>0</v>
      </c>
      <c r="E1002">
        <v>0</v>
      </c>
      <c r="F1002">
        <v>550</v>
      </c>
      <c r="G1002">
        <v>1345.1181641000001</v>
      </c>
      <c r="H1002">
        <v>1340.5571289</v>
      </c>
      <c r="I1002">
        <v>1324.6123047000001</v>
      </c>
      <c r="J1002">
        <v>1321.2155762</v>
      </c>
      <c r="K1002">
        <v>80</v>
      </c>
      <c r="L1002">
        <v>76.861625670999999</v>
      </c>
      <c r="M1002">
        <v>60</v>
      </c>
      <c r="N1002">
        <v>59.443069457999997</v>
      </c>
    </row>
    <row r="1003" spans="1:14" x14ac:dyDescent="0.25">
      <c r="A1003">
        <v>1100.066505</v>
      </c>
      <c r="B1003" s="1">
        <f>DATE(2013,5,5) + TIME(1,35,46)</f>
        <v>41399.066504629627</v>
      </c>
      <c r="C1003">
        <v>550</v>
      </c>
      <c r="D1003">
        <v>0</v>
      </c>
      <c r="E1003">
        <v>0</v>
      </c>
      <c r="F1003">
        <v>550</v>
      </c>
      <c r="G1003">
        <v>1345.1264647999999</v>
      </c>
      <c r="H1003">
        <v>1340.5676269999999</v>
      </c>
      <c r="I1003">
        <v>1324.6112060999999</v>
      </c>
      <c r="J1003">
        <v>1321.2128906</v>
      </c>
      <c r="K1003">
        <v>80</v>
      </c>
      <c r="L1003">
        <v>77.127944946</v>
      </c>
      <c r="M1003">
        <v>60</v>
      </c>
      <c r="N1003">
        <v>59.420558929000002</v>
      </c>
    </row>
    <row r="1004" spans="1:14" x14ac:dyDescent="0.25">
      <c r="A1004">
        <v>1100.306898</v>
      </c>
      <c r="B1004" s="1">
        <f>DATE(2013,5,5) + TIME(7,21,55)</f>
        <v>41399.306886574072</v>
      </c>
      <c r="C1004">
        <v>550</v>
      </c>
      <c r="D1004">
        <v>0</v>
      </c>
      <c r="E1004">
        <v>0</v>
      </c>
      <c r="F1004">
        <v>550</v>
      </c>
      <c r="G1004">
        <v>1345.1348877</v>
      </c>
      <c r="H1004">
        <v>1340.5778809000001</v>
      </c>
      <c r="I1004">
        <v>1324.6101074000001</v>
      </c>
      <c r="J1004">
        <v>1321.2099608999999</v>
      </c>
      <c r="K1004">
        <v>80</v>
      </c>
      <c r="L1004">
        <v>77.380386353000006</v>
      </c>
      <c r="M1004">
        <v>60</v>
      </c>
      <c r="N1004">
        <v>59.397373199</v>
      </c>
    </row>
    <row r="1005" spans="1:14" x14ac:dyDescent="0.25">
      <c r="A1005">
        <v>1100.5579769999999</v>
      </c>
      <c r="B1005" s="1">
        <f>DATE(2013,5,5) + TIME(13,23,29)</f>
        <v>41399.557974537034</v>
      </c>
      <c r="C1005">
        <v>550</v>
      </c>
      <c r="D1005">
        <v>0</v>
      </c>
      <c r="E1005">
        <v>0</v>
      </c>
      <c r="F1005">
        <v>550</v>
      </c>
      <c r="G1005">
        <v>1345.1435547000001</v>
      </c>
      <c r="H1005">
        <v>1340.5878906</v>
      </c>
      <c r="I1005">
        <v>1324.6087646000001</v>
      </c>
      <c r="J1005">
        <v>1321.2069091999999</v>
      </c>
      <c r="K1005">
        <v>80</v>
      </c>
      <c r="L1005">
        <v>77.618949889999996</v>
      </c>
      <c r="M1005">
        <v>60</v>
      </c>
      <c r="N1005">
        <v>59.373462676999999</v>
      </c>
    </row>
    <row r="1006" spans="1:14" x14ac:dyDescent="0.25">
      <c r="A1006">
        <v>1100.82061</v>
      </c>
      <c r="B1006" s="1">
        <f>DATE(2013,5,5) + TIME(19,41,40)</f>
        <v>41399.820601851854</v>
      </c>
      <c r="C1006">
        <v>550</v>
      </c>
      <c r="D1006">
        <v>0</v>
      </c>
      <c r="E1006">
        <v>0</v>
      </c>
      <c r="F1006">
        <v>550</v>
      </c>
      <c r="G1006">
        <v>1345.1520995999999</v>
      </c>
      <c r="H1006">
        <v>1340.5976562000001</v>
      </c>
      <c r="I1006">
        <v>1324.6074219</v>
      </c>
      <c r="J1006">
        <v>1321.2037353999999</v>
      </c>
      <c r="K1006">
        <v>80</v>
      </c>
      <c r="L1006">
        <v>77.843658446999996</v>
      </c>
      <c r="M1006">
        <v>60</v>
      </c>
      <c r="N1006">
        <v>59.348766327</v>
      </c>
    </row>
    <row r="1007" spans="1:14" x14ac:dyDescent="0.25">
      <c r="A1007">
        <v>1101.0957659999999</v>
      </c>
      <c r="B1007" s="1">
        <f>DATE(2013,5,6) + TIME(2,17,54)</f>
        <v>41400.095763888887</v>
      </c>
      <c r="C1007">
        <v>550</v>
      </c>
      <c r="D1007">
        <v>0</v>
      </c>
      <c r="E1007">
        <v>0</v>
      </c>
      <c r="F1007">
        <v>550</v>
      </c>
      <c r="G1007">
        <v>1345.1606445</v>
      </c>
      <c r="H1007">
        <v>1340.6070557</v>
      </c>
      <c r="I1007">
        <v>1324.605957</v>
      </c>
      <c r="J1007">
        <v>1321.2003173999999</v>
      </c>
      <c r="K1007">
        <v>80</v>
      </c>
      <c r="L1007">
        <v>78.054573059000006</v>
      </c>
      <c r="M1007">
        <v>60</v>
      </c>
      <c r="N1007">
        <v>59.323226929</v>
      </c>
    </row>
    <row r="1008" spans="1:14" x14ac:dyDescent="0.25">
      <c r="A1008">
        <v>1101.384528</v>
      </c>
      <c r="B1008" s="1">
        <f>DATE(2013,5,6) + TIME(9,13,43)</f>
        <v>41400.384525462963</v>
      </c>
      <c r="C1008">
        <v>550</v>
      </c>
      <c r="D1008">
        <v>0</v>
      </c>
      <c r="E1008">
        <v>0</v>
      </c>
      <c r="F1008">
        <v>550</v>
      </c>
      <c r="G1008">
        <v>1345.1690673999999</v>
      </c>
      <c r="H1008">
        <v>1340.6159668</v>
      </c>
      <c r="I1008">
        <v>1324.6043701000001</v>
      </c>
      <c r="J1008">
        <v>1321.1967772999999</v>
      </c>
      <c r="K1008">
        <v>80</v>
      </c>
      <c r="L1008">
        <v>78.251777649000005</v>
      </c>
      <c r="M1008">
        <v>60</v>
      </c>
      <c r="N1008">
        <v>59.296775818</v>
      </c>
    </row>
    <row r="1009" spans="1:14" x14ac:dyDescent="0.25">
      <c r="A1009">
        <v>1101.688114</v>
      </c>
      <c r="B1009" s="1">
        <f>DATE(2013,5,6) + TIME(16,30,53)</f>
        <v>41400.688113425924</v>
      </c>
      <c r="C1009">
        <v>550</v>
      </c>
      <c r="D1009">
        <v>0</v>
      </c>
      <c r="E1009">
        <v>0</v>
      </c>
      <c r="F1009">
        <v>550</v>
      </c>
      <c r="G1009">
        <v>1345.177124</v>
      </c>
      <c r="H1009">
        <v>1340.6243896000001</v>
      </c>
      <c r="I1009">
        <v>1324.6026611</v>
      </c>
      <c r="J1009">
        <v>1321.1931152</v>
      </c>
      <c r="K1009">
        <v>80</v>
      </c>
      <c r="L1009">
        <v>78.435394286999994</v>
      </c>
      <c r="M1009">
        <v>60</v>
      </c>
      <c r="N1009">
        <v>59.269336699999997</v>
      </c>
    </row>
    <row r="1010" spans="1:14" x14ac:dyDescent="0.25">
      <c r="A1010">
        <v>1102.007899</v>
      </c>
      <c r="B1010" s="1">
        <f>DATE(2013,5,7) + TIME(0,11,22)</f>
        <v>41401.007893518516</v>
      </c>
      <c r="C1010">
        <v>550</v>
      </c>
      <c r="D1010">
        <v>0</v>
      </c>
      <c r="E1010">
        <v>0</v>
      </c>
      <c r="F1010">
        <v>550</v>
      </c>
      <c r="G1010">
        <v>1345.1849365</v>
      </c>
      <c r="H1010">
        <v>1340.6324463000001</v>
      </c>
      <c r="I1010">
        <v>1324.6008300999999</v>
      </c>
      <c r="J1010">
        <v>1321.1890868999999</v>
      </c>
      <c r="K1010">
        <v>80</v>
      </c>
      <c r="L1010">
        <v>78.605598450000002</v>
      </c>
      <c r="M1010">
        <v>60</v>
      </c>
      <c r="N1010">
        <v>59.240825653000002</v>
      </c>
    </row>
    <row r="1011" spans="1:14" x14ac:dyDescent="0.25">
      <c r="A1011">
        <v>1102.3454449999999</v>
      </c>
      <c r="B1011" s="1">
        <f>DATE(2013,5,7) + TIME(8,17,26)</f>
        <v>41401.345439814817</v>
      </c>
      <c r="C1011">
        <v>550</v>
      </c>
      <c r="D1011">
        <v>0</v>
      </c>
      <c r="E1011">
        <v>0</v>
      </c>
      <c r="F1011">
        <v>550</v>
      </c>
      <c r="G1011">
        <v>1345.1922606999999</v>
      </c>
      <c r="H1011">
        <v>1340.6397704999999</v>
      </c>
      <c r="I1011">
        <v>1324.5987548999999</v>
      </c>
      <c r="J1011">
        <v>1321.1849365</v>
      </c>
      <c r="K1011">
        <v>80</v>
      </c>
      <c r="L1011">
        <v>78.762596130000006</v>
      </c>
      <c r="M1011">
        <v>60</v>
      </c>
      <c r="N1011">
        <v>59.211143493999998</v>
      </c>
    </row>
    <row r="1012" spans="1:14" x14ac:dyDescent="0.25">
      <c r="A1012">
        <v>1102.7026430000001</v>
      </c>
      <c r="B1012" s="1">
        <f>DATE(2013,5,7) + TIME(16,51,48)</f>
        <v>41401.702638888892</v>
      </c>
      <c r="C1012">
        <v>550</v>
      </c>
      <c r="D1012">
        <v>0</v>
      </c>
      <c r="E1012">
        <v>0</v>
      </c>
      <c r="F1012">
        <v>550</v>
      </c>
      <c r="G1012">
        <v>1345.1990966999999</v>
      </c>
      <c r="H1012">
        <v>1340.6464844</v>
      </c>
      <c r="I1012">
        <v>1324.5965576000001</v>
      </c>
      <c r="J1012">
        <v>1321.1805420000001</v>
      </c>
      <c r="K1012">
        <v>80</v>
      </c>
      <c r="L1012">
        <v>78.906692504999995</v>
      </c>
      <c r="M1012">
        <v>60</v>
      </c>
      <c r="N1012">
        <v>59.180171967</v>
      </c>
    </row>
    <row r="1013" spans="1:14" x14ac:dyDescent="0.25">
      <c r="A1013">
        <v>1103.0816090000001</v>
      </c>
      <c r="B1013" s="1">
        <f>DATE(2013,5,8) + TIME(1,57,31)</f>
        <v>41402.081608796296</v>
      </c>
      <c r="C1013">
        <v>550</v>
      </c>
      <c r="D1013">
        <v>0</v>
      </c>
      <c r="E1013">
        <v>0</v>
      </c>
      <c r="F1013">
        <v>550</v>
      </c>
      <c r="G1013">
        <v>1345.2053223</v>
      </c>
      <c r="H1013">
        <v>1340.6525879000001</v>
      </c>
      <c r="I1013">
        <v>1324.5941161999999</v>
      </c>
      <c r="J1013">
        <v>1321.1757812000001</v>
      </c>
      <c r="K1013">
        <v>80</v>
      </c>
      <c r="L1013">
        <v>79.038177489999995</v>
      </c>
      <c r="M1013">
        <v>60</v>
      </c>
      <c r="N1013">
        <v>59.147781371999997</v>
      </c>
    </row>
    <row r="1014" spans="1:14" x14ac:dyDescent="0.25">
      <c r="A1014">
        <v>1103.4845800000001</v>
      </c>
      <c r="B1014" s="1">
        <f>DATE(2013,5,8) + TIME(11,37,47)</f>
        <v>41402.484571759262</v>
      </c>
      <c r="C1014">
        <v>550</v>
      </c>
      <c r="D1014">
        <v>0</v>
      </c>
      <c r="E1014">
        <v>0</v>
      </c>
      <c r="F1014">
        <v>550</v>
      </c>
      <c r="G1014">
        <v>1345.2108154</v>
      </c>
      <c r="H1014">
        <v>1340.6579589999999</v>
      </c>
      <c r="I1014">
        <v>1324.5914307</v>
      </c>
      <c r="J1014">
        <v>1321.1706543</v>
      </c>
      <c r="K1014">
        <v>80</v>
      </c>
      <c r="L1014">
        <v>79.157371521000002</v>
      </c>
      <c r="M1014">
        <v>60</v>
      </c>
      <c r="N1014">
        <v>59.113845824999999</v>
      </c>
    </row>
    <row r="1015" spans="1:14" x14ac:dyDescent="0.25">
      <c r="A1015">
        <v>1103.914317</v>
      </c>
      <c r="B1015" s="1">
        <f>DATE(2013,5,8) + TIME(21,56,36)</f>
        <v>41402.914305555554</v>
      </c>
      <c r="C1015">
        <v>550</v>
      </c>
      <c r="D1015">
        <v>0</v>
      </c>
      <c r="E1015">
        <v>0</v>
      </c>
      <c r="F1015">
        <v>550</v>
      </c>
      <c r="G1015">
        <v>1345.2155762</v>
      </c>
      <c r="H1015">
        <v>1340.6625977000001</v>
      </c>
      <c r="I1015">
        <v>1324.5886230000001</v>
      </c>
      <c r="J1015">
        <v>1321.1652832</v>
      </c>
      <c r="K1015">
        <v>80</v>
      </c>
      <c r="L1015">
        <v>79.264671325999998</v>
      </c>
      <c r="M1015">
        <v>60</v>
      </c>
      <c r="N1015">
        <v>59.078193665000001</v>
      </c>
    </row>
    <row r="1016" spans="1:14" x14ac:dyDescent="0.25">
      <c r="A1016">
        <v>1104.374057</v>
      </c>
      <c r="B1016" s="1">
        <f>DATE(2013,5,9) + TIME(8,58,38)</f>
        <v>41403.374050925922</v>
      </c>
      <c r="C1016">
        <v>550</v>
      </c>
      <c r="D1016">
        <v>0</v>
      </c>
      <c r="E1016">
        <v>0</v>
      </c>
      <c r="F1016">
        <v>550</v>
      </c>
      <c r="G1016">
        <v>1345.2193603999999</v>
      </c>
      <c r="H1016">
        <v>1340.6662598</v>
      </c>
      <c r="I1016">
        <v>1324.5853271000001</v>
      </c>
      <c r="J1016">
        <v>1321.1594238</v>
      </c>
      <c r="K1016">
        <v>80</v>
      </c>
      <c r="L1016">
        <v>79.360542296999995</v>
      </c>
      <c r="M1016">
        <v>60</v>
      </c>
      <c r="N1016">
        <v>59.040637969999999</v>
      </c>
    </row>
    <row r="1017" spans="1:14" x14ac:dyDescent="0.25">
      <c r="A1017">
        <v>1104.86762</v>
      </c>
      <c r="B1017" s="1">
        <f>DATE(2013,5,9) + TIME(20,49,22)</f>
        <v>41403.867615740739</v>
      </c>
      <c r="C1017">
        <v>550</v>
      </c>
      <c r="D1017">
        <v>0</v>
      </c>
      <c r="E1017">
        <v>0</v>
      </c>
      <c r="F1017">
        <v>550</v>
      </c>
      <c r="G1017">
        <v>1345.2220459</v>
      </c>
      <c r="H1017">
        <v>1340.6690673999999</v>
      </c>
      <c r="I1017">
        <v>1324.5819091999999</v>
      </c>
      <c r="J1017">
        <v>1321.1530762</v>
      </c>
      <c r="K1017">
        <v>80</v>
      </c>
      <c r="L1017">
        <v>79.445480347</v>
      </c>
      <c r="M1017">
        <v>60</v>
      </c>
      <c r="N1017">
        <v>59.000949859999999</v>
      </c>
    </row>
    <row r="1018" spans="1:14" x14ac:dyDescent="0.25">
      <c r="A1018">
        <v>1105.3969219999999</v>
      </c>
      <c r="B1018" s="1">
        <f>DATE(2013,5,10) + TIME(9,31,34)</f>
        <v>41404.396921296298</v>
      </c>
      <c r="C1018">
        <v>550</v>
      </c>
      <c r="D1018">
        <v>0</v>
      </c>
      <c r="E1018">
        <v>0</v>
      </c>
      <c r="F1018">
        <v>550</v>
      </c>
      <c r="G1018">
        <v>1345.2238769999999</v>
      </c>
      <c r="H1018">
        <v>1340.6710204999999</v>
      </c>
      <c r="I1018">
        <v>1324.5780029</v>
      </c>
      <c r="J1018">
        <v>1321.1462402</v>
      </c>
      <c r="K1018">
        <v>80</v>
      </c>
      <c r="L1018">
        <v>79.519744872999993</v>
      </c>
      <c r="M1018">
        <v>60</v>
      </c>
      <c r="N1018">
        <v>58.959056854000004</v>
      </c>
    </row>
    <row r="1019" spans="1:14" x14ac:dyDescent="0.25">
      <c r="A1019">
        <v>1105.9316899999999</v>
      </c>
      <c r="B1019" s="1">
        <f>DATE(2013,5,10) + TIME(22,21,37)</f>
        <v>41404.93167824074</v>
      </c>
      <c r="C1019">
        <v>550</v>
      </c>
      <c r="D1019">
        <v>0</v>
      </c>
      <c r="E1019">
        <v>0</v>
      </c>
      <c r="F1019">
        <v>550</v>
      </c>
      <c r="G1019">
        <v>1345.2252197</v>
      </c>
      <c r="H1019">
        <v>1340.6724853999999</v>
      </c>
      <c r="I1019">
        <v>1324.5737305</v>
      </c>
      <c r="J1019">
        <v>1321.1389160000001</v>
      </c>
      <c r="K1019">
        <v>80</v>
      </c>
      <c r="L1019">
        <v>79.580848693999997</v>
      </c>
      <c r="M1019">
        <v>60</v>
      </c>
      <c r="N1019">
        <v>58.917091370000001</v>
      </c>
    </row>
    <row r="1020" spans="1:14" x14ac:dyDescent="0.25">
      <c r="A1020">
        <v>1106.4748199999999</v>
      </c>
      <c r="B1020" s="1">
        <f>DATE(2013,5,11) + TIME(11,23,44)</f>
        <v>41405.474814814814</v>
      </c>
      <c r="C1020">
        <v>550</v>
      </c>
      <c r="D1020">
        <v>0</v>
      </c>
      <c r="E1020">
        <v>0</v>
      </c>
      <c r="F1020">
        <v>550</v>
      </c>
      <c r="G1020">
        <v>1345.2252197</v>
      </c>
      <c r="H1020">
        <v>1340.6727295000001</v>
      </c>
      <c r="I1020">
        <v>1324.5693358999999</v>
      </c>
      <c r="J1020">
        <v>1321.1313477000001</v>
      </c>
      <c r="K1020">
        <v>80</v>
      </c>
      <c r="L1020">
        <v>79.631271362000007</v>
      </c>
      <c r="M1020">
        <v>60</v>
      </c>
      <c r="N1020">
        <v>58.874855042</v>
      </c>
    </row>
    <row r="1021" spans="1:14" x14ac:dyDescent="0.25">
      <c r="A1021">
        <v>1107.027462</v>
      </c>
      <c r="B1021" s="1">
        <f>DATE(2013,5,12) + TIME(0,39,32)</f>
        <v>41406.027453703704</v>
      </c>
      <c r="C1021">
        <v>550</v>
      </c>
      <c r="D1021">
        <v>0</v>
      </c>
      <c r="E1021">
        <v>0</v>
      </c>
      <c r="F1021">
        <v>550</v>
      </c>
      <c r="G1021">
        <v>1345.223999</v>
      </c>
      <c r="H1021">
        <v>1340.6721190999999</v>
      </c>
      <c r="I1021">
        <v>1324.5648193</v>
      </c>
      <c r="J1021">
        <v>1321.1236572</v>
      </c>
      <c r="K1021">
        <v>80</v>
      </c>
      <c r="L1021">
        <v>79.672859192000004</v>
      </c>
      <c r="M1021">
        <v>60</v>
      </c>
      <c r="N1021">
        <v>58.832271575999997</v>
      </c>
    </row>
    <row r="1022" spans="1:14" x14ac:dyDescent="0.25">
      <c r="A1022">
        <v>1107.5910730000001</v>
      </c>
      <c r="B1022" s="1">
        <f>DATE(2013,5,12) + TIME(14,11,8)</f>
        <v>41406.591064814813</v>
      </c>
      <c r="C1022">
        <v>550</v>
      </c>
      <c r="D1022">
        <v>0</v>
      </c>
      <c r="E1022">
        <v>0</v>
      </c>
      <c r="F1022">
        <v>550</v>
      </c>
      <c r="G1022">
        <v>1345.2215576000001</v>
      </c>
      <c r="H1022">
        <v>1340.6705322</v>
      </c>
      <c r="I1022">
        <v>1324.5600586</v>
      </c>
      <c r="J1022">
        <v>1321.1156006000001</v>
      </c>
      <c r="K1022">
        <v>80</v>
      </c>
      <c r="L1022">
        <v>79.707153320000003</v>
      </c>
      <c r="M1022">
        <v>60</v>
      </c>
      <c r="N1022">
        <v>58.789245604999998</v>
      </c>
    </row>
    <row r="1023" spans="1:14" x14ac:dyDescent="0.25">
      <c r="A1023">
        <v>1108.167166</v>
      </c>
      <c r="B1023" s="1">
        <f>DATE(2013,5,13) + TIME(4,0,43)</f>
        <v>41407.167164351849</v>
      </c>
      <c r="C1023">
        <v>550</v>
      </c>
      <c r="D1023">
        <v>0</v>
      </c>
      <c r="E1023">
        <v>0</v>
      </c>
      <c r="F1023">
        <v>550</v>
      </c>
      <c r="G1023">
        <v>1345.2180175999999</v>
      </c>
      <c r="H1023">
        <v>1340.6683350000001</v>
      </c>
      <c r="I1023">
        <v>1324.5550536999999</v>
      </c>
      <c r="J1023">
        <v>1321.1074219</v>
      </c>
      <c r="K1023">
        <v>80</v>
      </c>
      <c r="L1023">
        <v>79.735412597999996</v>
      </c>
      <c r="M1023">
        <v>60</v>
      </c>
      <c r="N1023">
        <v>58.745685577000003</v>
      </c>
    </row>
    <row r="1024" spans="1:14" x14ac:dyDescent="0.25">
      <c r="A1024">
        <v>1108.7575400000001</v>
      </c>
      <c r="B1024" s="1">
        <f>DATE(2013,5,13) + TIME(18,10,51)</f>
        <v>41407.757534722223</v>
      </c>
      <c r="C1024">
        <v>550</v>
      </c>
      <c r="D1024">
        <v>0</v>
      </c>
      <c r="E1024">
        <v>0</v>
      </c>
      <c r="F1024">
        <v>550</v>
      </c>
      <c r="G1024">
        <v>1345.213501</v>
      </c>
      <c r="H1024">
        <v>1340.6652832</v>
      </c>
      <c r="I1024">
        <v>1324.5498047000001</v>
      </c>
      <c r="J1024">
        <v>1321.0988769999999</v>
      </c>
      <c r="K1024">
        <v>80</v>
      </c>
      <c r="L1024">
        <v>79.758689880000006</v>
      </c>
      <c r="M1024">
        <v>60</v>
      </c>
      <c r="N1024">
        <v>58.701480865000001</v>
      </c>
    </row>
    <row r="1025" spans="1:14" x14ac:dyDescent="0.25">
      <c r="A1025">
        <v>1109.364118</v>
      </c>
      <c r="B1025" s="1">
        <f>DATE(2013,5,14) + TIME(8,44,19)</f>
        <v>41408.364108796297</v>
      </c>
      <c r="C1025">
        <v>550</v>
      </c>
      <c r="D1025">
        <v>0</v>
      </c>
      <c r="E1025">
        <v>0</v>
      </c>
      <c r="F1025">
        <v>550</v>
      </c>
      <c r="G1025">
        <v>1345.2081298999999</v>
      </c>
      <c r="H1025">
        <v>1340.6616211</v>
      </c>
      <c r="I1025">
        <v>1324.5444336</v>
      </c>
      <c r="J1025">
        <v>1321.0899658000001</v>
      </c>
      <c r="K1025">
        <v>80</v>
      </c>
      <c r="L1025">
        <v>79.777847289999997</v>
      </c>
      <c r="M1025">
        <v>60</v>
      </c>
      <c r="N1025">
        <v>58.656513214</v>
      </c>
    </row>
    <row r="1026" spans="1:14" x14ac:dyDescent="0.25">
      <c r="A1026">
        <v>1109.9888309999999</v>
      </c>
      <c r="B1026" s="1">
        <f>DATE(2013,5,14) + TIME(23,43,55)</f>
        <v>41408.98883101852</v>
      </c>
      <c r="C1026">
        <v>550</v>
      </c>
      <c r="D1026">
        <v>0</v>
      </c>
      <c r="E1026">
        <v>0</v>
      </c>
      <c r="F1026">
        <v>550</v>
      </c>
      <c r="G1026">
        <v>1345.2019043</v>
      </c>
      <c r="H1026">
        <v>1340.6573486</v>
      </c>
      <c r="I1026">
        <v>1324.5386963000001</v>
      </c>
      <c r="J1026">
        <v>1321.0806885</v>
      </c>
      <c r="K1026">
        <v>80</v>
      </c>
      <c r="L1026">
        <v>79.793601989999999</v>
      </c>
      <c r="M1026">
        <v>60</v>
      </c>
      <c r="N1026">
        <v>58.610671996999997</v>
      </c>
    </row>
    <row r="1027" spans="1:14" x14ac:dyDescent="0.25">
      <c r="A1027">
        <v>1110.627747</v>
      </c>
      <c r="B1027" s="1">
        <f>DATE(2013,5,15) + TIME(15,3,57)</f>
        <v>41409.627743055556</v>
      </c>
      <c r="C1027">
        <v>550</v>
      </c>
      <c r="D1027">
        <v>0</v>
      </c>
      <c r="E1027">
        <v>0</v>
      </c>
      <c r="F1027">
        <v>550</v>
      </c>
      <c r="G1027">
        <v>1345.1949463000001</v>
      </c>
      <c r="H1027">
        <v>1340.6527100000001</v>
      </c>
      <c r="I1027">
        <v>1324.5327147999999</v>
      </c>
      <c r="J1027">
        <v>1321.0710449000001</v>
      </c>
      <c r="K1027">
        <v>80</v>
      </c>
      <c r="L1027">
        <v>79.806434631000002</v>
      </c>
      <c r="M1027">
        <v>60</v>
      </c>
      <c r="N1027">
        <v>58.564216614000003</v>
      </c>
    </row>
    <row r="1028" spans="1:14" x14ac:dyDescent="0.25">
      <c r="A1028">
        <v>1111.2812280000001</v>
      </c>
      <c r="B1028" s="1">
        <f>DATE(2013,5,16) + TIME(6,44,58)</f>
        <v>41410.281226851854</v>
      </c>
      <c r="C1028">
        <v>550</v>
      </c>
      <c r="D1028">
        <v>0</v>
      </c>
      <c r="E1028">
        <v>0</v>
      </c>
      <c r="F1028">
        <v>550</v>
      </c>
      <c r="G1028">
        <v>1345.1872559000001</v>
      </c>
      <c r="H1028">
        <v>1340.6474608999999</v>
      </c>
      <c r="I1028">
        <v>1324.5264893000001</v>
      </c>
      <c r="J1028">
        <v>1321.0611572</v>
      </c>
      <c r="K1028">
        <v>80</v>
      </c>
      <c r="L1028">
        <v>79.816886901999993</v>
      </c>
      <c r="M1028">
        <v>60</v>
      </c>
      <c r="N1028">
        <v>58.517135619999998</v>
      </c>
    </row>
    <row r="1029" spans="1:14" x14ac:dyDescent="0.25">
      <c r="A1029">
        <v>1111.9506650000001</v>
      </c>
      <c r="B1029" s="1">
        <f>DATE(2013,5,16) + TIME(22,48,57)</f>
        <v>41410.950659722221</v>
      </c>
      <c r="C1029">
        <v>550</v>
      </c>
      <c r="D1029">
        <v>0</v>
      </c>
      <c r="E1029">
        <v>0</v>
      </c>
      <c r="F1029">
        <v>550</v>
      </c>
      <c r="G1029">
        <v>1345.1789550999999</v>
      </c>
      <c r="H1029">
        <v>1340.6418457</v>
      </c>
      <c r="I1029">
        <v>1324.5201416</v>
      </c>
      <c r="J1029">
        <v>1321.0507812000001</v>
      </c>
      <c r="K1029">
        <v>80</v>
      </c>
      <c r="L1029">
        <v>79.825393676999994</v>
      </c>
      <c r="M1029">
        <v>60</v>
      </c>
      <c r="N1029">
        <v>58.469348906999997</v>
      </c>
    </row>
    <row r="1030" spans="1:14" x14ac:dyDescent="0.25">
      <c r="A1030">
        <v>1112.637649</v>
      </c>
      <c r="B1030" s="1">
        <f>DATE(2013,5,17) + TIME(15,18,12)</f>
        <v>41411.637638888889</v>
      </c>
      <c r="C1030">
        <v>550</v>
      </c>
      <c r="D1030">
        <v>0</v>
      </c>
      <c r="E1030">
        <v>0</v>
      </c>
      <c r="F1030">
        <v>550</v>
      </c>
      <c r="G1030">
        <v>1345.1700439000001</v>
      </c>
      <c r="H1030">
        <v>1340.6358643000001</v>
      </c>
      <c r="I1030">
        <v>1324.5134277</v>
      </c>
      <c r="J1030">
        <v>1321.0400391000001</v>
      </c>
      <c r="K1030">
        <v>80</v>
      </c>
      <c r="L1030">
        <v>79.832328795999999</v>
      </c>
      <c r="M1030">
        <v>60</v>
      </c>
      <c r="N1030">
        <v>58.420780182000001</v>
      </c>
    </row>
    <row r="1031" spans="1:14" x14ac:dyDescent="0.25">
      <c r="A1031">
        <v>1113.343916</v>
      </c>
      <c r="B1031" s="1">
        <f>DATE(2013,5,18) + TIME(8,15,14)</f>
        <v>41412.343912037039</v>
      </c>
      <c r="C1031">
        <v>550</v>
      </c>
      <c r="D1031">
        <v>0</v>
      </c>
      <c r="E1031">
        <v>0</v>
      </c>
      <c r="F1031">
        <v>550</v>
      </c>
      <c r="G1031">
        <v>1345.1606445</v>
      </c>
      <c r="H1031">
        <v>1340.6296387</v>
      </c>
      <c r="I1031">
        <v>1324.5063477000001</v>
      </c>
      <c r="J1031">
        <v>1321.0289307</v>
      </c>
      <c r="K1031">
        <v>80</v>
      </c>
      <c r="L1031">
        <v>79.837989807</v>
      </c>
      <c r="M1031">
        <v>60</v>
      </c>
      <c r="N1031">
        <v>58.371334075999997</v>
      </c>
    </row>
    <row r="1032" spans="1:14" x14ac:dyDescent="0.25">
      <c r="A1032">
        <v>1114.0716640000001</v>
      </c>
      <c r="B1032" s="1">
        <f>DATE(2013,5,19) + TIME(1,43,11)</f>
        <v>41413.071655092594</v>
      </c>
      <c r="C1032">
        <v>550</v>
      </c>
      <c r="D1032">
        <v>0</v>
      </c>
      <c r="E1032">
        <v>0</v>
      </c>
      <c r="F1032">
        <v>550</v>
      </c>
      <c r="G1032">
        <v>1345.1507568</v>
      </c>
      <c r="H1032">
        <v>1340.6230469</v>
      </c>
      <c r="I1032">
        <v>1324.4991454999999</v>
      </c>
      <c r="J1032">
        <v>1321.0173339999999</v>
      </c>
      <c r="K1032">
        <v>80</v>
      </c>
      <c r="L1032">
        <v>79.842613220000004</v>
      </c>
      <c r="M1032">
        <v>60</v>
      </c>
      <c r="N1032">
        <v>58.320892334</v>
      </c>
    </row>
    <row r="1033" spans="1:14" x14ac:dyDescent="0.25">
      <c r="A1033">
        <v>1114.823406</v>
      </c>
      <c r="B1033" s="1">
        <f>DATE(2013,5,19) + TIME(19,45,42)</f>
        <v>41413.82340277778</v>
      </c>
      <c r="C1033">
        <v>550</v>
      </c>
      <c r="D1033">
        <v>0</v>
      </c>
      <c r="E1033">
        <v>0</v>
      </c>
      <c r="F1033">
        <v>550</v>
      </c>
      <c r="G1033">
        <v>1345.1403809000001</v>
      </c>
      <c r="H1033">
        <v>1340.6160889</v>
      </c>
      <c r="I1033">
        <v>1324.4914550999999</v>
      </c>
      <c r="J1033">
        <v>1321.005249</v>
      </c>
      <c r="K1033">
        <v>80</v>
      </c>
      <c r="L1033">
        <v>79.846397400000001</v>
      </c>
      <c r="M1033">
        <v>60</v>
      </c>
      <c r="N1033">
        <v>58.269332886000001</v>
      </c>
    </row>
    <row r="1034" spans="1:14" x14ac:dyDescent="0.25">
      <c r="A1034">
        <v>1115.601613</v>
      </c>
      <c r="B1034" s="1">
        <f>DATE(2013,5,20) + TIME(14,26,19)</f>
        <v>41414.6016087963</v>
      </c>
      <c r="C1034">
        <v>550</v>
      </c>
      <c r="D1034">
        <v>0</v>
      </c>
      <c r="E1034">
        <v>0</v>
      </c>
      <c r="F1034">
        <v>550</v>
      </c>
      <c r="G1034">
        <v>1345.1295166</v>
      </c>
      <c r="H1034">
        <v>1340.6088867000001</v>
      </c>
      <c r="I1034">
        <v>1324.4835204999999</v>
      </c>
      <c r="J1034">
        <v>1320.9926757999999</v>
      </c>
      <c r="K1034">
        <v>80</v>
      </c>
      <c r="L1034">
        <v>79.849494934000006</v>
      </c>
      <c r="M1034">
        <v>60</v>
      </c>
      <c r="N1034">
        <v>58.216526031000001</v>
      </c>
    </row>
    <row r="1035" spans="1:14" x14ac:dyDescent="0.25">
      <c r="A1035">
        <v>1116.4090779999999</v>
      </c>
      <c r="B1035" s="1">
        <f>DATE(2013,5,21) + TIME(9,49,4)</f>
        <v>41415.409074074072</v>
      </c>
      <c r="C1035">
        <v>550</v>
      </c>
      <c r="D1035">
        <v>0</v>
      </c>
      <c r="E1035">
        <v>0</v>
      </c>
      <c r="F1035">
        <v>550</v>
      </c>
      <c r="G1035">
        <v>1345.1181641000001</v>
      </c>
      <c r="H1035">
        <v>1340.6014404</v>
      </c>
      <c r="I1035">
        <v>1324.4750977000001</v>
      </c>
      <c r="J1035">
        <v>1320.9793701000001</v>
      </c>
      <c r="K1035">
        <v>80</v>
      </c>
      <c r="L1035">
        <v>79.852050781000003</v>
      </c>
      <c r="M1035">
        <v>60</v>
      </c>
      <c r="N1035">
        <v>58.162338257000002</v>
      </c>
    </row>
    <row r="1036" spans="1:14" x14ac:dyDescent="0.25">
      <c r="A1036">
        <v>1117.2489599999999</v>
      </c>
      <c r="B1036" s="1">
        <f>DATE(2013,5,22) + TIME(5,58,30)</f>
        <v>41416.24895833333</v>
      </c>
      <c r="C1036">
        <v>550</v>
      </c>
      <c r="D1036">
        <v>0</v>
      </c>
      <c r="E1036">
        <v>0</v>
      </c>
      <c r="F1036">
        <v>550</v>
      </c>
      <c r="G1036">
        <v>1345.1063231999999</v>
      </c>
      <c r="H1036">
        <v>1340.5936279</v>
      </c>
      <c r="I1036">
        <v>1324.4663086</v>
      </c>
      <c r="J1036">
        <v>1320.9655762</v>
      </c>
      <c r="K1036">
        <v>80</v>
      </c>
      <c r="L1036">
        <v>79.854148864999999</v>
      </c>
      <c r="M1036">
        <v>60</v>
      </c>
      <c r="N1036">
        <v>58.106613158999998</v>
      </c>
    </row>
    <row r="1037" spans="1:14" x14ac:dyDescent="0.25">
      <c r="A1037">
        <v>1118.123668</v>
      </c>
      <c r="B1037" s="1">
        <f>DATE(2013,5,23) + TIME(2,58,4)</f>
        <v>41417.123657407406</v>
      </c>
      <c r="C1037">
        <v>550</v>
      </c>
      <c r="D1037">
        <v>0</v>
      </c>
      <c r="E1037">
        <v>0</v>
      </c>
      <c r="F1037">
        <v>550</v>
      </c>
      <c r="G1037">
        <v>1345.0941161999999</v>
      </c>
      <c r="H1037">
        <v>1340.5856934000001</v>
      </c>
      <c r="I1037">
        <v>1324.4571533000001</v>
      </c>
      <c r="J1037">
        <v>1320.9509277</v>
      </c>
      <c r="K1037">
        <v>80</v>
      </c>
      <c r="L1037">
        <v>79.855888367000006</v>
      </c>
      <c r="M1037">
        <v>60</v>
      </c>
      <c r="N1037">
        <v>58.049247741999999</v>
      </c>
    </row>
    <row r="1038" spans="1:14" x14ac:dyDescent="0.25">
      <c r="A1038">
        <v>1119.023803</v>
      </c>
      <c r="B1038" s="1">
        <f>DATE(2013,5,24) + TIME(0,34,16)</f>
        <v>41418.023796296293</v>
      </c>
      <c r="C1038">
        <v>550</v>
      </c>
      <c r="D1038">
        <v>0</v>
      </c>
      <c r="E1038">
        <v>0</v>
      </c>
      <c r="F1038">
        <v>550</v>
      </c>
      <c r="G1038">
        <v>1345.0814209</v>
      </c>
      <c r="H1038">
        <v>1340.5773925999999</v>
      </c>
      <c r="I1038">
        <v>1324.4473877</v>
      </c>
      <c r="J1038">
        <v>1320.9355469</v>
      </c>
      <c r="K1038">
        <v>80</v>
      </c>
      <c r="L1038">
        <v>79.857307434000006</v>
      </c>
      <c r="M1038">
        <v>60</v>
      </c>
      <c r="N1038">
        <v>57.990756988999998</v>
      </c>
    </row>
    <row r="1039" spans="1:14" x14ac:dyDescent="0.25">
      <c r="A1039">
        <v>1119.9523750000001</v>
      </c>
      <c r="B1039" s="1">
        <f>DATE(2013,5,24) + TIME(22,51,25)</f>
        <v>41418.952372685184</v>
      </c>
      <c r="C1039">
        <v>550</v>
      </c>
      <c r="D1039">
        <v>0</v>
      </c>
      <c r="E1039">
        <v>0</v>
      </c>
      <c r="F1039">
        <v>550</v>
      </c>
      <c r="G1039">
        <v>1345.0684814000001</v>
      </c>
      <c r="H1039">
        <v>1340.5689697</v>
      </c>
      <c r="I1039">
        <v>1324.4372559000001</v>
      </c>
      <c r="J1039">
        <v>1320.9195557</v>
      </c>
      <c r="K1039">
        <v>80</v>
      </c>
      <c r="L1039">
        <v>79.858474731000001</v>
      </c>
      <c r="M1039">
        <v>60</v>
      </c>
      <c r="N1039">
        <v>57.931018829000003</v>
      </c>
    </row>
    <row r="1040" spans="1:14" x14ac:dyDescent="0.25">
      <c r="A1040">
        <v>1120.9149970000001</v>
      </c>
      <c r="B1040" s="1">
        <f>DATE(2013,5,25) + TIME(21,57,35)</f>
        <v>41419.914988425924</v>
      </c>
      <c r="C1040">
        <v>550</v>
      </c>
      <c r="D1040">
        <v>0</v>
      </c>
      <c r="E1040">
        <v>0</v>
      </c>
      <c r="F1040">
        <v>550</v>
      </c>
      <c r="G1040">
        <v>1345.0551757999999</v>
      </c>
      <c r="H1040">
        <v>1340.5604248</v>
      </c>
      <c r="I1040">
        <v>1324.4266356999999</v>
      </c>
      <c r="J1040">
        <v>1320.902832</v>
      </c>
      <c r="K1040">
        <v>80</v>
      </c>
      <c r="L1040">
        <v>79.859443665000001</v>
      </c>
      <c r="M1040">
        <v>60</v>
      </c>
      <c r="N1040">
        <v>57.869766235</v>
      </c>
    </row>
    <row r="1041" spans="1:14" x14ac:dyDescent="0.25">
      <c r="A1041">
        <v>1121.915467</v>
      </c>
      <c r="B1041" s="1">
        <f>DATE(2013,5,26) + TIME(21,58,16)</f>
        <v>41420.915462962963</v>
      </c>
      <c r="C1041">
        <v>550</v>
      </c>
      <c r="D1041">
        <v>0</v>
      </c>
      <c r="E1041">
        <v>0</v>
      </c>
      <c r="F1041">
        <v>550</v>
      </c>
      <c r="G1041">
        <v>1345.041626</v>
      </c>
      <c r="H1041">
        <v>1340.5516356999999</v>
      </c>
      <c r="I1041">
        <v>1324.4155272999999</v>
      </c>
      <c r="J1041">
        <v>1320.8852539</v>
      </c>
      <c r="K1041">
        <v>80</v>
      </c>
      <c r="L1041">
        <v>79.860244750999996</v>
      </c>
      <c r="M1041">
        <v>60</v>
      </c>
      <c r="N1041">
        <v>57.806846618999998</v>
      </c>
    </row>
    <row r="1042" spans="1:14" x14ac:dyDescent="0.25">
      <c r="A1042">
        <v>1122.957817</v>
      </c>
      <c r="B1042" s="1">
        <f>DATE(2013,5,27) + TIME(22,59,15)</f>
        <v>41421.957812499997</v>
      </c>
      <c r="C1042">
        <v>550</v>
      </c>
      <c r="D1042">
        <v>0</v>
      </c>
      <c r="E1042">
        <v>0</v>
      </c>
      <c r="F1042">
        <v>550</v>
      </c>
      <c r="G1042">
        <v>1345.0277100000001</v>
      </c>
      <c r="H1042">
        <v>1340.5427245999999</v>
      </c>
      <c r="I1042">
        <v>1324.4038086</v>
      </c>
      <c r="J1042">
        <v>1320.8668213000001</v>
      </c>
      <c r="K1042">
        <v>80</v>
      </c>
      <c r="L1042">
        <v>79.860916137999993</v>
      </c>
      <c r="M1042">
        <v>60</v>
      </c>
      <c r="N1042">
        <v>57.742080688000001</v>
      </c>
    </row>
    <row r="1043" spans="1:14" x14ac:dyDescent="0.25">
      <c r="A1043">
        <v>1124.0273239999999</v>
      </c>
      <c r="B1043" s="1">
        <f>DATE(2013,5,29) + TIME(0,39,20)</f>
        <v>41423.027314814812</v>
      </c>
      <c r="C1043">
        <v>550</v>
      </c>
      <c r="D1043">
        <v>0</v>
      </c>
      <c r="E1043">
        <v>0</v>
      </c>
      <c r="F1043">
        <v>550</v>
      </c>
      <c r="G1043">
        <v>1345.0134277</v>
      </c>
      <c r="H1043">
        <v>1340.5336914</v>
      </c>
      <c r="I1043">
        <v>1324.3916016000001</v>
      </c>
      <c r="J1043">
        <v>1320.8475341999999</v>
      </c>
      <c r="K1043">
        <v>80</v>
      </c>
      <c r="L1043">
        <v>79.861465453999998</v>
      </c>
      <c r="M1043">
        <v>60</v>
      </c>
      <c r="N1043">
        <v>57.676216125000003</v>
      </c>
    </row>
    <row r="1044" spans="1:14" x14ac:dyDescent="0.25">
      <c r="A1044">
        <v>1125.117992</v>
      </c>
      <c r="B1044" s="1">
        <f>DATE(2013,5,30) + TIME(2,49,54)</f>
        <v>41424.117986111109</v>
      </c>
      <c r="C1044">
        <v>550</v>
      </c>
      <c r="D1044">
        <v>0</v>
      </c>
      <c r="E1044">
        <v>0</v>
      </c>
      <c r="F1044">
        <v>550</v>
      </c>
      <c r="G1044">
        <v>1344.9990233999999</v>
      </c>
      <c r="H1044">
        <v>1340.5245361</v>
      </c>
      <c r="I1044">
        <v>1324.3789062000001</v>
      </c>
      <c r="J1044">
        <v>1320.8273925999999</v>
      </c>
      <c r="K1044">
        <v>80</v>
      </c>
      <c r="L1044">
        <v>79.861915588000002</v>
      </c>
      <c r="M1044">
        <v>60</v>
      </c>
      <c r="N1044">
        <v>57.609584808000001</v>
      </c>
    </row>
    <row r="1045" spans="1:14" x14ac:dyDescent="0.25">
      <c r="A1045">
        <v>1126.218212</v>
      </c>
      <c r="B1045" s="1">
        <f>DATE(2013,5,31) + TIME(5,14,13)</f>
        <v>41425.218206018515</v>
      </c>
      <c r="C1045">
        <v>550</v>
      </c>
      <c r="D1045">
        <v>0</v>
      </c>
      <c r="E1045">
        <v>0</v>
      </c>
      <c r="F1045">
        <v>550</v>
      </c>
      <c r="G1045">
        <v>1344.9846190999999</v>
      </c>
      <c r="H1045">
        <v>1340.5153809000001</v>
      </c>
      <c r="I1045">
        <v>1324.3657227000001</v>
      </c>
      <c r="J1045">
        <v>1320.8067627</v>
      </c>
      <c r="K1045">
        <v>80</v>
      </c>
      <c r="L1045">
        <v>79.862274170000006</v>
      </c>
      <c r="M1045">
        <v>60</v>
      </c>
      <c r="N1045">
        <v>57.542789458999998</v>
      </c>
    </row>
    <row r="1046" spans="1:14" x14ac:dyDescent="0.25">
      <c r="A1046">
        <v>1127</v>
      </c>
      <c r="B1046" s="1">
        <f>DATE(2013,6,1) + TIME(0,0,0)</f>
        <v>41426</v>
      </c>
      <c r="C1046">
        <v>550</v>
      </c>
      <c r="D1046">
        <v>0</v>
      </c>
      <c r="E1046">
        <v>0</v>
      </c>
      <c r="F1046">
        <v>550</v>
      </c>
      <c r="G1046">
        <v>1344.9705810999999</v>
      </c>
      <c r="H1046">
        <v>1340.5064697</v>
      </c>
      <c r="I1046">
        <v>1324.3529053</v>
      </c>
      <c r="J1046">
        <v>1320.7869873</v>
      </c>
      <c r="K1046">
        <v>80</v>
      </c>
      <c r="L1046">
        <v>79.862480164000004</v>
      </c>
      <c r="M1046">
        <v>60</v>
      </c>
      <c r="N1046">
        <v>57.492385863999999</v>
      </c>
    </row>
    <row r="1047" spans="1:14" x14ac:dyDescent="0.25">
      <c r="A1047">
        <v>1128.1126650000001</v>
      </c>
      <c r="B1047" s="1">
        <f>DATE(2013,6,2) + TIME(2,42,14)</f>
        <v>41427.112662037034</v>
      </c>
      <c r="C1047">
        <v>550</v>
      </c>
      <c r="D1047">
        <v>0</v>
      </c>
      <c r="E1047">
        <v>0</v>
      </c>
      <c r="F1047">
        <v>550</v>
      </c>
      <c r="G1047">
        <v>1344.9604492000001</v>
      </c>
      <c r="H1047">
        <v>1340.5001221</v>
      </c>
      <c r="I1047">
        <v>1324.3425293</v>
      </c>
      <c r="J1047">
        <v>1320.7698975000001</v>
      </c>
      <c r="K1047">
        <v>80</v>
      </c>
      <c r="L1047">
        <v>79.862731933999996</v>
      </c>
      <c r="M1047">
        <v>60</v>
      </c>
      <c r="N1047">
        <v>57.426364898999999</v>
      </c>
    </row>
    <row r="1048" spans="1:14" x14ac:dyDescent="0.25">
      <c r="A1048">
        <v>1129.254171</v>
      </c>
      <c r="B1048" s="1">
        <f>DATE(2013,6,3) + TIME(6,6,0)</f>
        <v>41428.254166666666</v>
      </c>
      <c r="C1048">
        <v>550</v>
      </c>
      <c r="D1048">
        <v>0</v>
      </c>
      <c r="E1048">
        <v>0</v>
      </c>
      <c r="F1048">
        <v>550</v>
      </c>
      <c r="G1048">
        <v>1344.9465332</v>
      </c>
      <c r="H1048">
        <v>1340.4913329999999</v>
      </c>
      <c r="I1048">
        <v>1324.3288574000001</v>
      </c>
      <c r="J1048">
        <v>1320.7481689000001</v>
      </c>
      <c r="K1048">
        <v>80</v>
      </c>
      <c r="L1048">
        <v>79.862945557000003</v>
      </c>
      <c r="M1048">
        <v>60</v>
      </c>
      <c r="N1048">
        <v>57.359306334999999</v>
      </c>
    </row>
    <row r="1049" spans="1:14" x14ac:dyDescent="0.25">
      <c r="A1049">
        <v>1130.4184399999999</v>
      </c>
      <c r="B1049" s="1">
        <f>DATE(2013,6,4) + TIME(10,2,33)</f>
        <v>41429.418437499997</v>
      </c>
      <c r="C1049">
        <v>550</v>
      </c>
      <c r="D1049">
        <v>0</v>
      </c>
      <c r="E1049">
        <v>0</v>
      </c>
      <c r="F1049">
        <v>550</v>
      </c>
      <c r="G1049">
        <v>1344.9324951000001</v>
      </c>
      <c r="H1049">
        <v>1340.4825439000001</v>
      </c>
      <c r="I1049">
        <v>1324.3146973</v>
      </c>
      <c r="J1049">
        <v>1320.7257079999999</v>
      </c>
      <c r="K1049">
        <v>80</v>
      </c>
      <c r="L1049">
        <v>79.863113403</v>
      </c>
      <c r="M1049">
        <v>60</v>
      </c>
      <c r="N1049">
        <v>57.291526793999999</v>
      </c>
    </row>
    <row r="1050" spans="1:14" x14ac:dyDescent="0.25">
      <c r="A1050">
        <v>1131.609256</v>
      </c>
      <c r="B1050" s="1">
        <f>DATE(2013,6,5) + TIME(14,37,19)</f>
        <v>41430.609247685185</v>
      </c>
      <c r="C1050">
        <v>550</v>
      </c>
      <c r="D1050">
        <v>0</v>
      </c>
      <c r="E1050">
        <v>0</v>
      </c>
      <c r="F1050">
        <v>550</v>
      </c>
      <c r="G1050">
        <v>1344.918457</v>
      </c>
      <c r="H1050">
        <v>1340.4737548999999</v>
      </c>
      <c r="I1050">
        <v>1324.3001709</v>
      </c>
      <c r="J1050">
        <v>1320.7025146000001</v>
      </c>
      <c r="K1050">
        <v>80</v>
      </c>
      <c r="L1050">
        <v>79.863250731999997</v>
      </c>
      <c r="M1050">
        <v>60</v>
      </c>
      <c r="N1050">
        <v>57.222900391000003</v>
      </c>
    </row>
    <row r="1051" spans="1:14" x14ac:dyDescent="0.25">
      <c r="A1051">
        <v>1132.8305009999999</v>
      </c>
      <c r="B1051" s="1">
        <f>DATE(2013,6,6) + TIME(19,55,55)</f>
        <v>41431.830497685187</v>
      </c>
      <c r="C1051">
        <v>550</v>
      </c>
      <c r="D1051">
        <v>0</v>
      </c>
      <c r="E1051">
        <v>0</v>
      </c>
      <c r="F1051">
        <v>550</v>
      </c>
      <c r="G1051">
        <v>1344.9044189000001</v>
      </c>
      <c r="H1051">
        <v>1340.4650879000001</v>
      </c>
      <c r="I1051">
        <v>1324.2851562000001</v>
      </c>
      <c r="J1051">
        <v>1320.6785889</v>
      </c>
      <c r="K1051">
        <v>80</v>
      </c>
      <c r="L1051">
        <v>79.863365173000005</v>
      </c>
      <c r="M1051">
        <v>60</v>
      </c>
      <c r="N1051">
        <v>57.153308868000003</v>
      </c>
    </row>
    <row r="1052" spans="1:14" x14ac:dyDescent="0.25">
      <c r="A1052">
        <v>1134.0864899999999</v>
      </c>
      <c r="B1052" s="1">
        <f>DATE(2013,6,8) + TIME(2,4,32)</f>
        <v>41433.086481481485</v>
      </c>
      <c r="C1052">
        <v>550</v>
      </c>
      <c r="D1052">
        <v>0</v>
      </c>
      <c r="E1052">
        <v>0</v>
      </c>
      <c r="F1052">
        <v>550</v>
      </c>
      <c r="G1052">
        <v>1344.8903809000001</v>
      </c>
      <c r="H1052">
        <v>1340.4562988</v>
      </c>
      <c r="I1052">
        <v>1324.2696533000001</v>
      </c>
      <c r="J1052">
        <v>1320.6538086</v>
      </c>
      <c r="K1052">
        <v>80</v>
      </c>
      <c r="L1052">
        <v>79.863449097</v>
      </c>
      <c r="M1052">
        <v>60</v>
      </c>
      <c r="N1052">
        <v>57.082595824999999</v>
      </c>
    </row>
    <row r="1053" spans="1:14" x14ac:dyDescent="0.25">
      <c r="A1053">
        <v>1135.381952</v>
      </c>
      <c r="B1053" s="1">
        <f>DATE(2013,6,9) + TIME(9,10,0)</f>
        <v>41434.381944444445</v>
      </c>
      <c r="C1053">
        <v>550</v>
      </c>
      <c r="D1053">
        <v>0</v>
      </c>
      <c r="E1053">
        <v>0</v>
      </c>
      <c r="F1053">
        <v>550</v>
      </c>
      <c r="G1053">
        <v>1344.8762207</v>
      </c>
      <c r="H1053">
        <v>1340.4475098</v>
      </c>
      <c r="I1053">
        <v>1324.2535399999999</v>
      </c>
      <c r="J1053">
        <v>1320.6280518000001</v>
      </c>
      <c r="K1053">
        <v>80</v>
      </c>
      <c r="L1053">
        <v>79.863517760999997</v>
      </c>
      <c r="M1053">
        <v>60</v>
      </c>
      <c r="N1053">
        <v>57.010597228999998</v>
      </c>
    </row>
    <row r="1054" spans="1:14" x14ac:dyDescent="0.25">
      <c r="A1054">
        <v>1136.7221509999999</v>
      </c>
      <c r="B1054" s="1">
        <f>DATE(2013,6,10) + TIME(17,19,53)</f>
        <v>41435.722141203703</v>
      </c>
      <c r="C1054">
        <v>550</v>
      </c>
      <c r="D1054">
        <v>0</v>
      </c>
      <c r="E1054">
        <v>0</v>
      </c>
      <c r="F1054">
        <v>550</v>
      </c>
      <c r="G1054">
        <v>1344.8618164</v>
      </c>
      <c r="H1054">
        <v>1340.4385986</v>
      </c>
      <c r="I1054">
        <v>1324.2369385</v>
      </c>
      <c r="J1054">
        <v>1320.6014404</v>
      </c>
      <c r="K1054">
        <v>80</v>
      </c>
      <c r="L1054">
        <v>79.863571167000003</v>
      </c>
      <c r="M1054">
        <v>60</v>
      </c>
      <c r="N1054">
        <v>56.937129974000001</v>
      </c>
    </row>
    <row r="1055" spans="1:14" x14ac:dyDescent="0.25">
      <c r="A1055">
        <v>1138.0945569999999</v>
      </c>
      <c r="B1055" s="1">
        <f>DATE(2013,6,12) + TIME(2,16,9)</f>
        <v>41437.094548611109</v>
      </c>
      <c r="C1055">
        <v>550</v>
      </c>
      <c r="D1055">
        <v>0</v>
      </c>
      <c r="E1055">
        <v>0</v>
      </c>
      <c r="F1055">
        <v>550</v>
      </c>
      <c r="G1055">
        <v>1344.8474120999999</v>
      </c>
      <c r="H1055">
        <v>1340.4296875</v>
      </c>
      <c r="I1055">
        <v>1324.2196045000001</v>
      </c>
      <c r="J1055">
        <v>1320.5737305</v>
      </c>
      <c r="K1055">
        <v>80</v>
      </c>
      <c r="L1055">
        <v>79.863609314000001</v>
      </c>
      <c r="M1055">
        <v>60</v>
      </c>
      <c r="N1055">
        <v>56.862724303999997</v>
      </c>
    </row>
    <row r="1056" spans="1:14" x14ac:dyDescent="0.25">
      <c r="A1056">
        <v>1139.4927889999999</v>
      </c>
      <c r="B1056" s="1">
        <f>DATE(2013,6,13) + TIME(11,49,36)</f>
        <v>41438.492777777778</v>
      </c>
      <c r="C1056">
        <v>550</v>
      </c>
      <c r="D1056">
        <v>0</v>
      </c>
      <c r="E1056">
        <v>0</v>
      </c>
      <c r="F1056">
        <v>550</v>
      </c>
      <c r="G1056">
        <v>1344.8328856999999</v>
      </c>
      <c r="H1056">
        <v>1340.4206543</v>
      </c>
      <c r="I1056">
        <v>1324.2019043</v>
      </c>
      <c r="J1056">
        <v>1320.5451660000001</v>
      </c>
      <c r="K1056">
        <v>80</v>
      </c>
      <c r="L1056">
        <v>79.863639832000004</v>
      </c>
      <c r="M1056">
        <v>60</v>
      </c>
      <c r="N1056">
        <v>56.787689209</v>
      </c>
    </row>
    <row r="1057" spans="1:14" x14ac:dyDescent="0.25">
      <c r="A1057">
        <v>1140.9215360000001</v>
      </c>
      <c r="B1057" s="1">
        <f>DATE(2013,6,14) + TIME(22,7,0)</f>
        <v>41439.921527777777</v>
      </c>
      <c r="C1057">
        <v>550</v>
      </c>
      <c r="D1057">
        <v>0</v>
      </c>
      <c r="E1057">
        <v>0</v>
      </c>
      <c r="F1057">
        <v>550</v>
      </c>
      <c r="G1057">
        <v>1344.8183594</v>
      </c>
      <c r="H1057">
        <v>1340.4117432</v>
      </c>
      <c r="I1057">
        <v>1324.1835937999999</v>
      </c>
      <c r="J1057">
        <v>1320.5157471</v>
      </c>
      <c r="K1057">
        <v>80</v>
      </c>
      <c r="L1057">
        <v>79.863655089999995</v>
      </c>
      <c r="M1057">
        <v>60</v>
      </c>
      <c r="N1057">
        <v>56.711925506999997</v>
      </c>
    </row>
    <row r="1058" spans="1:14" x14ac:dyDescent="0.25">
      <c r="A1058">
        <v>1142.3871240000001</v>
      </c>
      <c r="B1058" s="1">
        <f>DATE(2013,6,16) + TIME(9,17,27)</f>
        <v>41441.387118055558</v>
      </c>
      <c r="C1058">
        <v>550</v>
      </c>
      <c r="D1058">
        <v>0</v>
      </c>
      <c r="E1058">
        <v>0</v>
      </c>
      <c r="F1058">
        <v>550</v>
      </c>
      <c r="G1058">
        <v>1344.8039550999999</v>
      </c>
      <c r="H1058">
        <v>1340.4029541</v>
      </c>
      <c r="I1058">
        <v>1324.1649170000001</v>
      </c>
      <c r="J1058">
        <v>1320.4855957</v>
      </c>
      <c r="K1058">
        <v>80</v>
      </c>
      <c r="L1058">
        <v>79.863662719999994</v>
      </c>
      <c r="M1058">
        <v>60</v>
      </c>
      <c r="N1058">
        <v>56.635246277</v>
      </c>
    </row>
    <row r="1059" spans="1:14" x14ac:dyDescent="0.25">
      <c r="A1059">
        <v>1143.894395</v>
      </c>
      <c r="B1059" s="1">
        <f>DATE(2013,6,17) + TIME(21,27,55)</f>
        <v>41442.894386574073</v>
      </c>
      <c r="C1059">
        <v>550</v>
      </c>
      <c r="D1059">
        <v>0</v>
      </c>
      <c r="E1059">
        <v>0</v>
      </c>
      <c r="F1059">
        <v>550</v>
      </c>
      <c r="G1059">
        <v>1344.7894286999999</v>
      </c>
      <c r="H1059">
        <v>1340.394043</v>
      </c>
      <c r="I1059">
        <v>1324.1457519999999</v>
      </c>
      <c r="J1059">
        <v>1320.4544678</v>
      </c>
      <c r="K1059">
        <v>80</v>
      </c>
      <c r="L1059">
        <v>79.863670349000003</v>
      </c>
      <c r="M1059">
        <v>60</v>
      </c>
      <c r="N1059">
        <v>56.557529449</v>
      </c>
    </row>
    <row r="1060" spans="1:14" x14ac:dyDescent="0.25">
      <c r="A1060">
        <v>1145.4487979999999</v>
      </c>
      <c r="B1060" s="1">
        <f>DATE(2013,6,19) + TIME(10,46,16)</f>
        <v>41444.448796296296</v>
      </c>
      <c r="C1060">
        <v>550</v>
      </c>
      <c r="D1060">
        <v>0</v>
      </c>
      <c r="E1060">
        <v>0</v>
      </c>
      <c r="F1060">
        <v>550</v>
      </c>
      <c r="G1060">
        <v>1344.7749022999999</v>
      </c>
      <c r="H1060">
        <v>1340.3851318</v>
      </c>
      <c r="I1060">
        <v>1324.1258545000001</v>
      </c>
      <c r="J1060">
        <v>1320.4222411999999</v>
      </c>
      <c r="K1060">
        <v>80</v>
      </c>
      <c r="L1060">
        <v>79.863662719999994</v>
      </c>
      <c r="M1060">
        <v>60</v>
      </c>
      <c r="N1060">
        <v>56.478614807</v>
      </c>
    </row>
    <row r="1061" spans="1:14" x14ac:dyDescent="0.25">
      <c r="A1061">
        <v>1147.056589</v>
      </c>
      <c r="B1061" s="1">
        <f>DATE(2013,6,21) + TIME(1,21,29)</f>
        <v>41446.056585648148</v>
      </c>
      <c r="C1061">
        <v>550</v>
      </c>
      <c r="D1061">
        <v>0</v>
      </c>
      <c r="E1061">
        <v>0</v>
      </c>
      <c r="F1061">
        <v>550</v>
      </c>
      <c r="G1061">
        <v>1344.7602539</v>
      </c>
      <c r="H1061">
        <v>1340.3760986</v>
      </c>
      <c r="I1061">
        <v>1324.1053466999999</v>
      </c>
      <c r="J1061">
        <v>1320.3889160000001</v>
      </c>
      <c r="K1061">
        <v>80</v>
      </c>
      <c r="L1061">
        <v>79.863662719999994</v>
      </c>
      <c r="M1061">
        <v>60</v>
      </c>
      <c r="N1061">
        <v>56.398326873999999</v>
      </c>
    </row>
    <row r="1062" spans="1:14" x14ac:dyDescent="0.25">
      <c r="A1062">
        <v>1148.7206200000001</v>
      </c>
      <c r="B1062" s="1">
        <f>DATE(2013,6,22) + TIME(17,17,41)</f>
        <v>41447.720613425925</v>
      </c>
      <c r="C1062">
        <v>550</v>
      </c>
      <c r="D1062">
        <v>0</v>
      </c>
      <c r="E1062">
        <v>0</v>
      </c>
      <c r="F1062">
        <v>550</v>
      </c>
      <c r="G1062">
        <v>1344.7453613</v>
      </c>
      <c r="H1062">
        <v>1340.3670654</v>
      </c>
      <c r="I1062">
        <v>1324.0841064000001</v>
      </c>
      <c r="J1062">
        <v>1320.3542480000001</v>
      </c>
      <c r="K1062">
        <v>80</v>
      </c>
      <c r="L1062">
        <v>79.863655089999995</v>
      </c>
      <c r="M1062">
        <v>60</v>
      </c>
      <c r="N1062">
        <v>56.316616058000001</v>
      </c>
    </row>
    <row r="1063" spans="1:14" x14ac:dyDescent="0.25">
      <c r="A1063">
        <v>1150.4075</v>
      </c>
      <c r="B1063" s="1">
        <f>DATE(2013,6,24) + TIME(9,46,48)</f>
        <v>41449.407500000001</v>
      </c>
      <c r="C1063">
        <v>550</v>
      </c>
      <c r="D1063">
        <v>0</v>
      </c>
      <c r="E1063">
        <v>0</v>
      </c>
      <c r="F1063">
        <v>550</v>
      </c>
      <c r="G1063">
        <v>1344.7303466999999</v>
      </c>
      <c r="H1063">
        <v>1340.3577881000001</v>
      </c>
      <c r="I1063">
        <v>1324.0621338000001</v>
      </c>
      <c r="J1063">
        <v>1320.3184814000001</v>
      </c>
      <c r="K1063">
        <v>80</v>
      </c>
      <c r="L1063">
        <v>79.863639832000004</v>
      </c>
      <c r="M1063">
        <v>60</v>
      </c>
      <c r="N1063">
        <v>56.234668732000003</v>
      </c>
    </row>
    <row r="1064" spans="1:14" x14ac:dyDescent="0.25">
      <c r="A1064">
        <v>1152.1235200000001</v>
      </c>
      <c r="B1064" s="1">
        <f>DATE(2013,6,26) + TIME(2,57,52)</f>
        <v>41451.123518518521</v>
      </c>
      <c r="C1064">
        <v>550</v>
      </c>
      <c r="D1064">
        <v>0</v>
      </c>
      <c r="E1064">
        <v>0</v>
      </c>
      <c r="F1064">
        <v>550</v>
      </c>
      <c r="G1064">
        <v>1344.7154541</v>
      </c>
      <c r="H1064">
        <v>1340.3487548999999</v>
      </c>
      <c r="I1064">
        <v>1324.0399170000001</v>
      </c>
      <c r="J1064">
        <v>1320.2819824000001</v>
      </c>
      <c r="K1064">
        <v>80</v>
      </c>
      <c r="L1064">
        <v>79.863632202000005</v>
      </c>
      <c r="M1064">
        <v>60</v>
      </c>
      <c r="N1064">
        <v>56.152454376000001</v>
      </c>
    </row>
    <row r="1065" spans="1:14" x14ac:dyDescent="0.25">
      <c r="A1065">
        <v>1153.874892</v>
      </c>
      <c r="B1065" s="1">
        <f>DATE(2013,6,27) + TIME(20,59,50)</f>
        <v>41452.874884259261</v>
      </c>
      <c r="C1065">
        <v>550</v>
      </c>
      <c r="D1065">
        <v>0</v>
      </c>
      <c r="E1065">
        <v>0</v>
      </c>
      <c r="F1065">
        <v>550</v>
      </c>
      <c r="G1065">
        <v>1344.7005615</v>
      </c>
      <c r="H1065">
        <v>1340.3397216999999</v>
      </c>
      <c r="I1065">
        <v>1324.0172118999999</v>
      </c>
      <c r="J1065">
        <v>1320.244751</v>
      </c>
      <c r="K1065">
        <v>80</v>
      </c>
      <c r="L1065">
        <v>79.863616942999997</v>
      </c>
      <c r="M1065">
        <v>60</v>
      </c>
      <c r="N1065">
        <v>56.069900513</v>
      </c>
    </row>
    <row r="1066" spans="1:14" x14ac:dyDescent="0.25">
      <c r="A1066">
        <v>1155.66823</v>
      </c>
      <c r="B1066" s="1">
        <f>DATE(2013,6,29) + TIME(16,2,15)</f>
        <v>41454.668229166666</v>
      </c>
      <c r="C1066">
        <v>550</v>
      </c>
      <c r="D1066">
        <v>0</v>
      </c>
      <c r="E1066">
        <v>0</v>
      </c>
      <c r="F1066">
        <v>550</v>
      </c>
      <c r="G1066">
        <v>1344.6857910000001</v>
      </c>
      <c r="H1066">
        <v>1340.3306885</v>
      </c>
      <c r="I1066">
        <v>1323.9940185999999</v>
      </c>
      <c r="J1066">
        <v>1320.206543</v>
      </c>
      <c r="K1066">
        <v>80</v>
      </c>
      <c r="L1066">
        <v>79.863601685000006</v>
      </c>
      <c r="M1066">
        <v>60</v>
      </c>
      <c r="N1066">
        <v>55.986904144</v>
      </c>
    </row>
    <row r="1067" spans="1:14" x14ac:dyDescent="0.25">
      <c r="A1067">
        <v>1157</v>
      </c>
      <c r="B1067" s="1">
        <f>DATE(2013,7,1) + TIME(0,0,0)</f>
        <v>41456</v>
      </c>
      <c r="C1067">
        <v>550</v>
      </c>
      <c r="D1067">
        <v>0</v>
      </c>
      <c r="E1067">
        <v>0</v>
      </c>
      <c r="F1067">
        <v>550</v>
      </c>
      <c r="G1067">
        <v>1344.6708983999999</v>
      </c>
      <c r="H1067">
        <v>1340.3216553</v>
      </c>
      <c r="I1067">
        <v>1323.9713135</v>
      </c>
      <c r="J1067">
        <v>1320.1699219</v>
      </c>
      <c r="K1067">
        <v>80</v>
      </c>
      <c r="L1067">
        <v>79.863578795999999</v>
      </c>
      <c r="M1067">
        <v>60</v>
      </c>
      <c r="N1067">
        <v>55.920497894</v>
      </c>
    </row>
    <row r="1068" spans="1:14" x14ac:dyDescent="0.25">
      <c r="A1068">
        <v>1158.8424600000001</v>
      </c>
      <c r="B1068" s="1">
        <f>DATE(2013,7,2) + TIME(20,13,8)</f>
        <v>41457.842453703706</v>
      </c>
      <c r="C1068">
        <v>550</v>
      </c>
      <c r="D1068">
        <v>0</v>
      </c>
      <c r="E1068">
        <v>0</v>
      </c>
      <c r="F1068">
        <v>550</v>
      </c>
      <c r="G1068">
        <v>1344.6601562000001</v>
      </c>
      <c r="H1068">
        <v>1340.3150635</v>
      </c>
      <c r="I1068">
        <v>1323.9520264</v>
      </c>
      <c r="J1068">
        <v>1320.1370850000001</v>
      </c>
      <c r="K1068">
        <v>80</v>
      </c>
      <c r="L1068">
        <v>79.863571167000003</v>
      </c>
      <c r="M1068">
        <v>60</v>
      </c>
      <c r="N1068">
        <v>55.839607239000003</v>
      </c>
    </row>
    <row r="1069" spans="1:14" x14ac:dyDescent="0.25">
      <c r="A1069">
        <v>1160.7875100000001</v>
      </c>
      <c r="B1069" s="1">
        <f>DATE(2013,7,4) + TIME(18,54,0)</f>
        <v>41459.787499999999</v>
      </c>
      <c r="C1069">
        <v>550</v>
      </c>
      <c r="D1069">
        <v>0</v>
      </c>
      <c r="E1069">
        <v>0</v>
      </c>
      <c r="F1069">
        <v>550</v>
      </c>
      <c r="G1069">
        <v>1344.6455077999999</v>
      </c>
      <c r="H1069">
        <v>1340.3060303</v>
      </c>
      <c r="I1069">
        <v>1323.9279785000001</v>
      </c>
      <c r="J1069">
        <v>1320.0970459</v>
      </c>
      <c r="K1069">
        <v>80</v>
      </c>
      <c r="L1069">
        <v>79.863571167000003</v>
      </c>
      <c r="M1069">
        <v>60</v>
      </c>
      <c r="N1069">
        <v>55.756305695000002</v>
      </c>
    </row>
    <row r="1070" spans="1:14" x14ac:dyDescent="0.25">
      <c r="A1070">
        <v>1162.7582849999999</v>
      </c>
      <c r="B1070" s="1">
        <f>DATE(2013,7,6) + TIME(18,11,55)</f>
        <v>41461.758275462962</v>
      </c>
      <c r="C1070">
        <v>550</v>
      </c>
      <c r="D1070">
        <v>0</v>
      </c>
      <c r="E1070">
        <v>0</v>
      </c>
      <c r="F1070">
        <v>550</v>
      </c>
      <c r="G1070">
        <v>1344.630249</v>
      </c>
      <c r="H1070">
        <v>1340.296875</v>
      </c>
      <c r="I1070">
        <v>1323.902832</v>
      </c>
      <c r="J1070">
        <v>1320.0552978999999</v>
      </c>
      <c r="K1070">
        <v>80</v>
      </c>
      <c r="L1070">
        <v>79.863563537999994</v>
      </c>
      <c r="M1070">
        <v>60</v>
      </c>
      <c r="N1070">
        <v>55.672843933000003</v>
      </c>
    </row>
    <row r="1071" spans="1:14" x14ac:dyDescent="0.25">
      <c r="A1071">
        <v>1164.7603630000001</v>
      </c>
      <c r="B1071" s="1">
        <f>DATE(2013,7,8) + TIME(18,14,55)</f>
        <v>41463.760358796295</v>
      </c>
      <c r="C1071">
        <v>550</v>
      </c>
      <c r="D1071">
        <v>0</v>
      </c>
      <c r="E1071">
        <v>0</v>
      </c>
      <c r="F1071">
        <v>550</v>
      </c>
      <c r="G1071">
        <v>1344.6152344</v>
      </c>
      <c r="H1071">
        <v>1340.2875977000001</v>
      </c>
      <c r="I1071">
        <v>1323.8774414</v>
      </c>
      <c r="J1071">
        <v>1320.0126952999999</v>
      </c>
      <c r="K1071">
        <v>80</v>
      </c>
      <c r="L1071">
        <v>79.863555907999995</v>
      </c>
      <c r="M1071">
        <v>60</v>
      </c>
      <c r="N1071">
        <v>55.589508057000003</v>
      </c>
    </row>
    <row r="1072" spans="1:14" x14ac:dyDescent="0.25">
      <c r="A1072">
        <v>1166.80024</v>
      </c>
      <c r="B1072" s="1">
        <f>DATE(2013,7,10) + TIME(19,12,20)</f>
        <v>41465.80023148148</v>
      </c>
      <c r="C1072">
        <v>550</v>
      </c>
      <c r="D1072">
        <v>0</v>
      </c>
      <c r="E1072">
        <v>0</v>
      </c>
      <c r="F1072">
        <v>550</v>
      </c>
      <c r="G1072">
        <v>1344.6002197</v>
      </c>
      <c r="H1072">
        <v>1340.2784423999999</v>
      </c>
      <c r="I1072">
        <v>1323.8516846</v>
      </c>
      <c r="J1072">
        <v>1319.9694824000001</v>
      </c>
      <c r="K1072">
        <v>80</v>
      </c>
      <c r="L1072">
        <v>79.863555907999995</v>
      </c>
      <c r="M1072">
        <v>60</v>
      </c>
      <c r="N1072">
        <v>55.506462096999996</v>
      </c>
    </row>
    <row r="1073" spans="1:14" x14ac:dyDescent="0.25">
      <c r="A1073">
        <v>1168.8848829999999</v>
      </c>
      <c r="B1073" s="1">
        <f>DATE(2013,7,12) + TIME(21,14,13)</f>
        <v>41467.884872685187</v>
      </c>
      <c r="C1073">
        <v>550</v>
      </c>
      <c r="D1073">
        <v>0</v>
      </c>
      <c r="E1073">
        <v>0</v>
      </c>
      <c r="F1073">
        <v>550</v>
      </c>
      <c r="G1073">
        <v>1344.5852050999999</v>
      </c>
      <c r="H1073">
        <v>1340.2692870999999</v>
      </c>
      <c r="I1073">
        <v>1323.8254394999999</v>
      </c>
      <c r="J1073">
        <v>1319.9254149999999</v>
      </c>
      <c r="K1073">
        <v>80</v>
      </c>
      <c r="L1073">
        <v>79.863555907999995</v>
      </c>
      <c r="M1073">
        <v>60</v>
      </c>
      <c r="N1073">
        <v>55.423805237000003</v>
      </c>
    </row>
    <row r="1074" spans="1:14" x14ac:dyDescent="0.25">
      <c r="A1074">
        <v>1171.0218070000001</v>
      </c>
      <c r="B1074" s="1">
        <f>DATE(2013,7,15) + TIME(0,31,24)</f>
        <v>41470.021805555552</v>
      </c>
      <c r="C1074">
        <v>550</v>
      </c>
      <c r="D1074">
        <v>0</v>
      </c>
      <c r="E1074">
        <v>0</v>
      </c>
      <c r="F1074">
        <v>550</v>
      </c>
      <c r="G1074">
        <v>1344.5701904</v>
      </c>
      <c r="H1074">
        <v>1340.2601318</v>
      </c>
      <c r="I1074">
        <v>1323.7989502</v>
      </c>
      <c r="J1074">
        <v>1319.8804932</v>
      </c>
      <c r="K1074">
        <v>80</v>
      </c>
      <c r="L1074">
        <v>79.863555907999995</v>
      </c>
      <c r="M1074">
        <v>60</v>
      </c>
      <c r="N1074">
        <v>55.341613770000002</v>
      </c>
    </row>
    <row r="1075" spans="1:14" x14ac:dyDescent="0.25">
      <c r="A1075">
        <v>1173.2192540000001</v>
      </c>
      <c r="B1075" s="1">
        <f>DATE(2013,7,17) + TIME(5,15,43)</f>
        <v>41472.219247685185</v>
      </c>
      <c r="C1075">
        <v>550</v>
      </c>
      <c r="D1075">
        <v>0</v>
      </c>
      <c r="E1075">
        <v>0</v>
      </c>
      <c r="F1075">
        <v>550</v>
      </c>
      <c r="G1075">
        <v>1344.5551757999999</v>
      </c>
      <c r="H1075">
        <v>1340.2509766000001</v>
      </c>
      <c r="I1075">
        <v>1323.7719727000001</v>
      </c>
      <c r="J1075">
        <v>1319.8347168</v>
      </c>
      <c r="K1075">
        <v>80</v>
      </c>
      <c r="L1075">
        <v>79.863555907999995</v>
      </c>
      <c r="M1075">
        <v>60</v>
      </c>
      <c r="N1075">
        <v>55.259944916000002</v>
      </c>
    </row>
    <row r="1076" spans="1:14" x14ac:dyDescent="0.25">
      <c r="A1076">
        <v>1175.4863580000001</v>
      </c>
      <c r="B1076" s="1">
        <f>DATE(2013,7,19) + TIME(11,40,21)</f>
        <v>41474.486354166664</v>
      </c>
      <c r="C1076">
        <v>550</v>
      </c>
      <c r="D1076">
        <v>0</v>
      </c>
      <c r="E1076">
        <v>0</v>
      </c>
      <c r="F1076">
        <v>550</v>
      </c>
      <c r="G1076">
        <v>1344.5399170000001</v>
      </c>
      <c r="H1076">
        <v>1340.2416992000001</v>
      </c>
      <c r="I1076">
        <v>1323.7446289</v>
      </c>
      <c r="J1076">
        <v>1319.7879639</v>
      </c>
      <c r="K1076">
        <v>80</v>
      </c>
      <c r="L1076">
        <v>79.863563537999994</v>
      </c>
      <c r="M1076">
        <v>60</v>
      </c>
      <c r="N1076">
        <v>55.178886413999997</v>
      </c>
    </row>
    <row r="1077" spans="1:14" x14ac:dyDescent="0.25">
      <c r="A1077">
        <v>1177.83338</v>
      </c>
      <c r="B1077" s="1">
        <f>DATE(2013,7,21) + TIME(20,0,4)</f>
        <v>41476.833379629628</v>
      </c>
      <c r="C1077">
        <v>550</v>
      </c>
      <c r="D1077">
        <v>0</v>
      </c>
      <c r="E1077">
        <v>0</v>
      </c>
      <c r="F1077">
        <v>550</v>
      </c>
      <c r="G1077">
        <v>1344.5245361</v>
      </c>
      <c r="H1077">
        <v>1340.2321777</v>
      </c>
      <c r="I1077">
        <v>1323.7166748</v>
      </c>
      <c r="J1077">
        <v>1319.7399902</v>
      </c>
      <c r="K1077">
        <v>80</v>
      </c>
      <c r="L1077">
        <v>79.863578795999999</v>
      </c>
      <c r="M1077">
        <v>60</v>
      </c>
      <c r="N1077">
        <v>55.098548889</v>
      </c>
    </row>
    <row r="1078" spans="1:14" x14ac:dyDescent="0.25">
      <c r="A1078">
        <v>1180.2386120000001</v>
      </c>
      <c r="B1078" s="1">
        <f>DATE(2013,7,24) + TIME(5,43,36)</f>
        <v>41479.238611111112</v>
      </c>
      <c r="C1078">
        <v>550</v>
      </c>
      <c r="D1078">
        <v>0</v>
      </c>
      <c r="E1078">
        <v>0</v>
      </c>
      <c r="F1078">
        <v>550</v>
      </c>
      <c r="G1078">
        <v>1344.5089111</v>
      </c>
      <c r="H1078">
        <v>1340.2226562000001</v>
      </c>
      <c r="I1078">
        <v>1323.6882324000001</v>
      </c>
      <c r="J1078">
        <v>1319.6911620999999</v>
      </c>
      <c r="K1078">
        <v>80</v>
      </c>
      <c r="L1078">
        <v>79.863594054999993</v>
      </c>
      <c r="M1078">
        <v>60</v>
      </c>
      <c r="N1078">
        <v>55.019760132000002</v>
      </c>
    </row>
    <row r="1079" spans="1:14" x14ac:dyDescent="0.25">
      <c r="A1079">
        <v>1182.6604480000001</v>
      </c>
      <c r="B1079" s="1">
        <f>DATE(2013,7,26) + TIME(15,51,2)</f>
        <v>41481.660439814812</v>
      </c>
      <c r="C1079">
        <v>550</v>
      </c>
      <c r="D1079">
        <v>0</v>
      </c>
      <c r="E1079">
        <v>0</v>
      </c>
      <c r="F1079">
        <v>550</v>
      </c>
      <c r="G1079">
        <v>1344.4931641000001</v>
      </c>
      <c r="H1079">
        <v>1340.2128906</v>
      </c>
      <c r="I1079">
        <v>1323.6595459</v>
      </c>
      <c r="J1079">
        <v>1319.6416016000001</v>
      </c>
      <c r="K1079">
        <v>80</v>
      </c>
      <c r="L1079">
        <v>79.863609314000001</v>
      </c>
      <c r="M1079">
        <v>60</v>
      </c>
      <c r="N1079">
        <v>54.943836212000001</v>
      </c>
    </row>
    <row r="1080" spans="1:14" x14ac:dyDescent="0.25">
      <c r="A1080">
        <v>1185.107773</v>
      </c>
      <c r="B1080" s="1">
        <f>DATE(2013,7,29) + TIME(2,35,11)</f>
        <v>41484.107766203706</v>
      </c>
      <c r="C1080">
        <v>550</v>
      </c>
      <c r="D1080">
        <v>0</v>
      </c>
      <c r="E1080">
        <v>0</v>
      </c>
      <c r="F1080">
        <v>550</v>
      </c>
      <c r="G1080">
        <v>1344.4776611</v>
      </c>
      <c r="H1080">
        <v>1340.2033690999999</v>
      </c>
      <c r="I1080">
        <v>1323.6311035000001</v>
      </c>
      <c r="J1080">
        <v>1319.5921631000001</v>
      </c>
      <c r="K1080">
        <v>80</v>
      </c>
      <c r="L1080">
        <v>79.863624572999996</v>
      </c>
      <c r="M1080">
        <v>60</v>
      </c>
      <c r="N1080">
        <v>54.871234893999997</v>
      </c>
    </row>
    <row r="1081" spans="1:14" x14ac:dyDescent="0.25">
      <c r="A1081">
        <v>1187.5971500000001</v>
      </c>
      <c r="B1081" s="1">
        <f>DATE(2013,7,31) + TIME(14,19,53)</f>
        <v>41486.597141203703</v>
      </c>
      <c r="C1081">
        <v>550</v>
      </c>
      <c r="D1081">
        <v>0</v>
      </c>
      <c r="E1081">
        <v>0</v>
      </c>
      <c r="F1081">
        <v>550</v>
      </c>
      <c r="G1081">
        <v>1344.4622803</v>
      </c>
      <c r="H1081">
        <v>1340.1938477000001</v>
      </c>
      <c r="I1081">
        <v>1323.6027832</v>
      </c>
      <c r="J1081">
        <v>1319.5426024999999</v>
      </c>
      <c r="K1081">
        <v>80</v>
      </c>
      <c r="L1081">
        <v>79.863647460999999</v>
      </c>
      <c r="M1081">
        <v>60</v>
      </c>
      <c r="N1081">
        <v>54.802204132</v>
      </c>
    </row>
    <row r="1082" spans="1:14" x14ac:dyDescent="0.25">
      <c r="A1082">
        <v>1188</v>
      </c>
      <c r="B1082" s="1">
        <f>DATE(2013,8,1) + TIME(0,0,0)</f>
        <v>41487</v>
      </c>
      <c r="C1082">
        <v>550</v>
      </c>
      <c r="D1082">
        <v>0</v>
      </c>
      <c r="E1082">
        <v>0</v>
      </c>
      <c r="F1082">
        <v>550</v>
      </c>
      <c r="G1082">
        <v>1344.4466553</v>
      </c>
      <c r="H1082">
        <v>1340.1842041</v>
      </c>
      <c r="I1082">
        <v>1323.5804443</v>
      </c>
      <c r="J1082">
        <v>1319.5054932</v>
      </c>
      <c r="K1082">
        <v>80</v>
      </c>
      <c r="L1082">
        <v>79.863624572999996</v>
      </c>
      <c r="M1082">
        <v>60</v>
      </c>
      <c r="N1082">
        <v>54.786392212000003</v>
      </c>
    </row>
    <row r="1083" spans="1:14" x14ac:dyDescent="0.25">
      <c r="A1083">
        <v>1190.539364</v>
      </c>
      <c r="B1083" s="1">
        <f>DATE(2013,8,3) + TIME(12,56,41)</f>
        <v>41489.539363425924</v>
      </c>
      <c r="C1083">
        <v>550</v>
      </c>
      <c r="D1083">
        <v>0</v>
      </c>
      <c r="E1083">
        <v>0</v>
      </c>
      <c r="F1083">
        <v>550</v>
      </c>
      <c r="G1083">
        <v>1344.4443358999999</v>
      </c>
      <c r="H1083">
        <v>1340.1827393000001</v>
      </c>
      <c r="I1083">
        <v>1323.5688477000001</v>
      </c>
      <c r="J1083">
        <v>1319.4830322</v>
      </c>
      <c r="K1083">
        <v>80</v>
      </c>
      <c r="L1083">
        <v>79.863662719999994</v>
      </c>
      <c r="M1083">
        <v>60</v>
      </c>
      <c r="N1083">
        <v>54.724384307999998</v>
      </c>
    </row>
    <row r="1084" spans="1:14" x14ac:dyDescent="0.25">
      <c r="A1084">
        <v>1193.148801</v>
      </c>
      <c r="B1084" s="1">
        <f>DATE(2013,8,6) + TIME(3,34,16)</f>
        <v>41492.148796296293</v>
      </c>
      <c r="C1084">
        <v>550</v>
      </c>
      <c r="D1084">
        <v>0</v>
      </c>
      <c r="E1084">
        <v>0</v>
      </c>
      <c r="F1084">
        <v>550</v>
      </c>
      <c r="G1084">
        <v>1344.4289550999999</v>
      </c>
      <c r="H1084">
        <v>1340.1730957</v>
      </c>
      <c r="I1084">
        <v>1323.5412598</v>
      </c>
      <c r="J1084">
        <v>1319.4343262</v>
      </c>
      <c r="K1084">
        <v>80</v>
      </c>
      <c r="L1084">
        <v>79.863700867000006</v>
      </c>
      <c r="M1084">
        <v>60</v>
      </c>
      <c r="N1084">
        <v>54.665805816999999</v>
      </c>
    </row>
    <row r="1085" spans="1:14" x14ac:dyDescent="0.25">
      <c r="A1085">
        <v>1195.8290649999999</v>
      </c>
      <c r="B1085" s="1">
        <f>DATE(2013,8,8) + TIME(19,53,51)</f>
        <v>41494.829062500001</v>
      </c>
      <c r="C1085">
        <v>550</v>
      </c>
      <c r="D1085">
        <v>0</v>
      </c>
      <c r="E1085">
        <v>0</v>
      </c>
      <c r="F1085">
        <v>550</v>
      </c>
      <c r="G1085">
        <v>1344.4133300999999</v>
      </c>
      <c r="H1085">
        <v>1340.1634521000001</v>
      </c>
      <c r="I1085">
        <v>1323.5135498</v>
      </c>
      <c r="J1085">
        <v>1319.3851318</v>
      </c>
      <c r="K1085">
        <v>80</v>
      </c>
      <c r="L1085">
        <v>79.863731384000005</v>
      </c>
      <c r="M1085">
        <v>60</v>
      </c>
      <c r="N1085">
        <v>54.611648559999999</v>
      </c>
    </row>
    <row r="1086" spans="1:14" x14ac:dyDescent="0.25">
      <c r="A1086">
        <v>1198.591735</v>
      </c>
      <c r="B1086" s="1">
        <f>DATE(2013,8,11) + TIME(14,12,5)</f>
        <v>41497.591724537036</v>
      </c>
      <c r="C1086">
        <v>550</v>
      </c>
      <c r="D1086">
        <v>0</v>
      </c>
      <c r="E1086">
        <v>0</v>
      </c>
      <c r="F1086">
        <v>550</v>
      </c>
      <c r="G1086">
        <v>1344.3975829999999</v>
      </c>
      <c r="H1086">
        <v>1340.1536865</v>
      </c>
      <c r="I1086">
        <v>1323.4857178</v>
      </c>
      <c r="J1086">
        <v>1319.3354492000001</v>
      </c>
      <c r="K1086">
        <v>80</v>
      </c>
      <c r="L1086">
        <v>79.863777161000002</v>
      </c>
      <c r="M1086">
        <v>60</v>
      </c>
      <c r="N1086">
        <v>54.562801360999998</v>
      </c>
    </row>
    <row r="1087" spans="1:14" x14ac:dyDescent="0.25">
      <c r="A1087">
        <v>1201.4495690000001</v>
      </c>
      <c r="B1087" s="1">
        <f>DATE(2013,8,14) + TIME(10,47,22)</f>
        <v>41500.449560185189</v>
      </c>
      <c r="C1087">
        <v>550</v>
      </c>
      <c r="D1087">
        <v>0</v>
      </c>
      <c r="E1087">
        <v>0</v>
      </c>
      <c r="F1087">
        <v>550</v>
      </c>
      <c r="G1087">
        <v>1344.3817139</v>
      </c>
      <c r="H1087">
        <v>1340.1436768000001</v>
      </c>
      <c r="I1087">
        <v>1323.4577637</v>
      </c>
      <c r="J1087">
        <v>1319.2854004000001</v>
      </c>
      <c r="K1087">
        <v>80</v>
      </c>
      <c r="L1087">
        <v>79.863815308</v>
      </c>
      <c r="M1087">
        <v>60</v>
      </c>
      <c r="N1087">
        <v>54.520206451</v>
      </c>
    </row>
    <row r="1088" spans="1:14" x14ac:dyDescent="0.25">
      <c r="A1088">
        <v>1204.417087</v>
      </c>
      <c r="B1088" s="1">
        <f>DATE(2013,8,17) + TIME(10,0,36)</f>
        <v>41503.417083333334</v>
      </c>
      <c r="C1088">
        <v>550</v>
      </c>
      <c r="D1088">
        <v>0</v>
      </c>
      <c r="E1088">
        <v>0</v>
      </c>
      <c r="F1088">
        <v>550</v>
      </c>
      <c r="G1088">
        <v>1344.3654785000001</v>
      </c>
      <c r="H1088">
        <v>1340.1334228999999</v>
      </c>
      <c r="I1088">
        <v>1323.4299315999999</v>
      </c>
      <c r="J1088">
        <v>1319.2351074000001</v>
      </c>
      <c r="K1088">
        <v>80</v>
      </c>
      <c r="L1088">
        <v>79.863868713000002</v>
      </c>
      <c r="M1088">
        <v>60</v>
      </c>
      <c r="N1088">
        <v>54.484939574999999</v>
      </c>
    </row>
    <row r="1089" spans="1:14" x14ac:dyDescent="0.25">
      <c r="A1089">
        <v>1207.480753</v>
      </c>
      <c r="B1089" s="1">
        <f>DATE(2013,8,20) + TIME(11,32,17)</f>
        <v>41506.480752314812</v>
      </c>
      <c r="C1089">
        <v>550</v>
      </c>
      <c r="D1089">
        <v>0</v>
      </c>
      <c r="E1089">
        <v>0</v>
      </c>
      <c r="F1089">
        <v>550</v>
      </c>
      <c r="G1089">
        <v>1344.3488769999999</v>
      </c>
      <c r="H1089">
        <v>1340.1230469</v>
      </c>
      <c r="I1089">
        <v>1323.4020995999999</v>
      </c>
      <c r="J1089">
        <v>1319.1846923999999</v>
      </c>
      <c r="K1089">
        <v>80</v>
      </c>
      <c r="L1089">
        <v>79.863922118999994</v>
      </c>
      <c r="M1089">
        <v>60</v>
      </c>
      <c r="N1089">
        <v>54.458408356</v>
      </c>
    </row>
    <row r="1090" spans="1:14" x14ac:dyDescent="0.25">
      <c r="A1090">
        <v>1210.5889299999999</v>
      </c>
      <c r="B1090" s="1">
        <f>DATE(2013,8,23) + TIME(14,8,3)</f>
        <v>41509.588923611111</v>
      </c>
      <c r="C1090">
        <v>550</v>
      </c>
      <c r="D1090">
        <v>0</v>
      </c>
      <c r="E1090">
        <v>0</v>
      </c>
      <c r="F1090">
        <v>550</v>
      </c>
      <c r="G1090">
        <v>1344.3320312000001</v>
      </c>
      <c r="H1090">
        <v>1340.1123047000001</v>
      </c>
      <c r="I1090">
        <v>1323.3746338000001</v>
      </c>
      <c r="J1090">
        <v>1319.1346435999999</v>
      </c>
      <c r="K1090">
        <v>80</v>
      </c>
      <c r="L1090">
        <v>79.863975525000001</v>
      </c>
      <c r="M1090">
        <v>60</v>
      </c>
      <c r="N1090">
        <v>54.442169188999998</v>
      </c>
    </row>
    <row r="1091" spans="1:14" x14ac:dyDescent="0.25">
      <c r="A1091">
        <v>1213.7110929999999</v>
      </c>
      <c r="B1091" s="1">
        <f>DATE(2013,8,26) + TIME(17,3,58)</f>
        <v>41512.711087962962</v>
      </c>
      <c r="C1091">
        <v>550</v>
      </c>
      <c r="D1091">
        <v>0</v>
      </c>
      <c r="E1091">
        <v>0</v>
      </c>
      <c r="F1091">
        <v>550</v>
      </c>
      <c r="G1091">
        <v>1344.3151855000001</v>
      </c>
      <c r="H1091">
        <v>1340.1016846</v>
      </c>
      <c r="I1091">
        <v>1323.3480225000001</v>
      </c>
      <c r="J1091">
        <v>1319.0856934000001</v>
      </c>
      <c r="K1091">
        <v>80</v>
      </c>
      <c r="L1091">
        <v>79.864028931000007</v>
      </c>
      <c r="M1091">
        <v>60</v>
      </c>
      <c r="N1091">
        <v>54.437385558999999</v>
      </c>
    </row>
    <row r="1092" spans="1:14" x14ac:dyDescent="0.25">
      <c r="A1092">
        <v>1216.870461</v>
      </c>
      <c r="B1092" s="1">
        <f>DATE(2013,8,29) + TIME(20,53,27)</f>
        <v>41515.870451388888</v>
      </c>
      <c r="C1092">
        <v>550</v>
      </c>
      <c r="D1092">
        <v>0</v>
      </c>
      <c r="E1092">
        <v>0</v>
      </c>
      <c r="F1092">
        <v>550</v>
      </c>
      <c r="G1092">
        <v>1344.2985839999999</v>
      </c>
      <c r="H1092">
        <v>1340.0910644999999</v>
      </c>
      <c r="I1092">
        <v>1323.3223877</v>
      </c>
      <c r="J1092">
        <v>1319.0385742000001</v>
      </c>
      <c r="K1092">
        <v>80</v>
      </c>
      <c r="L1092">
        <v>79.864082335999996</v>
      </c>
      <c r="M1092">
        <v>60</v>
      </c>
      <c r="N1092">
        <v>54.444854736000003</v>
      </c>
    </row>
    <row r="1093" spans="1:14" x14ac:dyDescent="0.25">
      <c r="A1093">
        <v>1219</v>
      </c>
      <c r="B1093" s="1">
        <f>DATE(2013,9,1) + TIME(0,0,0)</f>
        <v>41518</v>
      </c>
      <c r="C1093">
        <v>550</v>
      </c>
      <c r="D1093">
        <v>0</v>
      </c>
      <c r="E1093">
        <v>0</v>
      </c>
      <c r="F1093">
        <v>550</v>
      </c>
      <c r="G1093">
        <v>1344.2818603999999</v>
      </c>
      <c r="H1093">
        <v>1340.0804443</v>
      </c>
      <c r="I1093">
        <v>1323.3000488</v>
      </c>
      <c r="J1093">
        <v>1318.9967041</v>
      </c>
      <c r="K1093">
        <v>80</v>
      </c>
      <c r="L1093">
        <v>79.864097595000004</v>
      </c>
      <c r="M1093">
        <v>60</v>
      </c>
      <c r="N1093">
        <v>54.461162567000002</v>
      </c>
    </row>
    <row r="1094" spans="1:14" x14ac:dyDescent="0.25">
      <c r="A1094">
        <v>1222.2112810000001</v>
      </c>
      <c r="B1094" s="1">
        <f>DATE(2013,9,4) + TIME(5,4,14)</f>
        <v>41521.211273148147</v>
      </c>
      <c r="C1094">
        <v>550</v>
      </c>
      <c r="D1094">
        <v>0</v>
      </c>
      <c r="E1094">
        <v>0</v>
      </c>
      <c r="F1094">
        <v>550</v>
      </c>
      <c r="G1094">
        <v>1344.2709961</v>
      </c>
      <c r="H1094">
        <v>1340.0733643000001</v>
      </c>
      <c r="I1094">
        <v>1323.2803954999999</v>
      </c>
      <c r="J1094">
        <v>1318.9613036999999</v>
      </c>
      <c r="K1094">
        <v>80</v>
      </c>
      <c r="L1094">
        <v>79.864181518999999</v>
      </c>
      <c r="M1094">
        <v>60</v>
      </c>
      <c r="N1094">
        <v>54.489425658999998</v>
      </c>
    </row>
    <row r="1095" spans="1:14" x14ac:dyDescent="0.25">
      <c r="A1095">
        <v>1225.536447</v>
      </c>
      <c r="B1095" s="1">
        <f>DATE(2013,9,7) + TIME(12,52,29)</f>
        <v>41524.536446759259</v>
      </c>
      <c r="C1095">
        <v>550</v>
      </c>
      <c r="D1095">
        <v>0</v>
      </c>
      <c r="E1095">
        <v>0</v>
      </c>
      <c r="F1095">
        <v>550</v>
      </c>
      <c r="G1095">
        <v>1344.2546387</v>
      </c>
      <c r="H1095">
        <v>1340.0627440999999</v>
      </c>
      <c r="I1095">
        <v>1323.2584228999999</v>
      </c>
      <c r="J1095">
        <v>1318.9202881000001</v>
      </c>
      <c r="K1095">
        <v>80</v>
      </c>
      <c r="L1095">
        <v>79.864257812000005</v>
      </c>
      <c r="M1095">
        <v>60</v>
      </c>
      <c r="N1095">
        <v>54.532829284999998</v>
      </c>
    </row>
    <row r="1096" spans="1:14" x14ac:dyDescent="0.25">
      <c r="A1096">
        <v>1228.9469389999999</v>
      </c>
      <c r="B1096" s="1">
        <f>DATE(2013,9,10) + TIME(22,43,35)</f>
        <v>41527.946932870371</v>
      </c>
      <c r="C1096">
        <v>550</v>
      </c>
      <c r="D1096">
        <v>0</v>
      </c>
      <c r="E1096">
        <v>0</v>
      </c>
      <c r="F1096">
        <v>550</v>
      </c>
      <c r="G1096">
        <v>1344.2379149999999</v>
      </c>
      <c r="H1096">
        <v>1340.0520019999999</v>
      </c>
      <c r="I1096">
        <v>1323.2370605000001</v>
      </c>
      <c r="J1096">
        <v>1318.8803711</v>
      </c>
      <c r="K1096">
        <v>80</v>
      </c>
      <c r="L1096">
        <v>79.864334106000001</v>
      </c>
      <c r="M1096">
        <v>60</v>
      </c>
      <c r="N1096">
        <v>54.592216491999999</v>
      </c>
    </row>
    <row r="1097" spans="1:14" x14ac:dyDescent="0.25">
      <c r="A1097">
        <v>1232.459533</v>
      </c>
      <c r="B1097" s="1">
        <f>DATE(2013,9,14) + TIME(11,1,43)</f>
        <v>41531.45952546296</v>
      </c>
      <c r="C1097">
        <v>550</v>
      </c>
      <c r="D1097">
        <v>0</v>
      </c>
      <c r="E1097">
        <v>0</v>
      </c>
      <c r="F1097">
        <v>550</v>
      </c>
      <c r="G1097">
        <v>1344.2209473</v>
      </c>
      <c r="H1097">
        <v>1340.0410156</v>
      </c>
      <c r="I1097">
        <v>1323.2165527</v>
      </c>
      <c r="J1097">
        <v>1318.8417969</v>
      </c>
      <c r="K1097">
        <v>80</v>
      </c>
      <c r="L1097">
        <v>79.864418029999996</v>
      </c>
      <c r="M1097">
        <v>60</v>
      </c>
      <c r="N1097">
        <v>54.668537139999998</v>
      </c>
    </row>
    <row r="1098" spans="1:14" x14ac:dyDescent="0.25">
      <c r="A1098">
        <v>1236.091539</v>
      </c>
      <c r="B1098" s="1">
        <f>DATE(2013,9,18) + TIME(2,11,48)</f>
        <v>41535.091527777775</v>
      </c>
      <c r="C1098">
        <v>550</v>
      </c>
      <c r="D1098">
        <v>0</v>
      </c>
      <c r="E1098">
        <v>0</v>
      </c>
      <c r="F1098">
        <v>550</v>
      </c>
      <c r="G1098">
        <v>1344.2038574000001</v>
      </c>
      <c r="H1098">
        <v>1340.0299072</v>
      </c>
      <c r="I1098">
        <v>1323.1970214999999</v>
      </c>
      <c r="J1098">
        <v>1318.8051757999999</v>
      </c>
      <c r="K1098">
        <v>80</v>
      </c>
      <c r="L1098">
        <v>79.864509583</v>
      </c>
      <c r="M1098">
        <v>60</v>
      </c>
      <c r="N1098">
        <v>54.762943268000001</v>
      </c>
    </row>
    <row r="1099" spans="1:14" x14ac:dyDescent="0.25">
      <c r="A1099">
        <v>1239.8624560000001</v>
      </c>
      <c r="B1099" s="1">
        <f>DATE(2013,9,21) + TIME(20,41,56)</f>
        <v>41538.862453703703</v>
      </c>
      <c r="C1099">
        <v>550</v>
      </c>
      <c r="D1099">
        <v>0</v>
      </c>
      <c r="E1099">
        <v>0</v>
      </c>
      <c r="F1099">
        <v>550</v>
      </c>
      <c r="G1099">
        <v>1344.1864014</v>
      </c>
      <c r="H1099">
        <v>1340.0185547000001</v>
      </c>
      <c r="I1099">
        <v>1323.1785889</v>
      </c>
      <c r="J1099">
        <v>1318.7705077999999</v>
      </c>
      <c r="K1099">
        <v>80</v>
      </c>
      <c r="L1099">
        <v>79.864601135000001</v>
      </c>
      <c r="M1099">
        <v>60</v>
      </c>
      <c r="N1099">
        <v>54.876716614000003</v>
      </c>
    </row>
    <row r="1100" spans="1:14" x14ac:dyDescent="0.25">
      <c r="A1100">
        <v>1243.7578109999999</v>
      </c>
      <c r="B1100" s="1">
        <f>DATE(2013,9,25) + TIME(18,11,14)</f>
        <v>41542.757800925923</v>
      </c>
      <c r="C1100">
        <v>550</v>
      </c>
      <c r="D1100">
        <v>0</v>
      </c>
      <c r="E1100">
        <v>0</v>
      </c>
      <c r="F1100">
        <v>550</v>
      </c>
      <c r="G1100">
        <v>1344.1687012</v>
      </c>
      <c r="H1100">
        <v>1340.0069579999999</v>
      </c>
      <c r="I1100">
        <v>1323.1612548999999</v>
      </c>
      <c r="J1100">
        <v>1318.7380370999999</v>
      </c>
      <c r="K1100">
        <v>80</v>
      </c>
      <c r="L1100">
        <v>79.864700317</v>
      </c>
      <c r="M1100">
        <v>60</v>
      </c>
      <c r="N1100">
        <v>55.010707855</v>
      </c>
    </row>
    <row r="1101" spans="1:14" x14ac:dyDescent="0.25">
      <c r="A1101">
        <v>1247.7201480000001</v>
      </c>
      <c r="B1101" s="1">
        <f>DATE(2013,9,29) + TIME(17,17,0)</f>
        <v>41546.720138888886</v>
      </c>
      <c r="C1101">
        <v>550</v>
      </c>
      <c r="D1101">
        <v>0</v>
      </c>
      <c r="E1101">
        <v>0</v>
      </c>
      <c r="F1101">
        <v>550</v>
      </c>
      <c r="G1101">
        <v>1344.1506348</v>
      </c>
      <c r="H1101">
        <v>1339.9951172000001</v>
      </c>
      <c r="I1101">
        <v>1323.1455077999999</v>
      </c>
      <c r="J1101">
        <v>1318.7082519999999</v>
      </c>
      <c r="K1101">
        <v>80</v>
      </c>
      <c r="L1101">
        <v>79.864799500000004</v>
      </c>
      <c r="M1101">
        <v>60</v>
      </c>
      <c r="N1101">
        <v>55.164436340000002</v>
      </c>
    </row>
    <row r="1102" spans="1:14" x14ac:dyDescent="0.25">
      <c r="A1102">
        <v>1249</v>
      </c>
      <c r="B1102" s="1">
        <f>DATE(2013,10,1) + TIME(0,0,0)</f>
        <v>41548</v>
      </c>
      <c r="C1102">
        <v>550</v>
      </c>
      <c r="D1102">
        <v>0</v>
      </c>
      <c r="E1102">
        <v>0</v>
      </c>
      <c r="F1102">
        <v>550</v>
      </c>
      <c r="G1102">
        <v>1344.1324463000001</v>
      </c>
      <c r="H1102">
        <v>1339.9833983999999</v>
      </c>
      <c r="I1102">
        <v>1323.1384277</v>
      </c>
      <c r="J1102">
        <v>1318.6879882999999</v>
      </c>
      <c r="K1102">
        <v>80</v>
      </c>
      <c r="L1102">
        <v>79.864776610999996</v>
      </c>
      <c r="M1102">
        <v>60</v>
      </c>
      <c r="N1102">
        <v>55.252323150999999</v>
      </c>
    </row>
    <row r="1103" spans="1:14" x14ac:dyDescent="0.25">
      <c r="A1103">
        <v>1253.044572</v>
      </c>
      <c r="B1103" s="1">
        <f>DATE(2013,10,5) + TIME(1,4,11)</f>
        <v>41552.044571759259</v>
      </c>
      <c r="C1103">
        <v>550</v>
      </c>
      <c r="D1103">
        <v>0</v>
      </c>
      <c r="E1103">
        <v>0</v>
      </c>
      <c r="F1103">
        <v>550</v>
      </c>
      <c r="G1103">
        <v>1344.1268310999999</v>
      </c>
      <c r="H1103">
        <v>1339.9794922000001</v>
      </c>
      <c r="I1103">
        <v>1323.1257324000001</v>
      </c>
      <c r="J1103">
        <v>1318.6724853999999</v>
      </c>
      <c r="K1103">
        <v>80</v>
      </c>
      <c r="L1103">
        <v>79.864913939999994</v>
      </c>
      <c r="M1103">
        <v>60</v>
      </c>
      <c r="N1103">
        <v>55.411987304999997</v>
      </c>
    </row>
    <row r="1104" spans="1:14" x14ac:dyDescent="0.25">
      <c r="A1104">
        <v>1257.19381</v>
      </c>
      <c r="B1104" s="1">
        <f>DATE(2013,10,9) + TIME(4,39,5)</f>
        <v>41556.193807870368</v>
      </c>
      <c r="C1104">
        <v>550</v>
      </c>
      <c r="D1104">
        <v>0</v>
      </c>
      <c r="E1104">
        <v>0</v>
      </c>
      <c r="F1104">
        <v>550</v>
      </c>
      <c r="G1104">
        <v>1344.1088867000001</v>
      </c>
      <c r="H1104">
        <v>1339.9677733999999</v>
      </c>
      <c r="I1104">
        <v>1323.114624</v>
      </c>
      <c r="J1104">
        <v>1318.651001</v>
      </c>
      <c r="K1104">
        <v>80</v>
      </c>
      <c r="L1104">
        <v>79.865036011000001</v>
      </c>
      <c r="M1104">
        <v>60</v>
      </c>
      <c r="N1104">
        <v>55.599617004000002</v>
      </c>
    </row>
    <row r="1105" spans="1:14" x14ac:dyDescent="0.25">
      <c r="A1105">
        <v>1261.443614</v>
      </c>
      <c r="B1105" s="1">
        <f>DATE(2013,10,13) + TIME(10,38,48)</f>
        <v>41560.443611111114</v>
      </c>
      <c r="C1105">
        <v>550</v>
      </c>
      <c r="D1105">
        <v>0</v>
      </c>
      <c r="E1105">
        <v>0</v>
      </c>
      <c r="F1105">
        <v>550</v>
      </c>
      <c r="G1105">
        <v>1344.0908202999999</v>
      </c>
      <c r="H1105">
        <v>1339.9558105000001</v>
      </c>
      <c r="I1105">
        <v>1323.1047363</v>
      </c>
      <c r="J1105">
        <v>1318.6323242000001</v>
      </c>
      <c r="K1105">
        <v>80</v>
      </c>
      <c r="L1105">
        <v>79.865158081000004</v>
      </c>
      <c r="M1105">
        <v>60</v>
      </c>
      <c r="N1105">
        <v>55.809085846000002</v>
      </c>
    </row>
    <row r="1106" spans="1:14" x14ac:dyDescent="0.25">
      <c r="A1106">
        <v>1265.8153110000001</v>
      </c>
      <c r="B1106" s="1">
        <f>DATE(2013,10,17) + TIME(19,34,2)</f>
        <v>41564.815300925926</v>
      </c>
      <c r="C1106">
        <v>550</v>
      </c>
      <c r="D1106">
        <v>0</v>
      </c>
      <c r="E1106">
        <v>0</v>
      </c>
      <c r="F1106">
        <v>550</v>
      </c>
      <c r="G1106">
        <v>1344.0726318</v>
      </c>
      <c r="H1106">
        <v>1339.9438477000001</v>
      </c>
      <c r="I1106">
        <v>1323.0964355000001</v>
      </c>
      <c r="J1106">
        <v>1318.6165771000001</v>
      </c>
      <c r="K1106">
        <v>80</v>
      </c>
      <c r="L1106">
        <v>79.865280150999993</v>
      </c>
      <c r="M1106">
        <v>60</v>
      </c>
      <c r="N1106">
        <v>56.037189484000002</v>
      </c>
    </row>
    <row r="1107" spans="1:14" x14ac:dyDescent="0.25">
      <c r="A1107">
        <v>1270.3335729999999</v>
      </c>
      <c r="B1107" s="1">
        <f>DATE(2013,10,22) + TIME(8,0,20)</f>
        <v>41569.333564814813</v>
      </c>
      <c r="C1107">
        <v>550</v>
      </c>
      <c r="D1107">
        <v>0</v>
      </c>
      <c r="E1107">
        <v>0</v>
      </c>
      <c r="F1107">
        <v>550</v>
      </c>
      <c r="G1107">
        <v>1344.0544434000001</v>
      </c>
      <c r="H1107">
        <v>1339.9317627</v>
      </c>
      <c r="I1107">
        <v>1323.0897216999999</v>
      </c>
      <c r="J1107">
        <v>1318.604126</v>
      </c>
      <c r="K1107">
        <v>80</v>
      </c>
      <c r="L1107">
        <v>79.865409850999995</v>
      </c>
      <c r="M1107">
        <v>60</v>
      </c>
      <c r="N1107">
        <v>56.282279967999997</v>
      </c>
    </row>
    <row r="1108" spans="1:14" x14ac:dyDescent="0.25">
      <c r="A1108">
        <v>1275.0256830000001</v>
      </c>
      <c r="B1108" s="1">
        <f>DATE(2013,10,27) + TIME(0,36,58)</f>
        <v>41574.025671296295</v>
      </c>
      <c r="C1108">
        <v>550</v>
      </c>
      <c r="D1108">
        <v>0</v>
      </c>
      <c r="E1108">
        <v>0</v>
      </c>
      <c r="F1108">
        <v>550</v>
      </c>
      <c r="G1108">
        <v>1344.0358887</v>
      </c>
      <c r="H1108">
        <v>1339.9196777</v>
      </c>
      <c r="I1108">
        <v>1323.0845947</v>
      </c>
      <c r="J1108">
        <v>1318.5947266000001</v>
      </c>
      <c r="K1108">
        <v>80</v>
      </c>
      <c r="L1108">
        <v>79.865539550999998</v>
      </c>
      <c r="M1108">
        <v>60</v>
      </c>
      <c r="N1108">
        <v>56.543426513999997</v>
      </c>
    </row>
    <row r="1109" spans="1:14" x14ac:dyDescent="0.25">
      <c r="A1109">
        <v>1277.512841</v>
      </c>
      <c r="B1109" s="1">
        <f>DATE(2013,10,29) + TIME(12,18,29)</f>
        <v>41576.512835648151</v>
      </c>
      <c r="C1109">
        <v>550</v>
      </c>
      <c r="D1109">
        <v>0</v>
      </c>
      <c r="E1109">
        <v>0</v>
      </c>
      <c r="F1109">
        <v>550</v>
      </c>
      <c r="G1109">
        <v>1344.0170897999999</v>
      </c>
      <c r="H1109">
        <v>1339.9073486</v>
      </c>
      <c r="I1109">
        <v>1323.0854492000001</v>
      </c>
      <c r="J1109">
        <v>1318.5906981999999</v>
      </c>
      <c r="K1109">
        <v>80</v>
      </c>
      <c r="L1109">
        <v>79.865562439000001</v>
      </c>
      <c r="M1109">
        <v>60</v>
      </c>
      <c r="N1109">
        <v>56.743774414000001</v>
      </c>
    </row>
    <row r="1110" spans="1:14" x14ac:dyDescent="0.25">
      <c r="A1110">
        <v>1280</v>
      </c>
      <c r="B1110" s="1">
        <f>DATE(2013,11,1) + TIME(0,0,0)</f>
        <v>41579</v>
      </c>
      <c r="C1110">
        <v>550</v>
      </c>
      <c r="D1110">
        <v>0</v>
      </c>
      <c r="E1110">
        <v>0</v>
      </c>
      <c r="F1110">
        <v>550</v>
      </c>
      <c r="G1110">
        <v>1344.0074463000001</v>
      </c>
      <c r="H1110">
        <v>1339.9008789</v>
      </c>
      <c r="I1110">
        <v>1323.083374</v>
      </c>
      <c r="J1110">
        <v>1318.5894774999999</v>
      </c>
      <c r="K1110">
        <v>80</v>
      </c>
      <c r="L1110">
        <v>79.865608214999995</v>
      </c>
      <c r="M1110">
        <v>60</v>
      </c>
      <c r="N1110">
        <v>56.921566009999999</v>
      </c>
    </row>
    <row r="1111" spans="1:14" x14ac:dyDescent="0.25">
      <c r="A1111">
        <v>1280.0000010000001</v>
      </c>
      <c r="B1111" s="1">
        <f>DATE(2013,11,1) + TIME(0,0,0)</f>
        <v>41579</v>
      </c>
      <c r="C1111">
        <v>0</v>
      </c>
      <c r="D1111">
        <v>550</v>
      </c>
      <c r="E1111">
        <v>550</v>
      </c>
      <c r="F1111">
        <v>0</v>
      </c>
      <c r="G1111">
        <v>1339.7010498</v>
      </c>
      <c r="H1111">
        <v>1338.0002440999999</v>
      </c>
      <c r="I1111">
        <v>1328.1650391000001</v>
      </c>
      <c r="J1111">
        <v>1323.3211670000001</v>
      </c>
      <c r="K1111">
        <v>80</v>
      </c>
      <c r="L1111">
        <v>79.865577697999996</v>
      </c>
      <c r="M1111">
        <v>60</v>
      </c>
      <c r="N1111">
        <v>56.921596526999998</v>
      </c>
    </row>
    <row r="1112" spans="1:14" x14ac:dyDescent="0.25">
      <c r="A1112">
        <v>1280.000004</v>
      </c>
      <c r="B1112" s="1">
        <f>DATE(2013,11,1) + TIME(0,0,0)</f>
        <v>41579</v>
      </c>
      <c r="C1112">
        <v>0</v>
      </c>
      <c r="D1112">
        <v>550</v>
      </c>
      <c r="E1112">
        <v>550</v>
      </c>
      <c r="F1112">
        <v>0</v>
      </c>
      <c r="G1112">
        <v>1339.1961670000001</v>
      </c>
      <c r="H1112">
        <v>1337.4953613</v>
      </c>
      <c r="I1112">
        <v>1328.7192382999999</v>
      </c>
      <c r="J1112">
        <v>1323.9440918</v>
      </c>
      <c r="K1112">
        <v>80</v>
      </c>
      <c r="L1112">
        <v>79.865509032999995</v>
      </c>
      <c r="M1112">
        <v>60</v>
      </c>
      <c r="N1112">
        <v>56.921680449999997</v>
      </c>
    </row>
    <row r="1113" spans="1:14" x14ac:dyDescent="0.25">
      <c r="A1113">
        <v>1280.0000130000001</v>
      </c>
      <c r="B1113" s="1">
        <f>DATE(2013,11,1) + TIME(0,0,1)</f>
        <v>41579.000011574077</v>
      </c>
      <c r="C1113">
        <v>0</v>
      </c>
      <c r="D1113">
        <v>550</v>
      </c>
      <c r="E1113">
        <v>550</v>
      </c>
      <c r="F1113">
        <v>0</v>
      </c>
      <c r="G1113">
        <v>1338.1761475000001</v>
      </c>
      <c r="H1113">
        <v>1336.4731445</v>
      </c>
      <c r="I1113">
        <v>1329.9694824000001</v>
      </c>
      <c r="J1113">
        <v>1325.2954102000001</v>
      </c>
      <c r="K1113">
        <v>80</v>
      </c>
      <c r="L1113">
        <v>79.865364075000002</v>
      </c>
      <c r="M1113">
        <v>60</v>
      </c>
      <c r="N1113">
        <v>56.921867370999998</v>
      </c>
    </row>
    <row r="1114" spans="1:14" x14ac:dyDescent="0.25">
      <c r="A1114">
        <v>1280.0000399999999</v>
      </c>
      <c r="B1114" s="1">
        <f>DATE(2013,11,1) + TIME(0,0,3)</f>
        <v>41579.000034722223</v>
      </c>
      <c r="C1114">
        <v>0</v>
      </c>
      <c r="D1114">
        <v>550</v>
      </c>
      <c r="E1114">
        <v>550</v>
      </c>
      <c r="F1114">
        <v>0</v>
      </c>
      <c r="G1114">
        <v>1336.6804199000001</v>
      </c>
      <c r="H1114">
        <v>1334.9660644999999</v>
      </c>
      <c r="I1114">
        <v>1332.0731201000001</v>
      </c>
      <c r="J1114">
        <v>1327.4459228999999</v>
      </c>
      <c r="K1114">
        <v>80</v>
      </c>
      <c r="L1114">
        <v>79.865150451999995</v>
      </c>
      <c r="M1114">
        <v>60</v>
      </c>
      <c r="N1114">
        <v>56.922172545999999</v>
      </c>
    </row>
    <row r="1115" spans="1:14" x14ac:dyDescent="0.25">
      <c r="A1115">
        <v>1280.000121</v>
      </c>
      <c r="B1115" s="1">
        <f>DATE(2013,11,1) + TIME(0,0,10)</f>
        <v>41579.000115740739</v>
      </c>
      <c r="C1115">
        <v>0</v>
      </c>
      <c r="D1115">
        <v>550</v>
      </c>
      <c r="E1115">
        <v>550</v>
      </c>
      <c r="F1115">
        <v>0</v>
      </c>
      <c r="G1115">
        <v>1334.9932861</v>
      </c>
      <c r="H1115">
        <v>1333.2504882999999</v>
      </c>
      <c r="I1115">
        <v>1334.6956786999999</v>
      </c>
      <c r="J1115">
        <v>1330.041626</v>
      </c>
      <c r="K1115">
        <v>80</v>
      </c>
      <c r="L1115">
        <v>79.864898682000003</v>
      </c>
      <c r="M1115">
        <v>60</v>
      </c>
      <c r="N1115">
        <v>56.922588347999998</v>
      </c>
    </row>
    <row r="1116" spans="1:14" x14ac:dyDescent="0.25">
      <c r="A1116">
        <v>1280.000364</v>
      </c>
      <c r="B1116" s="1">
        <f>DATE(2013,11,1) + TIME(0,0,31)</f>
        <v>41579.000358796293</v>
      </c>
      <c r="C1116">
        <v>0</v>
      </c>
      <c r="D1116">
        <v>550</v>
      </c>
      <c r="E1116">
        <v>550</v>
      </c>
      <c r="F1116">
        <v>0</v>
      </c>
      <c r="G1116">
        <v>1333.2403564000001</v>
      </c>
      <c r="H1116">
        <v>1331.4241943</v>
      </c>
      <c r="I1116">
        <v>1337.453125</v>
      </c>
      <c r="J1116">
        <v>1332.7517089999999</v>
      </c>
      <c r="K1116">
        <v>80</v>
      </c>
      <c r="L1116">
        <v>79.864624023000005</v>
      </c>
      <c r="M1116">
        <v>60</v>
      </c>
      <c r="N1116">
        <v>56.923183440999999</v>
      </c>
    </row>
    <row r="1117" spans="1:14" x14ac:dyDescent="0.25">
      <c r="A1117">
        <v>1280.0010930000001</v>
      </c>
      <c r="B1117" s="1">
        <f>DATE(2013,11,1) + TIME(0,1,34)</f>
        <v>41579.001087962963</v>
      </c>
      <c r="C1117">
        <v>0</v>
      </c>
      <c r="D1117">
        <v>550</v>
      </c>
      <c r="E1117">
        <v>550</v>
      </c>
      <c r="F1117">
        <v>0</v>
      </c>
      <c r="G1117">
        <v>1331.4560547000001</v>
      </c>
      <c r="H1117">
        <v>1329.4991454999999</v>
      </c>
      <c r="I1117">
        <v>1340.1619873</v>
      </c>
      <c r="J1117">
        <v>1335.4036865</v>
      </c>
      <c r="K1117">
        <v>80</v>
      </c>
      <c r="L1117">
        <v>79.864280700999998</v>
      </c>
      <c r="M1117">
        <v>60</v>
      </c>
      <c r="N1117">
        <v>56.924251556000002</v>
      </c>
    </row>
    <row r="1118" spans="1:14" x14ac:dyDescent="0.25">
      <c r="A1118">
        <v>1280.0032799999999</v>
      </c>
      <c r="B1118" s="1">
        <f>DATE(2013,11,1) + TIME(0,4,43)</f>
        <v>41579.003275462965</v>
      </c>
      <c r="C1118">
        <v>0</v>
      </c>
      <c r="D1118">
        <v>550</v>
      </c>
      <c r="E1118">
        <v>550</v>
      </c>
      <c r="F1118">
        <v>0</v>
      </c>
      <c r="G1118">
        <v>1329.8494873</v>
      </c>
      <c r="H1118">
        <v>1327.7402344</v>
      </c>
      <c r="I1118">
        <v>1342.4683838000001</v>
      </c>
      <c r="J1118">
        <v>1337.6502685999999</v>
      </c>
      <c r="K1118">
        <v>80</v>
      </c>
      <c r="L1118">
        <v>79.863761901999993</v>
      </c>
      <c r="M1118">
        <v>60</v>
      </c>
      <c r="N1118">
        <v>56.926753998000002</v>
      </c>
    </row>
    <row r="1119" spans="1:14" x14ac:dyDescent="0.25">
      <c r="A1119">
        <v>1280.0098410000001</v>
      </c>
      <c r="B1119" s="1">
        <f>DATE(2013,11,1) + TIME(0,14,10)</f>
        <v>41579.009837962964</v>
      </c>
      <c r="C1119">
        <v>0</v>
      </c>
      <c r="D1119">
        <v>550</v>
      </c>
      <c r="E1119">
        <v>550</v>
      </c>
      <c r="F1119">
        <v>0</v>
      </c>
      <c r="G1119">
        <v>1328.6796875</v>
      </c>
      <c r="H1119">
        <v>1326.4904785000001</v>
      </c>
      <c r="I1119">
        <v>1343.9885254000001</v>
      </c>
      <c r="J1119">
        <v>1339.1278076000001</v>
      </c>
      <c r="K1119">
        <v>80</v>
      </c>
      <c r="L1119">
        <v>79.862716675000001</v>
      </c>
      <c r="M1119">
        <v>60</v>
      </c>
      <c r="N1119">
        <v>56.933612822999997</v>
      </c>
    </row>
    <row r="1120" spans="1:14" x14ac:dyDescent="0.25">
      <c r="A1120">
        <v>1280.029524</v>
      </c>
      <c r="B1120" s="1">
        <f>DATE(2013,11,1) + TIME(0,42,30)</f>
        <v>41579.029513888891</v>
      </c>
      <c r="C1120">
        <v>0</v>
      </c>
      <c r="D1120">
        <v>550</v>
      </c>
      <c r="E1120">
        <v>550</v>
      </c>
      <c r="F1120">
        <v>0</v>
      </c>
      <c r="G1120">
        <v>1328.0056152</v>
      </c>
      <c r="H1120">
        <v>1325.7957764</v>
      </c>
      <c r="I1120">
        <v>1344.7198486</v>
      </c>
      <c r="J1120">
        <v>1339.8382568</v>
      </c>
      <c r="K1120">
        <v>80</v>
      </c>
      <c r="L1120">
        <v>79.859962463000002</v>
      </c>
      <c r="M1120">
        <v>60</v>
      </c>
      <c r="N1120">
        <v>56.953670502000001</v>
      </c>
    </row>
    <row r="1121" spans="1:14" x14ac:dyDescent="0.25">
      <c r="A1121">
        <v>1280.088573</v>
      </c>
      <c r="B1121" s="1">
        <f>DATE(2013,11,1) + TIME(2,7,32)</f>
        <v>41579.088564814818</v>
      </c>
      <c r="C1121">
        <v>0</v>
      </c>
      <c r="D1121">
        <v>550</v>
      </c>
      <c r="E1121">
        <v>550</v>
      </c>
      <c r="F1121">
        <v>0</v>
      </c>
      <c r="G1121">
        <v>1327.7028809000001</v>
      </c>
      <c r="H1121">
        <v>1325.4903564000001</v>
      </c>
      <c r="I1121">
        <v>1344.9262695</v>
      </c>
      <c r="J1121">
        <v>1340.0440673999999</v>
      </c>
      <c r="K1121">
        <v>80</v>
      </c>
      <c r="L1121">
        <v>79.852035521999994</v>
      </c>
      <c r="M1121">
        <v>60</v>
      </c>
      <c r="N1121">
        <v>57.012435912999997</v>
      </c>
    </row>
    <row r="1122" spans="1:14" x14ac:dyDescent="0.25">
      <c r="A1122">
        <v>1280.263201</v>
      </c>
      <c r="B1122" s="1">
        <f>DATE(2013,11,1) + TIME(6,19,0)</f>
        <v>41579.263194444444</v>
      </c>
      <c r="C1122">
        <v>0</v>
      </c>
      <c r="D1122">
        <v>550</v>
      </c>
      <c r="E1122">
        <v>550</v>
      </c>
      <c r="F1122">
        <v>0</v>
      </c>
      <c r="G1122">
        <v>1327.6104736</v>
      </c>
      <c r="H1122">
        <v>1325.3973389</v>
      </c>
      <c r="I1122">
        <v>1344.8939209</v>
      </c>
      <c r="J1122">
        <v>1340.0324707</v>
      </c>
      <c r="K1122">
        <v>80</v>
      </c>
      <c r="L1122">
        <v>79.829383849999999</v>
      </c>
      <c r="M1122">
        <v>60</v>
      </c>
      <c r="N1122">
        <v>57.175880432</v>
      </c>
    </row>
    <row r="1123" spans="1:14" x14ac:dyDescent="0.25">
      <c r="A1123">
        <v>1280.442389</v>
      </c>
      <c r="B1123" s="1">
        <f>DATE(2013,11,1) + TIME(10,37,2)</f>
        <v>41579.442384259259</v>
      </c>
      <c r="C1123">
        <v>0</v>
      </c>
      <c r="D1123">
        <v>550</v>
      </c>
      <c r="E1123">
        <v>550</v>
      </c>
      <c r="F1123">
        <v>0</v>
      </c>
      <c r="G1123">
        <v>1327.59375</v>
      </c>
      <c r="H1123">
        <v>1325.3791504000001</v>
      </c>
      <c r="I1123">
        <v>1344.8599853999999</v>
      </c>
      <c r="J1123">
        <v>1340.0126952999999</v>
      </c>
      <c r="K1123">
        <v>80</v>
      </c>
      <c r="L1123">
        <v>79.806427002000007</v>
      </c>
      <c r="M1123">
        <v>60</v>
      </c>
      <c r="N1123">
        <v>57.333652495999999</v>
      </c>
    </row>
    <row r="1124" spans="1:14" x14ac:dyDescent="0.25">
      <c r="A1124">
        <v>1280.6269279999999</v>
      </c>
      <c r="B1124" s="1">
        <f>DATE(2013,11,1) + TIME(15,2,46)</f>
        <v>41579.626921296294</v>
      </c>
      <c r="C1124">
        <v>0</v>
      </c>
      <c r="D1124">
        <v>550</v>
      </c>
      <c r="E1124">
        <v>550</v>
      </c>
      <c r="F1124">
        <v>0</v>
      </c>
      <c r="G1124">
        <v>1327.5874022999999</v>
      </c>
      <c r="H1124">
        <v>1325.3714600000001</v>
      </c>
      <c r="I1124">
        <v>1344.8298339999999</v>
      </c>
      <c r="J1124">
        <v>1339.9963379000001</v>
      </c>
      <c r="K1124">
        <v>80</v>
      </c>
      <c r="L1124">
        <v>79.783073424999998</v>
      </c>
      <c r="M1124">
        <v>60</v>
      </c>
      <c r="N1124">
        <v>57.486248015999998</v>
      </c>
    </row>
    <row r="1125" spans="1:14" x14ac:dyDescent="0.25">
      <c r="A1125">
        <v>1280.817176</v>
      </c>
      <c r="B1125" s="1">
        <f>DATE(2013,11,1) + TIME(19,36,44)</f>
        <v>41579.817175925928</v>
      </c>
      <c r="C1125">
        <v>0</v>
      </c>
      <c r="D1125">
        <v>550</v>
      </c>
      <c r="E1125">
        <v>550</v>
      </c>
      <c r="F1125">
        <v>0</v>
      </c>
      <c r="G1125">
        <v>1327.5826416</v>
      </c>
      <c r="H1125">
        <v>1325.3651123</v>
      </c>
      <c r="I1125">
        <v>1344.8020019999999</v>
      </c>
      <c r="J1125">
        <v>1339.9816894999999</v>
      </c>
      <c r="K1125">
        <v>80</v>
      </c>
      <c r="L1125">
        <v>79.759300232000001</v>
      </c>
      <c r="M1125">
        <v>60</v>
      </c>
      <c r="N1125">
        <v>57.633728026999997</v>
      </c>
    </row>
    <row r="1126" spans="1:14" x14ac:dyDescent="0.25">
      <c r="A1126">
        <v>1281.0136259999999</v>
      </c>
      <c r="B1126" s="1">
        <f>DATE(2013,11,2) + TIME(0,19,37)</f>
        <v>41580.013622685183</v>
      </c>
      <c r="C1126">
        <v>0</v>
      </c>
      <c r="D1126">
        <v>550</v>
      </c>
      <c r="E1126">
        <v>550</v>
      </c>
      <c r="F1126">
        <v>0</v>
      </c>
      <c r="G1126">
        <v>1327.5780029</v>
      </c>
      <c r="H1126">
        <v>1325.3588867000001</v>
      </c>
      <c r="I1126">
        <v>1344.7757568</v>
      </c>
      <c r="J1126">
        <v>1339.9678954999999</v>
      </c>
      <c r="K1126">
        <v>80</v>
      </c>
      <c r="L1126">
        <v>79.735054016000007</v>
      </c>
      <c r="M1126">
        <v>60</v>
      </c>
      <c r="N1126">
        <v>57.776210785000004</v>
      </c>
    </row>
    <row r="1127" spans="1:14" x14ac:dyDescent="0.25">
      <c r="A1127">
        <v>1281.21678</v>
      </c>
      <c r="B1127" s="1">
        <f>DATE(2013,11,2) + TIME(5,12,9)</f>
        <v>41580.216770833336</v>
      </c>
      <c r="C1127">
        <v>0</v>
      </c>
      <c r="D1127">
        <v>550</v>
      </c>
      <c r="E1127">
        <v>550</v>
      </c>
      <c r="F1127">
        <v>0</v>
      </c>
      <c r="G1127">
        <v>1327.5732422000001</v>
      </c>
      <c r="H1127">
        <v>1325.3525391000001</v>
      </c>
      <c r="I1127">
        <v>1344.7508545000001</v>
      </c>
      <c r="J1127">
        <v>1339.9548339999999</v>
      </c>
      <c r="K1127">
        <v>80</v>
      </c>
      <c r="L1127">
        <v>79.710296631000006</v>
      </c>
      <c r="M1127">
        <v>60</v>
      </c>
      <c r="N1127">
        <v>57.913780211999999</v>
      </c>
    </row>
    <row r="1128" spans="1:14" x14ac:dyDescent="0.25">
      <c r="A1128">
        <v>1281.427189</v>
      </c>
      <c r="B1128" s="1">
        <f>DATE(2013,11,2) + TIME(10,15,9)</f>
        <v>41580.427187499998</v>
      </c>
      <c r="C1128">
        <v>0</v>
      </c>
      <c r="D1128">
        <v>550</v>
      </c>
      <c r="E1128">
        <v>550</v>
      </c>
      <c r="F1128">
        <v>0</v>
      </c>
      <c r="G1128">
        <v>1327.5683594</v>
      </c>
      <c r="H1128">
        <v>1325.3458252</v>
      </c>
      <c r="I1128">
        <v>1344.7271728999999</v>
      </c>
      <c r="J1128">
        <v>1339.9423827999999</v>
      </c>
      <c r="K1128">
        <v>80</v>
      </c>
      <c r="L1128">
        <v>79.684982300000001</v>
      </c>
      <c r="M1128">
        <v>60</v>
      </c>
      <c r="N1128">
        <v>58.046508789000001</v>
      </c>
    </row>
    <row r="1129" spans="1:14" x14ac:dyDescent="0.25">
      <c r="A1129">
        <v>1281.6454699999999</v>
      </c>
      <c r="B1129" s="1">
        <f>DATE(2013,11,2) + TIME(15,29,28)</f>
        <v>41580.645462962966</v>
      </c>
      <c r="C1129">
        <v>0</v>
      </c>
      <c r="D1129">
        <v>550</v>
      </c>
      <c r="E1129">
        <v>550</v>
      </c>
      <c r="F1129">
        <v>0</v>
      </c>
      <c r="G1129">
        <v>1327.5632324000001</v>
      </c>
      <c r="H1129">
        <v>1325.3388672000001</v>
      </c>
      <c r="I1129">
        <v>1344.7045897999999</v>
      </c>
      <c r="J1129">
        <v>1339.9304199000001</v>
      </c>
      <c r="K1129">
        <v>80</v>
      </c>
      <c r="L1129">
        <v>79.659065247000001</v>
      </c>
      <c r="M1129">
        <v>60</v>
      </c>
      <c r="N1129">
        <v>58.174461364999999</v>
      </c>
    </row>
    <row r="1130" spans="1:14" x14ac:dyDescent="0.25">
      <c r="A1130">
        <v>1281.8723070000001</v>
      </c>
      <c r="B1130" s="1">
        <f>DATE(2013,11,2) + TIME(20,56,7)</f>
        <v>41580.872303240743</v>
      </c>
      <c r="C1130">
        <v>0</v>
      </c>
      <c r="D1130">
        <v>550</v>
      </c>
      <c r="E1130">
        <v>550</v>
      </c>
      <c r="F1130">
        <v>0</v>
      </c>
      <c r="G1130">
        <v>1327.5578613</v>
      </c>
      <c r="H1130">
        <v>1325.331543</v>
      </c>
      <c r="I1130">
        <v>1344.6829834</v>
      </c>
      <c r="J1130">
        <v>1339.9191894999999</v>
      </c>
      <c r="K1130">
        <v>80</v>
      </c>
      <c r="L1130">
        <v>79.632484435999999</v>
      </c>
      <c r="M1130">
        <v>60</v>
      </c>
      <c r="N1130">
        <v>58.297683716000002</v>
      </c>
    </row>
    <row r="1131" spans="1:14" x14ac:dyDescent="0.25">
      <c r="A1131">
        <v>1282.108467</v>
      </c>
      <c r="B1131" s="1">
        <f>DATE(2013,11,3) + TIME(2,36,11)</f>
        <v>41581.108460648145</v>
      </c>
      <c r="C1131">
        <v>0</v>
      </c>
      <c r="D1131">
        <v>550</v>
      </c>
      <c r="E1131">
        <v>550</v>
      </c>
      <c r="F1131">
        <v>0</v>
      </c>
      <c r="G1131">
        <v>1327.5523682</v>
      </c>
      <c r="H1131">
        <v>1325.3239745999999</v>
      </c>
      <c r="I1131">
        <v>1344.6624756000001</v>
      </c>
      <c r="J1131">
        <v>1339.9083252</v>
      </c>
      <c r="K1131">
        <v>80</v>
      </c>
      <c r="L1131">
        <v>79.605186462000006</v>
      </c>
      <c r="M1131">
        <v>60</v>
      </c>
      <c r="N1131">
        <v>58.416225433000001</v>
      </c>
    </row>
    <row r="1132" spans="1:14" x14ac:dyDescent="0.25">
      <c r="A1132">
        <v>1282.3548149999999</v>
      </c>
      <c r="B1132" s="1">
        <f>DATE(2013,11,3) + TIME(8,30,55)</f>
        <v>41581.354803240742</v>
      </c>
      <c r="C1132">
        <v>0</v>
      </c>
      <c r="D1132">
        <v>550</v>
      </c>
      <c r="E1132">
        <v>550</v>
      </c>
      <c r="F1132">
        <v>0</v>
      </c>
      <c r="G1132">
        <v>1327.5466309000001</v>
      </c>
      <c r="H1132">
        <v>1325.3160399999999</v>
      </c>
      <c r="I1132">
        <v>1344.6428223</v>
      </c>
      <c r="J1132">
        <v>1339.8979492000001</v>
      </c>
      <c r="K1132">
        <v>80</v>
      </c>
      <c r="L1132">
        <v>79.577095032000003</v>
      </c>
      <c r="M1132">
        <v>60</v>
      </c>
      <c r="N1132">
        <v>58.530120850000003</v>
      </c>
    </row>
    <row r="1133" spans="1:14" x14ac:dyDescent="0.25">
      <c r="A1133">
        <v>1282.6123250000001</v>
      </c>
      <c r="B1133" s="1">
        <f>DATE(2013,11,3) + TIME(14,41,44)</f>
        <v>41581.612314814818</v>
      </c>
      <c r="C1133">
        <v>0</v>
      </c>
      <c r="D1133">
        <v>550</v>
      </c>
      <c r="E1133">
        <v>550</v>
      </c>
      <c r="F1133">
        <v>0</v>
      </c>
      <c r="G1133">
        <v>1327.5405272999999</v>
      </c>
      <c r="H1133">
        <v>1325.3077393000001</v>
      </c>
      <c r="I1133">
        <v>1344.6241454999999</v>
      </c>
      <c r="J1133">
        <v>1339.8879394999999</v>
      </c>
      <c r="K1133">
        <v>80</v>
      </c>
      <c r="L1133">
        <v>79.548141478999995</v>
      </c>
      <c r="M1133">
        <v>60</v>
      </c>
      <c r="N1133">
        <v>58.639396667</v>
      </c>
    </row>
    <row r="1134" spans="1:14" x14ac:dyDescent="0.25">
      <c r="A1134">
        <v>1282.882108</v>
      </c>
      <c r="B1134" s="1">
        <f>DATE(2013,11,3) + TIME(21,10,14)</f>
        <v>41581.882106481484</v>
      </c>
      <c r="C1134">
        <v>0</v>
      </c>
      <c r="D1134">
        <v>550</v>
      </c>
      <c r="E1134">
        <v>550</v>
      </c>
      <c r="F1134">
        <v>0</v>
      </c>
      <c r="G1134">
        <v>1327.5341797000001</v>
      </c>
      <c r="H1134">
        <v>1325.2989502</v>
      </c>
      <c r="I1134">
        <v>1344.6063231999999</v>
      </c>
      <c r="J1134">
        <v>1339.878418</v>
      </c>
      <c r="K1134">
        <v>80</v>
      </c>
      <c r="L1134">
        <v>79.518234253000003</v>
      </c>
      <c r="M1134">
        <v>60</v>
      </c>
      <c r="N1134">
        <v>58.744075774999999</v>
      </c>
    </row>
    <row r="1135" spans="1:14" x14ac:dyDescent="0.25">
      <c r="A1135">
        <v>1283.1653879999999</v>
      </c>
      <c r="B1135" s="1">
        <f>DATE(2013,11,4) + TIME(3,58,9)</f>
        <v>41582.165381944447</v>
      </c>
      <c r="C1135">
        <v>0</v>
      </c>
      <c r="D1135">
        <v>550</v>
      </c>
      <c r="E1135">
        <v>550</v>
      </c>
      <c r="F1135">
        <v>0</v>
      </c>
      <c r="G1135">
        <v>1327.5274658000001</v>
      </c>
      <c r="H1135">
        <v>1325.2896728999999</v>
      </c>
      <c r="I1135">
        <v>1344.5892334</v>
      </c>
      <c r="J1135">
        <v>1339.8692627</v>
      </c>
      <c r="K1135">
        <v>80</v>
      </c>
      <c r="L1135">
        <v>79.487289429</v>
      </c>
      <c r="M1135">
        <v>60</v>
      </c>
      <c r="N1135">
        <v>58.844154357999997</v>
      </c>
    </row>
    <row r="1136" spans="1:14" x14ac:dyDescent="0.25">
      <c r="A1136">
        <v>1283.4636350000001</v>
      </c>
      <c r="B1136" s="1">
        <f>DATE(2013,11,4) + TIME(11,7,38)</f>
        <v>41582.463634259257</v>
      </c>
      <c r="C1136">
        <v>0</v>
      </c>
      <c r="D1136">
        <v>550</v>
      </c>
      <c r="E1136">
        <v>550</v>
      </c>
      <c r="F1136">
        <v>0</v>
      </c>
      <c r="G1136">
        <v>1327.5205077999999</v>
      </c>
      <c r="H1136">
        <v>1325.2800293</v>
      </c>
      <c r="I1136">
        <v>1344.572876</v>
      </c>
      <c r="J1136">
        <v>1339.8603516000001</v>
      </c>
      <c r="K1136">
        <v>80</v>
      </c>
      <c r="L1136">
        <v>79.455184936999999</v>
      </c>
      <c r="M1136">
        <v>60</v>
      </c>
      <c r="N1136">
        <v>58.939647675000003</v>
      </c>
    </row>
    <row r="1137" spans="1:14" x14ac:dyDescent="0.25">
      <c r="A1137">
        <v>1283.7785570000001</v>
      </c>
      <c r="B1137" s="1">
        <f>DATE(2013,11,4) + TIME(18,41,7)</f>
        <v>41582.778553240743</v>
      </c>
      <c r="C1137">
        <v>0</v>
      </c>
      <c r="D1137">
        <v>550</v>
      </c>
      <c r="E1137">
        <v>550</v>
      </c>
      <c r="F1137">
        <v>0</v>
      </c>
      <c r="G1137">
        <v>1327.5130615</v>
      </c>
      <c r="H1137">
        <v>1325.2697754000001</v>
      </c>
      <c r="I1137">
        <v>1344.5571289</v>
      </c>
      <c r="J1137">
        <v>1339.8518065999999</v>
      </c>
      <c r="K1137">
        <v>80</v>
      </c>
      <c r="L1137">
        <v>79.421806334999999</v>
      </c>
      <c r="M1137">
        <v>60</v>
      </c>
      <c r="N1137">
        <v>59.030567169000001</v>
      </c>
    </row>
    <row r="1138" spans="1:14" x14ac:dyDescent="0.25">
      <c r="A1138">
        <v>1284.112124</v>
      </c>
      <c r="B1138" s="1">
        <f>DATE(2013,11,5) + TIME(2,41,27)</f>
        <v>41583.112118055556</v>
      </c>
      <c r="C1138">
        <v>0</v>
      </c>
      <c r="D1138">
        <v>550</v>
      </c>
      <c r="E1138">
        <v>550</v>
      </c>
      <c r="F1138">
        <v>0</v>
      </c>
      <c r="G1138">
        <v>1327.505249</v>
      </c>
      <c r="H1138">
        <v>1325.2589111</v>
      </c>
      <c r="I1138">
        <v>1344.5419922000001</v>
      </c>
      <c r="J1138">
        <v>1339.8433838000001</v>
      </c>
      <c r="K1138">
        <v>80</v>
      </c>
      <c r="L1138">
        <v>79.387001037999994</v>
      </c>
      <c r="M1138">
        <v>60</v>
      </c>
      <c r="N1138">
        <v>59.116901398000003</v>
      </c>
    </row>
    <row r="1139" spans="1:14" x14ac:dyDescent="0.25">
      <c r="A1139">
        <v>1284.4666540000001</v>
      </c>
      <c r="B1139" s="1">
        <f>DATE(2013,11,5) + TIME(11,11,58)</f>
        <v>41583.466643518521</v>
      </c>
      <c r="C1139">
        <v>0</v>
      </c>
      <c r="D1139">
        <v>550</v>
      </c>
      <c r="E1139">
        <v>550</v>
      </c>
      <c r="F1139">
        <v>0</v>
      </c>
      <c r="G1139">
        <v>1327.4969481999999</v>
      </c>
      <c r="H1139">
        <v>1325.2473144999999</v>
      </c>
      <c r="I1139">
        <v>1344.5274658000001</v>
      </c>
      <c r="J1139">
        <v>1339.8352050999999</v>
      </c>
      <c r="K1139">
        <v>80</v>
      </c>
      <c r="L1139">
        <v>79.350608825999998</v>
      </c>
      <c r="M1139">
        <v>60</v>
      </c>
      <c r="N1139">
        <v>59.198646545000003</v>
      </c>
    </row>
    <row r="1140" spans="1:14" x14ac:dyDescent="0.25">
      <c r="A1140">
        <v>1284.844895</v>
      </c>
      <c r="B1140" s="1">
        <f>DATE(2013,11,5) + TIME(20,16,38)</f>
        <v>41583.844884259262</v>
      </c>
      <c r="C1140">
        <v>0</v>
      </c>
      <c r="D1140">
        <v>550</v>
      </c>
      <c r="E1140">
        <v>550</v>
      </c>
      <c r="F1140">
        <v>0</v>
      </c>
      <c r="G1140">
        <v>1327.4880370999999</v>
      </c>
      <c r="H1140">
        <v>1325.2349853999999</v>
      </c>
      <c r="I1140">
        <v>1344.5134277</v>
      </c>
      <c r="J1140">
        <v>1339.8272704999999</v>
      </c>
      <c r="K1140">
        <v>80</v>
      </c>
      <c r="L1140">
        <v>79.312423706000004</v>
      </c>
      <c r="M1140">
        <v>60</v>
      </c>
      <c r="N1140">
        <v>59.275783539000003</v>
      </c>
    </row>
    <row r="1141" spans="1:14" x14ac:dyDescent="0.25">
      <c r="A1141">
        <v>1285.250145</v>
      </c>
      <c r="B1141" s="1">
        <f>DATE(2013,11,6) + TIME(6,0,12)</f>
        <v>41584.250138888892</v>
      </c>
      <c r="C1141">
        <v>0</v>
      </c>
      <c r="D1141">
        <v>550</v>
      </c>
      <c r="E1141">
        <v>550</v>
      </c>
      <c r="F1141">
        <v>0</v>
      </c>
      <c r="G1141">
        <v>1327.4786377</v>
      </c>
      <c r="H1141">
        <v>1325.2219238</v>
      </c>
      <c r="I1141">
        <v>1344.4997559000001</v>
      </c>
      <c r="J1141">
        <v>1339.8193358999999</v>
      </c>
      <c r="K1141">
        <v>80</v>
      </c>
      <c r="L1141">
        <v>79.272209167</v>
      </c>
      <c r="M1141">
        <v>60</v>
      </c>
      <c r="N1141">
        <v>59.348293304000002</v>
      </c>
    </row>
    <row r="1142" spans="1:14" x14ac:dyDescent="0.25">
      <c r="A1142">
        <v>1285.686402</v>
      </c>
      <c r="B1142" s="1">
        <f>DATE(2013,11,6) + TIME(16,28,25)</f>
        <v>41584.686400462961</v>
      </c>
      <c r="C1142">
        <v>0</v>
      </c>
      <c r="D1142">
        <v>550</v>
      </c>
      <c r="E1142">
        <v>550</v>
      </c>
      <c r="F1142">
        <v>0</v>
      </c>
      <c r="G1142">
        <v>1327.4685059000001</v>
      </c>
      <c r="H1142">
        <v>1325.2077637</v>
      </c>
      <c r="I1142">
        <v>1344.4864502</v>
      </c>
      <c r="J1142">
        <v>1339.8115233999999</v>
      </c>
      <c r="K1142">
        <v>80</v>
      </c>
      <c r="L1142">
        <v>79.229698181000003</v>
      </c>
      <c r="M1142">
        <v>60</v>
      </c>
      <c r="N1142">
        <v>59.416156768999997</v>
      </c>
    </row>
    <row r="1143" spans="1:14" x14ac:dyDescent="0.25">
      <c r="A1143">
        <v>1286.1585729999999</v>
      </c>
      <c r="B1143" s="1">
        <f>DATE(2013,11,7) + TIME(3,48,20)</f>
        <v>41585.158564814818</v>
      </c>
      <c r="C1143">
        <v>0</v>
      </c>
      <c r="D1143">
        <v>550</v>
      </c>
      <c r="E1143">
        <v>550</v>
      </c>
      <c r="F1143">
        <v>0</v>
      </c>
      <c r="G1143">
        <v>1327.4575195</v>
      </c>
      <c r="H1143">
        <v>1325.1925048999999</v>
      </c>
      <c r="I1143">
        <v>1344.4733887</v>
      </c>
      <c r="J1143">
        <v>1339.8037108999999</v>
      </c>
      <c r="K1143">
        <v>80</v>
      </c>
      <c r="L1143">
        <v>79.184547424000002</v>
      </c>
      <c r="M1143">
        <v>60</v>
      </c>
      <c r="N1143">
        <v>59.479347228999998</v>
      </c>
    </row>
    <row r="1144" spans="1:14" x14ac:dyDescent="0.25">
      <c r="A1144">
        <v>1286.672769</v>
      </c>
      <c r="B1144" s="1">
        <f>DATE(2013,11,7) + TIME(16,8,47)</f>
        <v>41585.672766203701</v>
      </c>
      <c r="C1144">
        <v>0</v>
      </c>
      <c r="D1144">
        <v>550</v>
      </c>
      <c r="E1144">
        <v>550</v>
      </c>
      <c r="F1144">
        <v>0</v>
      </c>
      <c r="G1144">
        <v>1327.4456786999999</v>
      </c>
      <c r="H1144">
        <v>1325.1760254000001</v>
      </c>
      <c r="I1144">
        <v>1344.4604492000001</v>
      </c>
      <c r="J1144">
        <v>1339.7958983999999</v>
      </c>
      <c r="K1144">
        <v>80</v>
      </c>
      <c r="L1144">
        <v>79.136344910000005</v>
      </c>
      <c r="M1144">
        <v>60</v>
      </c>
      <c r="N1144">
        <v>59.537845611999998</v>
      </c>
    </row>
    <row r="1145" spans="1:14" x14ac:dyDescent="0.25">
      <c r="A1145">
        <v>1287.236725</v>
      </c>
      <c r="B1145" s="1">
        <f>DATE(2013,11,8) + TIME(5,40,53)</f>
        <v>41586.236724537041</v>
      </c>
      <c r="C1145">
        <v>0</v>
      </c>
      <c r="D1145">
        <v>550</v>
      </c>
      <c r="E1145">
        <v>550</v>
      </c>
      <c r="F1145">
        <v>0</v>
      </c>
      <c r="G1145">
        <v>1327.4326172000001</v>
      </c>
      <c r="H1145">
        <v>1325.1579589999999</v>
      </c>
      <c r="I1145">
        <v>1344.4477539</v>
      </c>
      <c r="J1145">
        <v>1339.7879639</v>
      </c>
      <c r="K1145">
        <v>80</v>
      </c>
      <c r="L1145">
        <v>79.084579468000001</v>
      </c>
      <c r="M1145">
        <v>60</v>
      </c>
      <c r="N1145">
        <v>59.591621398999997</v>
      </c>
    </row>
    <row r="1146" spans="1:14" x14ac:dyDescent="0.25">
      <c r="A1146">
        <v>1287.8559540000001</v>
      </c>
      <c r="B1146" s="1">
        <f>DATE(2013,11,8) + TIME(20,32,34)</f>
        <v>41586.855949074074</v>
      </c>
      <c r="C1146">
        <v>0</v>
      </c>
      <c r="D1146">
        <v>550</v>
      </c>
      <c r="E1146">
        <v>550</v>
      </c>
      <c r="F1146">
        <v>0</v>
      </c>
      <c r="G1146">
        <v>1327.418457</v>
      </c>
      <c r="H1146">
        <v>1325.1381836</v>
      </c>
      <c r="I1146">
        <v>1344.4350586</v>
      </c>
      <c r="J1146">
        <v>1339.7799072</v>
      </c>
      <c r="K1146">
        <v>80</v>
      </c>
      <c r="L1146">
        <v>79.028945922999995</v>
      </c>
      <c r="M1146">
        <v>60</v>
      </c>
      <c r="N1146">
        <v>59.640365600999999</v>
      </c>
    </row>
    <row r="1147" spans="1:14" x14ac:dyDescent="0.25">
      <c r="A1147">
        <v>1288.5014140000001</v>
      </c>
      <c r="B1147" s="1">
        <f>DATE(2013,11,9) + TIME(12,2,2)</f>
        <v>41587.50141203704</v>
      </c>
      <c r="C1147">
        <v>0</v>
      </c>
      <c r="D1147">
        <v>550</v>
      </c>
      <c r="E1147">
        <v>550</v>
      </c>
      <c r="F1147">
        <v>0</v>
      </c>
      <c r="G1147">
        <v>1327.4029541</v>
      </c>
      <c r="H1147">
        <v>1325.1168213000001</v>
      </c>
      <c r="I1147">
        <v>1344.4237060999999</v>
      </c>
      <c r="J1147">
        <v>1339.7723389</v>
      </c>
      <c r="K1147">
        <v>80</v>
      </c>
      <c r="L1147">
        <v>78.971824646000002</v>
      </c>
      <c r="M1147">
        <v>60</v>
      </c>
      <c r="N1147">
        <v>59.682037354000002</v>
      </c>
    </row>
    <row r="1148" spans="1:14" x14ac:dyDescent="0.25">
      <c r="A1148">
        <v>1289.1762510000001</v>
      </c>
      <c r="B1148" s="1">
        <f>DATE(2013,11,10) + TIME(4,13,48)</f>
        <v>41588.176249999997</v>
      </c>
      <c r="C1148">
        <v>0</v>
      </c>
      <c r="D1148">
        <v>550</v>
      </c>
      <c r="E1148">
        <v>550</v>
      </c>
      <c r="F1148">
        <v>0</v>
      </c>
      <c r="G1148">
        <v>1327.3868408000001</v>
      </c>
      <c r="H1148">
        <v>1325.0943603999999</v>
      </c>
      <c r="I1148">
        <v>1344.4125977000001</v>
      </c>
      <c r="J1148">
        <v>1339.7647704999999</v>
      </c>
      <c r="K1148">
        <v>80</v>
      </c>
      <c r="L1148">
        <v>78.913017272999994</v>
      </c>
      <c r="M1148">
        <v>60</v>
      </c>
      <c r="N1148">
        <v>59.717498779000003</v>
      </c>
    </row>
    <row r="1149" spans="1:14" x14ac:dyDescent="0.25">
      <c r="A1149">
        <v>1289.882564</v>
      </c>
      <c r="B1149" s="1">
        <f>DATE(2013,11,10) + TIME(21,10,53)</f>
        <v>41588.882557870369</v>
      </c>
      <c r="C1149">
        <v>0</v>
      </c>
      <c r="D1149">
        <v>550</v>
      </c>
      <c r="E1149">
        <v>550</v>
      </c>
      <c r="F1149">
        <v>0</v>
      </c>
      <c r="G1149">
        <v>1327.369751</v>
      </c>
      <c r="H1149">
        <v>1325.0708007999999</v>
      </c>
      <c r="I1149">
        <v>1344.4018555</v>
      </c>
      <c r="J1149">
        <v>1339.7573242000001</v>
      </c>
      <c r="K1149">
        <v>80</v>
      </c>
      <c r="L1149">
        <v>78.852386475000003</v>
      </c>
      <c r="M1149">
        <v>60</v>
      </c>
      <c r="N1149">
        <v>59.747482300000001</v>
      </c>
    </row>
    <row r="1150" spans="1:14" x14ac:dyDescent="0.25">
      <c r="A1150">
        <v>1290.622437</v>
      </c>
      <c r="B1150" s="1">
        <f>DATE(2013,11,11) + TIME(14,56,18)</f>
        <v>41589.622430555559</v>
      </c>
      <c r="C1150">
        <v>0</v>
      </c>
      <c r="D1150">
        <v>550</v>
      </c>
      <c r="E1150">
        <v>550</v>
      </c>
      <c r="F1150">
        <v>0</v>
      </c>
      <c r="G1150">
        <v>1327.3519286999999</v>
      </c>
      <c r="H1150">
        <v>1325.0460204999999</v>
      </c>
      <c r="I1150">
        <v>1344.3913574000001</v>
      </c>
      <c r="J1150">
        <v>1339.7498779</v>
      </c>
      <c r="K1150">
        <v>80</v>
      </c>
      <c r="L1150">
        <v>78.789833068999997</v>
      </c>
      <c r="M1150">
        <v>60</v>
      </c>
      <c r="N1150">
        <v>59.772647857999999</v>
      </c>
    </row>
    <row r="1151" spans="1:14" x14ac:dyDescent="0.25">
      <c r="A1151">
        <v>1291.3987520000001</v>
      </c>
      <c r="B1151" s="1">
        <f>DATE(2013,11,12) + TIME(9,34,12)</f>
        <v>41590.39875</v>
      </c>
      <c r="C1151">
        <v>0</v>
      </c>
      <c r="D1151">
        <v>550</v>
      </c>
      <c r="E1151">
        <v>550</v>
      </c>
      <c r="F1151">
        <v>0</v>
      </c>
      <c r="G1151">
        <v>1327.3332519999999</v>
      </c>
      <c r="H1151">
        <v>1325.0200195</v>
      </c>
      <c r="I1151">
        <v>1344.3808594</v>
      </c>
      <c r="J1151">
        <v>1339.7424315999999</v>
      </c>
      <c r="K1151">
        <v>80</v>
      </c>
      <c r="L1151">
        <v>78.725181579999997</v>
      </c>
      <c r="M1151">
        <v>60</v>
      </c>
      <c r="N1151">
        <v>59.793636321999998</v>
      </c>
    </row>
    <row r="1152" spans="1:14" x14ac:dyDescent="0.25">
      <c r="A1152">
        <v>1292.2144490000001</v>
      </c>
      <c r="B1152" s="1">
        <f>DATE(2013,11,13) + TIME(5,8,48)</f>
        <v>41591.214444444442</v>
      </c>
      <c r="C1152">
        <v>0</v>
      </c>
      <c r="D1152">
        <v>550</v>
      </c>
      <c r="E1152">
        <v>550</v>
      </c>
      <c r="F1152">
        <v>0</v>
      </c>
      <c r="G1152">
        <v>1327.3134766000001</v>
      </c>
      <c r="H1152">
        <v>1324.9926757999999</v>
      </c>
      <c r="I1152">
        <v>1344.3706055</v>
      </c>
      <c r="J1152">
        <v>1339.7348632999999</v>
      </c>
      <c r="K1152">
        <v>80</v>
      </c>
      <c r="L1152">
        <v>78.658264160000002</v>
      </c>
      <c r="M1152">
        <v>60</v>
      </c>
      <c r="N1152">
        <v>59.811012267999999</v>
      </c>
    </row>
    <row r="1153" spans="1:14" x14ac:dyDescent="0.25">
      <c r="A1153">
        <v>1293.0722169999999</v>
      </c>
      <c r="B1153" s="1">
        <f>DATE(2013,11,14) + TIME(1,43,59)</f>
        <v>41592.072210648148</v>
      </c>
      <c r="C1153">
        <v>0</v>
      </c>
      <c r="D1153">
        <v>550</v>
      </c>
      <c r="E1153">
        <v>550</v>
      </c>
      <c r="F1153">
        <v>0</v>
      </c>
      <c r="G1153">
        <v>1327.2927245999999</v>
      </c>
      <c r="H1153">
        <v>1324.9638672000001</v>
      </c>
      <c r="I1153">
        <v>1344.3603516000001</v>
      </c>
      <c r="J1153">
        <v>1339.7272949000001</v>
      </c>
      <c r="K1153">
        <v>80</v>
      </c>
      <c r="L1153">
        <v>78.588958739999995</v>
      </c>
      <c r="M1153">
        <v>60</v>
      </c>
      <c r="N1153">
        <v>59.825283051</v>
      </c>
    </row>
    <row r="1154" spans="1:14" x14ac:dyDescent="0.25">
      <c r="A1154">
        <v>1293.956453</v>
      </c>
      <c r="B1154" s="1">
        <f>DATE(2013,11,14) + TIME(22,57,17)</f>
        <v>41592.956446759257</v>
      </c>
      <c r="C1154">
        <v>0</v>
      </c>
      <c r="D1154">
        <v>550</v>
      </c>
      <c r="E1154">
        <v>550</v>
      </c>
      <c r="F1154">
        <v>0</v>
      </c>
      <c r="G1154">
        <v>1327.2709961</v>
      </c>
      <c r="H1154">
        <v>1324.9337158000001</v>
      </c>
      <c r="I1154">
        <v>1344.3503418</v>
      </c>
      <c r="J1154">
        <v>1339.7197266000001</v>
      </c>
      <c r="K1154">
        <v>80</v>
      </c>
      <c r="L1154">
        <v>78.518341063999998</v>
      </c>
      <c r="M1154">
        <v>60</v>
      </c>
      <c r="N1154">
        <v>59.836730957</v>
      </c>
    </row>
    <row r="1155" spans="1:14" x14ac:dyDescent="0.25">
      <c r="A1155">
        <v>1294.8696769999999</v>
      </c>
      <c r="B1155" s="1">
        <f>DATE(2013,11,15) + TIME(20,52,20)</f>
        <v>41593.869675925926</v>
      </c>
      <c r="C1155">
        <v>0</v>
      </c>
      <c r="D1155">
        <v>550</v>
      </c>
      <c r="E1155">
        <v>550</v>
      </c>
      <c r="F1155">
        <v>0</v>
      </c>
      <c r="G1155">
        <v>1327.2484131000001</v>
      </c>
      <c r="H1155">
        <v>1324.9024658000001</v>
      </c>
      <c r="I1155">
        <v>1344.3404541</v>
      </c>
      <c r="J1155">
        <v>1339.7121582</v>
      </c>
      <c r="K1155">
        <v>80</v>
      </c>
      <c r="L1155">
        <v>78.446273804</v>
      </c>
      <c r="M1155">
        <v>60</v>
      </c>
      <c r="N1155">
        <v>59.845893859999997</v>
      </c>
    </row>
    <row r="1156" spans="1:14" x14ac:dyDescent="0.25">
      <c r="A1156">
        <v>1295.8162420000001</v>
      </c>
      <c r="B1156" s="1">
        <f>DATE(2013,11,16) + TIME(19,35,23)</f>
        <v>41594.816238425927</v>
      </c>
      <c r="C1156">
        <v>0</v>
      </c>
      <c r="D1156">
        <v>550</v>
      </c>
      <c r="E1156">
        <v>550</v>
      </c>
      <c r="F1156">
        <v>0</v>
      </c>
      <c r="G1156">
        <v>1327.2250977000001</v>
      </c>
      <c r="H1156">
        <v>1324.8701172000001</v>
      </c>
      <c r="I1156">
        <v>1344.3306885</v>
      </c>
      <c r="J1156">
        <v>1339.7047118999999</v>
      </c>
      <c r="K1156">
        <v>80</v>
      </c>
      <c r="L1156">
        <v>78.372512817</v>
      </c>
      <c r="M1156">
        <v>60</v>
      </c>
      <c r="N1156">
        <v>59.853221892999997</v>
      </c>
    </row>
    <row r="1157" spans="1:14" x14ac:dyDescent="0.25">
      <c r="A1157">
        <v>1296.801316</v>
      </c>
      <c r="B1157" s="1">
        <f>DATE(2013,11,17) + TIME(19,13,53)</f>
        <v>41595.801307870373</v>
      </c>
      <c r="C1157">
        <v>0</v>
      </c>
      <c r="D1157">
        <v>550</v>
      </c>
      <c r="E1157">
        <v>550</v>
      </c>
      <c r="F1157">
        <v>0</v>
      </c>
      <c r="G1157">
        <v>1327.2009277</v>
      </c>
      <c r="H1157">
        <v>1324.8364257999999</v>
      </c>
      <c r="I1157">
        <v>1344.3210449000001</v>
      </c>
      <c r="J1157">
        <v>1339.6972656</v>
      </c>
      <c r="K1157">
        <v>80</v>
      </c>
      <c r="L1157">
        <v>78.296783446999996</v>
      </c>
      <c r="M1157">
        <v>60</v>
      </c>
      <c r="N1157">
        <v>59.859081267999997</v>
      </c>
    </row>
    <row r="1158" spans="1:14" x14ac:dyDescent="0.25">
      <c r="A1158">
        <v>1297.83052</v>
      </c>
      <c r="B1158" s="1">
        <f>DATE(2013,11,18) + TIME(19,55,56)</f>
        <v>41596.830509259256</v>
      </c>
      <c r="C1158">
        <v>0</v>
      </c>
      <c r="D1158">
        <v>550</v>
      </c>
      <c r="E1158">
        <v>550</v>
      </c>
      <c r="F1158">
        <v>0</v>
      </c>
      <c r="G1158">
        <v>1327.1756591999999</v>
      </c>
      <c r="H1158">
        <v>1324.8013916</v>
      </c>
      <c r="I1158">
        <v>1344.3115233999999</v>
      </c>
      <c r="J1158">
        <v>1339.6899414</v>
      </c>
      <c r="K1158">
        <v>80</v>
      </c>
      <c r="L1158">
        <v>78.218772888000004</v>
      </c>
      <c r="M1158">
        <v>60</v>
      </c>
      <c r="N1158">
        <v>59.863761902</v>
      </c>
    </row>
    <row r="1159" spans="1:14" x14ac:dyDescent="0.25">
      <c r="A1159">
        <v>1298.9103359999999</v>
      </c>
      <c r="B1159" s="1">
        <f>DATE(2013,11,19) + TIME(21,50,52)</f>
        <v>41597.910324074073</v>
      </c>
      <c r="C1159">
        <v>0</v>
      </c>
      <c r="D1159">
        <v>550</v>
      </c>
      <c r="E1159">
        <v>550</v>
      </c>
      <c r="F1159">
        <v>0</v>
      </c>
      <c r="G1159">
        <v>1327.1491699000001</v>
      </c>
      <c r="H1159">
        <v>1324.7646483999999</v>
      </c>
      <c r="I1159">
        <v>1344.3020019999999</v>
      </c>
      <c r="J1159">
        <v>1339.6824951000001</v>
      </c>
      <c r="K1159">
        <v>80</v>
      </c>
      <c r="L1159">
        <v>78.138145446999999</v>
      </c>
      <c r="M1159">
        <v>60</v>
      </c>
      <c r="N1159">
        <v>59.867507934999999</v>
      </c>
    </row>
    <row r="1160" spans="1:14" x14ac:dyDescent="0.25">
      <c r="A1160">
        <v>1300.0294409999999</v>
      </c>
      <c r="B1160" s="1">
        <f>DATE(2013,11,21) + TIME(0,42,23)</f>
        <v>41599.029432870368</v>
      </c>
      <c r="C1160">
        <v>0</v>
      </c>
      <c r="D1160">
        <v>550</v>
      </c>
      <c r="E1160">
        <v>550</v>
      </c>
      <c r="F1160">
        <v>0</v>
      </c>
      <c r="G1160">
        <v>1327.121582</v>
      </c>
      <c r="H1160">
        <v>1324.7261963000001</v>
      </c>
      <c r="I1160">
        <v>1344.2924805</v>
      </c>
      <c r="J1160">
        <v>1339.6750488</v>
      </c>
      <c r="K1160">
        <v>80</v>
      </c>
      <c r="L1160">
        <v>78.055603027000004</v>
      </c>
      <c r="M1160">
        <v>60</v>
      </c>
      <c r="N1160">
        <v>59.870460510000001</v>
      </c>
    </row>
    <row r="1161" spans="1:14" x14ac:dyDescent="0.25">
      <c r="A1161">
        <v>1301.1844599999999</v>
      </c>
      <c r="B1161" s="1">
        <f>DATE(2013,11,22) + TIME(4,25,37)</f>
        <v>41600.18445601852</v>
      </c>
      <c r="C1161">
        <v>0</v>
      </c>
      <c r="D1161">
        <v>550</v>
      </c>
      <c r="E1161">
        <v>550</v>
      </c>
      <c r="F1161">
        <v>0</v>
      </c>
      <c r="G1161">
        <v>1327.0928954999999</v>
      </c>
      <c r="H1161">
        <v>1324.6862793</v>
      </c>
      <c r="I1161">
        <v>1344.2830810999999</v>
      </c>
      <c r="J1161">
        <v>1339.6677245999999</v>
      </c>
      <c r="K1161">
        <v>80</v>
      </c>
      <c r="L1161">
        <v>77.971397400000001</v>
      </c>
      <c r="M1161">
        <v>60</v>
      </c>
      <c r="N1161">
        <v>59.872795105000002</v>
      </c>
    </row>
    <row r="1162" spans="1:14" x14ac:dyDescent="0.25">
      <c r="A1162">
        <v>1302.3781980000001</v>
      </c>
      <c r="B1162" s="1">
        <f>DATE(2013,11,23) + TIME(9,4,36)</f>
        <v>41601.378194444442</v>
      </c>
      <c r="C1162">
        <v>0</v>
      </c>
      <c r="D1162">
        <v>550</v>
      </c>
      <c r="E1162">
        <v>550</v>
      </c>
      <c r="F1162">
        <v>0</v>
      </c>
      <c r="G1162">
        <v>1327.0631103999999</v>
      </c>
      <c r="H1162">
        <v>1324.6448975000001</v>
      </c>
      <c r="I1162">
        <v>1344.2739257999999</v>
      </c>
      <c r="J1162">
        <v>1339.6604004000001</v>
      </c>
      <c r="K1162">
        <v>80</v>
      </c>
      <c r="L1162">
        <v>77.885437011999997</v>
      </c>
      <c r="M1162">
        <v>60</v>
      </c>
      <c r="N1162">
        <v>59.874641418000003</v>
      </c>
    </row>
    <row r="1163" spans="1:14" x14ac:dyDescent="0.25">
      <c r="A1163">
        <v>1303.613501</v>
      </c>
      <c r="B1163" s="1">
        <f>DATE(2013,11,24) + TIME(14,43,26)</f>
        <v>41602.613495370373</v>
      </c>
      <c r="C1163">
        <v>0</v>
      </c>
      <c r="D1163">
        <v>550</v>
      </c>
      <c r="E1163">
        <v>550</v>
      </c>
      <c r="F1163">
        <v>0</v>
      </c>
      <c r="G1163">
        <v>1327.0324707</v>
      </c>
      <c r="H1163">
        <v>1324.6021728999999</v>
      </c>
      <c r="I1163">
        <v>1344.2648925999999</v>
      </c>
      <c r="J1163">
        <v>1339.6531981999999</v>
      </c>
      <c r="K1163">
        <v>80</v>
      </c>
      <c r="L1163">
        <v>77.797615050999994</v>
      </c>
      <c r="M1163">
        <v>60</v>
      </c>
      <c r="N1163">
        <v>59.876117706000002</v>
      </c>
    </row>
    <row r="1164" spans="1:14" x14ac:dyDescent="0.25">
      <c r="A1164">
        <v>1304.8934509999999</v>
      </c>
      <c r="B1164" s="1">
        <f>DATE(2013,11,25) + TIME(21,26,34)</f>
        <v>41603.893449074072</v>
      </c>
      <c r="C1164">
        <v>0</v>
      </c>
      <c r="D1164">
        <v>550</v>
      </c>
      <c r="E1164">
        <v>550</v>
      </c>
      <c r="F1164">
        <v>0</v>
      </c>
      <c r="G1164">
        <v>1327.0006103999999</v>
      </c>
      <c r="H1164">
        <v>1324.5578613</v>
      </c>
      <c r="I1164">
        <v>1344.2559814000001</v>
      </c>
      <c r="J1164">
        <v>1339.6461182</v>
      </c>
      <c r="K1164">
        <v>80</v>
      </c>
      <c r="L1164">
        <v>77.707817078000005</v>
      </c>
      <c r="M1164">
        <v>60</v>
      </c>
      <c r="N1164">
        <v>59.877307891999997</v>
      </c>
    </row>
    <row r="1165" spans="1:14" x14ac:dyDescent="0.25">
      <c r="A1165">
        <v>1306.221391</v>
      </c>
      <c r="B1165" s="1">
        <f>DATE(2013,11,27) + TIME(5,18,48)</f>
        <v>41605.221388888887</v>
      </c>
      <c r="C1165">
        <v>0</v>
      </c>
      <c r="D1165">
        <v>550</v>
      </c>
      <c r="E1165">
        <v>550</v>
      </c>
      <c r="F1165">
        <v>0</v>
      </c>
      <c r="G1165">
        <v>1326.9676514</v>
      </c>
      <c r="H1165">
        <v>1324.5119629000001</v>
      </c>
      <c r="I1165">
        <v>1344.2471923999999</v>
      </c>
      <c r="J1165">
        <v>1339.6391602000001</v>
      </c>
      <c r="K1165">
        <v>80</v>
      </c>
      <c r="L1165">
        <v>77.615921021000005</v>
      </c>
      <c r="M1165">
        <v>60</v>
      </c>
      <c r="N1165">
        <v>59.878273010000001</v>
      </c>
    </row>
    <row r="1166" spans="1:14" x14ac:dyDescent="0.25">
      <c r="A1166">
        <v>1307.6009529999999</v>
      </c>
      <c r="B1166" s="1">
        <f>DATE(2013,11,28) + TIME(14,25,22)</f>
        <v>41606.600949074076</v>
      </c>
      <c r="C1166">
        <v>0</v>
      </c>
      <c r="D1166">
        <v>550</v>
      </c>
      <c r="E1166">
        <v>550</v>
      </c>
      <c r="F1166">
        <v>0</v>
      </c>
      <c r="G1166">
        <v>1326.9334716999999</v>
      </c>
      <c r="H1166">
        <v>1324.4642334</v>
      </c>
      <c r="I1166">
        <v>1344.2385254000001</v>
      </c>
      <c r="J1166">
        <v>1339.6322021000001</v>
      </c>
      <c r="K1166">
        <v>80</v>
      </c>
      <c r="L1166">
        <v>77.521789550999998</v>
      </c>
      <c r="M1166">
        <v>60</v>
      </c>
      <c r="N1166">
        <v>59.879070282000001</v>
      </c>
    </row>
    <row r="1167" spans="1:14" x14ac:dyDescent="0.25">
      <c r="A1167">
        <v>1309.0354440000001</v>
      </c>
      <c r="B1167" s="1">
        <f>DATE(2013,11,30) + TIME(0,51,2)</f>
        <v>41608.035439814812</v>
      </c>
      <c r="C1167">
        <v>0</v>
      </c>
      <c r="D1167">
        <v>550</v>
      </c>
      <c r="E1167">
        <v>550</v>
      </c>
      <c r="F1167">
        <v>0</v>
      </c>
      <c r="G1167">
        <v>1326.8979492000001</v>
      </c>
      <c r="H1167">
        <v>1324.4146728999999</v>
      </c>
      <c r="I1167">
        <v>1344.2298584</v>
      </c>
      <c r="J1167">
        <v>1339.6253661999999</v>
      </c>
      <c r="K1167">
        <v>80</v>
      </c>
      <c r="L1167">
        <v>77.425308228000006</v>
      </c>
      <c r="M1167">
        <v>60</v>
      </c>
      <c r="N1167">
        <v>59.879734038999999</v>
      </c>
    </row>
    <row r="1168" spans="1:14" x14ac:dyDescent="0.25">
      <c r="A1168">
        <v>1310</v>
      </c>
      <c r="B1168" s="1">
        <f>DATE(2013,12,1) + TIME(0,0,0)</f>
        <v>41609</v>
      </c>
      <c r="C1168">
        <v>0</v>
      </c>
      <c r="D1168">
        <v>550</v>
      </c>
      <c r="E1168">
        <v>550</v>
      </c>
      <c r="F1168">
        <v>0</v>
      </c>
      <c r="G1168">
        <v>1326.8629149999999</v>
      </c>
      <c r="H1168">
        <v>1324.3666992000001</v>
      </c>
      <c r="I1168">
        <v>1344.2214355000001</v>
      </c>
      <c r="J1168">
        <v>1339.6185303</v>
      </c>
      <c r="K1168">
        <v>80</v>
      </c>
      <c r="L1168">
        <v>77.354858398000005</v>
      </c>
      <c r="M1168">
        <v>60</v>
      </c>
      <c r="N1168">
        <v>59.880111694</v>
      </c>
    </row>
    <row r="1169" spans="1:14" x14ac:dyDescent="0.25">
      <c r="A1169">
        <v>1311.4943209999999</v>
      </c>
      <c r="B1169" s="1">
        <f>DATE(2013,12,2) + TIME(11,51,49)</f>
        <v>41610.494317129633</v>
      </c>
      <c r="C1169">
        <v>0</v>
      </c>
      <c r="D1169">
        <v>550</v>
      </c>
      <c r="E1169">
        <v>550</v>
      </c>
      <c r="F1169">
        <v>0</v>
      </c>
      <c r="G1169">
        <v>1326.8350829999999</v>
      </c>
      <c r="H1169">
        <v>1324.3265381000001</v>
      </c>
      <c r="I1169">
        <v>1344.2159423999999</v>
      </c>
      <c r="J1169">
        <v>1339.6141356999999</v>
      </c>
      <c r="K1169">
        <v>80</v>
      </c>
      <c r="L1169">
        <v>77.257759093999994</v>
      </c>
      <c r="M1169">
        <v>60</v>
      </c>
      <c r="N1169">
        <v>59.880603790000002</v>
      </c>
    </row>
    <row r="1170" spans="1:14" x14ac:dyDescent="0.25">
      <c r="A1170">
        <v>1313.0980810000001</v>
      </c>
      <c r="B1170" s="1">
        <f>DATE(2013,12,4) + TIME(2,21,14)</f>
        <v>41612.098078703704</v>
      </c>
      <c r="C1170">
        <v>0</v>
      </c>
      <c r="D1170">
        <v>550</v>
      </c>
      <c r="E1170">
        <v>550</v>
      </c>
      <c r="F1170">
        <v>0</v>
      </c>
      <c r="G1170">
        <v>1326.7967529</v>
      </c>
      <c r="H1170">
        <v>1324.2729492000001</v>
      </c>
      <c r="I1170">
        <v>1344.2078856999999</v>
      </c>
      <c r="J1170">
        <v>1339.6076660000001</v>
      </c>
      <c r="K1170">
        <v>80</v>
      </c>
      <c r="L1170">
        <v>77.155593871999997</v>
      </c>
      <c r="M1170">
        <v>60</v>
      </c>
      <c r="N1170">
        <v>59.881042479999998</v>
      </c>
    </row>
    <row r="1171" spans="1:14" x14ac:dyDescent="0.25">
      <c r="A1171">
        <v>1314.7734780000001</v>
      </c>
      <c r="B1171" s="1">
        <f>DATE(2013,12,5) + TIME(18,33,48)</f>
        <v>41613.773472222223</v>
      </c>
      <c r="C1171">
        <v>0</v>
      </c>
      <c r="D1171">
        <v>550</v>
      </c>
      <c r="E1171">
        <v>550</v>
      </c>
      <c r="F1171">
        <v>0</v>
      </c>
      <c r="G1171">
        <v>1326.7559814000001</v>
      </c>
      <c r="H1171">
        <v>1324.2158202999999</v>
      </c>
      <c r="I1171">
        <v>1344.1994629000001</v>
      </c>
      <c r="J1171">
        <v>1339.6009521000001</v>
      </c>
      <c r="K1171">
        <v>80</v>
      </c>
      <c r="L1171">
        <v>77.050041199000006</v>
      </c>
      <c r="M1171">
        <v>60</v>
      </c>
      <c r="N1171">
        <v>59.881423949999999</v>
      </c>
    </row>
    <row r="1172" spans="1:14" x14ac:dyDescent="0.25">
      <c r="A1172">
        <v>1316.516359</v>
      </c>
      <c r="B1172" s="1">
        <f>DATE(2013,12,7) + TIME(12,23,33)</f>
        <v>41615.51635416667</v>
      </c>
      <c r="C1172">
        <v>0</v>
      </c>
      <c r="D1172">
        <v>550</v>
      </c>
      <c r="E1172">
        <v>550</v>
      </c>
      <c r="F1172">
        <v>0</v>
      </c>
      <c r="G1172">
        <v>1326.7131348</v>
      </c>
      <c r="H1172">
        <v>1324.1561279</v>
      </c>
      <c r="I1172">
        <v>1344.1911620999999</v>
      </c>
      <c r="J1172">
        <v>1339.5942382999999</v>
      </c>
      <c r="K1172">
        <v>80</v>
      </c>
      <c r="L1172">
        <v>76.941398621000005</v>
      </c>
      <c r="M1172">
        <v>60</v>
      </c>
      <c r="N1172">
        <v>59.881763458000002</v>
      </c>
    </row>
    <row r="1173" spans="1:14" x14ac:dyDescent="0.25">
      <c r="A1173">
        <v>1318.3073440000001</v>
      </c>
      <c r="B1173" s="1">
        <f>DATE(2013,12,9) + TIME(7,22,34)</f>
        <v>41617.307337962964</v>
      </c>
      <c r="C1173">
        <v>0</v>
      </c>
      <c r="D1173">
        <v>550</v>
      </c>
      <c r="E1173">
        <v>550</v>
      </c>
      <c r="F1173">
        <v>0</v>
      </c>
      <c r="G1173">
        <v>1326.6687012</v>
      </c>
      <c r="H1173">
        <v>1324.0939940999999</v>
      </c>
      <c r="I1173">
        <v>1344.1829834</v>
      </c>
      <c r="J1173">
        <v>1339.5876464999999</v>
      </c>
      <c r="K1173">
        <v>80</v>
      </c>
      <c r="L1173">
        <v>76.830642699999999</v>
      </c>
      <c r="M1173">
        <v>60</v>
      </c>
      <c r="N1173">
        <v>59.882064819</v>
      </c>
    </row>
    <row r="1174" spans="1:14" x14ac:dyDescent="0.25">
      <c r="A1174">
        <v>1320.15103</v>
      </c>
      <c r="B1174" s="1">
        <f>DATE(2013,12,11) + TIME(3,37,28)</f>
        <v>41619.151018518518</v>
      </c>
      <c r="C1174">
        <v>0</v>
      </c>
      <c r="D1174">
        <v>550</v>
      </c>
      <c r="E1174">
        <v>550</v>
      </c>
      <c r="F1174">
        <v>0</v>
      </c>
      <c r="G1174">
        <v>1326.6229248</v>
      </c>
      <c r="H1174">
        <v>1324.0297852000001</v>
      </c>
      <c r="I1174">
        <v>1344.1750488</v>
      </c>
      <c r="J1174">
        <v>1339.5811768000001</v>
      </c>
      <c r="K1174">
        <v>80</v>
      </c>
      <c r="L1174">
        <v>76.717758179</v>
      </c>
      <c r="M1174">
        <v>60</v>
      </c>
      <c r="N1174">
        <v>59.882331848</v>
      </c>
    </row>
    <row r="1175" spans="1:14" x14ac:dyDescent="0.25">
      <c r="A1175">
        <v>1322.0517139999999</v>
      </c>
      <c r="B1175" s="1">
        <f>DATE(2013,12,13) + TIME(1,14,28)</f>
        <v>41621.051712962966</v>
      </c>
      <c r="C1175">
        <v>0</v>
      </c>
      <c r="D1175">
        <v>550</v>
      </c>
      <c r="E1175">
        <v>550</v>
      </c>
      <c r="F1175">
        <v>0</v>
      </c>
      <c r="G1175">
        <v>1326.5756836</v>
      </c>
      <c r="H1175">
        <v>1323.9636230000001</v>
      </c>
      <c r="I1175">
        <v>1344.1672363</v>
      </c>
      <c r="J1175">
        <v>1339.5748291</v>
      </c>
      <c r="K1175">
        <v>80</v>
      </c>
      <c r="L1175">
        <v>76.602691649999997</v>
      </c>
      <c r="M1175">
        <v>60</v>
      </c>
      <c r="N1175">
        <v>59.882575989000003</v>
      </c>
    </row>
    <row r="1176" spans="1:14" x14ac:dyDescent="0.25">
      <c r="A1176">
        <v>1324.0140409999999</v>
      </c>
      <c r="B1176" s="1">
        <f>DATE(2013,12,15) + TIME(0,20,13)</f>
        <v>41623.014039351852</v>
      </c>
      <c r="C1176">
        <v>0</v>
      </c>
      <c r="D1176">
        <v>550</v>
      </c>
      <c r="E1176">
        <v>550</v>
      </c>
      <c r="F1176">
        <v>0</v>
      </c>
      <c r="G1176">
        <v>1326.5270995999999</v>
      </c>
      <c r="H1176">
        <v>1323.8953856999999</v>
      </c>
      <c r="I1176">
        <v>1344.1595459</v>
      </c>
      <c r="J1176">
        <v>1339.5686035000001</v>
      </c>
      <c r="K1176">
        <v>80</v>
      </c>
      <c r="L1176">
        <v>76.485336304</v>
      </c>
      <c r="M1176">
        <v>60</v>
      </c>
      <c r="N1176">
        <v>59.882801055999998</v>
      </c>
    </row>
    <row r="1177" spans="1:14" x14ac:dyDescent="0.25">
      <c r="A1177">
        <v>1326.042954</v>
      </c>
      <c r="B1177" s="1">
        <f>DATE(2013,12,17) + TIME(1,1,51)</f>
        <v>41625.042951388888</v>
      </c>
      <c r="C1177">
        <v>0</v>
      </c>
      <c r="D1177">
        <v>550</v>
      </c>
      <c r="E1177">
        <v>550</v>
      </c>
      <c r="F1177">
        <v>0</v>
      </c>
      <c r="G1177">
        <v>1326.4769286999999</v>
      </c>
      <c r="H1177">
        <v>1323.8248291</v>
      </c>
      <c r="I1177">
        <v>1344.1519774999999</v>
      </c>
      <c r="J1177">
        <v>1339.5625</v>
      </c>
      <c r="K1177">
        <v>80</v>
      </c>
      <c r="L1177">
        <v>76.365531920999999</v>
      </c>
      <c r="M1177">
        <v>60</v>
      </c>
      <c r="N1177">
        <v>59.883010863999999</v>
      </c>
    </row>
    <row r="1178" spans="1:14" x14ac:dyDescent="0.25">
      <c r="A1178">
        <v>1328.143793</v>
      </c>
      <c r="B1178" s="1">
        <f>DATE(2013,12,19) + TIME(3,27,3)</f>
        <v>41627.143784722219</v>
      </c>
      <c r="C1178">
        <v>0</v>
      </c>
      <c r="D1178">
        <v>550</v>
      </c>
      <c r="E1178">
        <v>550</v>
      </c>
      <c r="F1178">
        <v>0</v>
      </c>
      <c r="G1178">
        <v>1326.4250488</v>
      </c>
      <c r="H1178">
        <v>1323.7520752</v>
      </c>
      <c r="I1178">
        <v>1344.1444091999999</v>
      </c>
      <c r="J1178">
        <v>1339.5563964999999</v>
      </c>
      <c r="K1178">
        <v>80</v>
      </c>
      <c r="L1178">
        <v>76.243064880000006</v>
      </c>
      <c r="M1178">
        <v>60</v>
      </c>
      <c r="N1178">
        <v>59.883213042999998</v>
      </c>
    </row>
    <row r="1179" spans="1:14" x14ac:dyDescent="0.25">
      <c r="A1179">
        <v>1330.322336</v>
      </c>
      <c r="B1179" s="1">
        <f>DATE(2013,12,21) + TIME(7,44,9)</f>
        <v>41629.322326388887</v>
      </c>
      <c r="C1179">
        <v>0</v>
      </c>
      <c r="D1179">
        <v>550</v>
      </c>
      <c r="E1179">
        <v>550</v>
      </c>
      <c r="F1179">
        <v>0</v>
      </c>
      <c r="G1179">
        <v>1326.3714600000001</v>
      </c>
      <c r="H1179">
        <v>1323.6766356999999</v>
      </c>
      <c r="I1179">
        <v>1344.1370850000001</v>
      </c>
      <c r="J1179">
        <v>1339.5504149999999</v>
      </c>
      <c r="K1179">
        <v>80</v>
      </c>
      <c r="L1179">
        <v>76.117691039999997</v>
      </c>
      <c r="M1179">
        <v>60</v>
      </c>
      <c r="N1179">
        <v>59.883403778000002</v>
      </c>
    </row>
    <row r="1180" spans="1:14" x14ac:dyDescent="0.25">
      <c r="A1180">
        <v>1332.583893</v>
      </c>
      <c r="B1180" s="1">
        <f>DATE(2013,12,23) + TIME(14,0,48)</f>
        <v>41631.58388888889</v>
      </c>
      <c r="C1180">
        <v>0</v>
      </c>
      <c r="D1180">
        <v>550</v>
      </c>
      <c r="E1180">
        <v>550</v>
      </c>
      <c r="F1180">
        <v>0</v>
      </c>
      <c r="G1180">
        <v>1326.3160399999999</v>
      </c>
      <c r="H1180">
        <v>1323.5986327999999</v>
      </c>
      <c r="I1180">
        <v>1344.1297606999999</v>
      </c>
      <c r="J1180">
        <v>1339.5445557</v>
      </c>
      <c r="K1180">
        <v>80</v>
      </c>
      <c r="L1180">
        <v>75.989151000999996</v>
      </c>
      <c r="M1180">
        <v>60</v>
      </c>
      <c r="N1180">
        <v>59.883586884000003</v>
      </c>
    </row>
    <row r="1181" spans="1:14" x14ac:dyDescent="0.25">
      <c r="A1181">
        <v>1334.9361699999999</v>
      </c>
      <c r="B1181" s="1">
        <f>DATE(2013,12,25) + TIME(22,28,5)</f>
        <v>41633.936168981483</v>
      </c>
      <c r="C1181">
        <v>0</v>
      </c>
      <c r="D1181">
        <v>550</v>
      </c>
      <c r="E1181">
        <v>550</v>
      </c>
      <c r="F1181">
        <v>0</v>
      </c>
      <c r="G1181">
        <v>1326.2586670000001</v>
      </c>
      <c r="H1181">
        <v>1323.5178223</v>
      </c>
      <c r="I1181">
        <v>1344.1225586</v>
      </c>
      <c r="J1181">
        <v>1339.5386963000001</v>
      </c>
      <c r="K1181">
        <v>80</v>
      </c>
      <c r="L1181">
        <v>75.857070922999995</v>
      </c>
      <c r="M1181">
        <v>60</v>
      </c>
      <c r="N1181">
        <v>59.883766174000002</v>
      </c>
    </row>
    <row r="1182" spans="1:14" x14ac:dyDescent="0.25">
      <c r="A1182">
        <v>1337.386714</v>
      </c>
      <c r="B1182" s="1">
        <f>DATE(2013,12,28) + TIME(9,16,52)</f>
        <v>41636.386712962965</v>
      </c>
      <c r="C1182">
        <v>0</v>
      </c>
      <c r="D1182">
        <v>550</v>
      </c>
      <c r="E1182">
        <v>550</v>
      </c>
      <c r="F1182">
        <v>0</v>
      </c>
      <c r="G1182">
        <v>1326.1992187999999</v>
      </c>
      <c r="H1182">
        <v>1323.4338379000001</v>
      </c>
      <c r="I1182">
        <v>1344.1153564000001</v>
      </c>
      <c r="J1182">
        <v>1339.5329589999999</v>
      </c>
      <c r="K1182">
        <v>80</v>
      </c>
      <c r="L1182">
        <v>75.721054077000005</v>
      </c>
      <c r="M1182">
        <v>60</v>
      </c>
      <c r="N1182">
        <v>59.883945464999996</v>
      </c>
    </row>
    <row r="1183" spans="1:14" x14ac:dyDescent="0.25">
      <c r="A1183">
        <v>1339.9438700000001</v>
      </c>
      <c r="B1183" s="1">
        <f>DATE(2013,12,30) + TIME(22,39,10)</f>
        <v>41638.943865740737</v>
      </c>
      <c r="C1183">
        <v>0</v>
      </c>
      <c r="D1183">
        <v>550</v>
      </c>
      <c r="E1183">
        <v>550</v>
      </c>
      <c r="F1183">
        <v>0</v>
      </c>
      <c r="G1183">
        <v>1326.1373291</v>
      </c>
      <c r="H1183">
        <v>1323.3466797000001</v>
      </c>
      <c r="I1183">
        <v>1344.1081543</v>
      </c>
      <c r="J1183">
        <v>1339.5272216999999</v>
      </c>
      <c r="K1183">
        <v>80</v>
      </c>
      <c r="L1183">
        <v>75.580642699999999</v>
      </c>
      <c r="M1183">
        <v>60</v>
      </c>
      <c r="N1183">
        <v>59.884120940999999</v>
      </c>
    </row>
    <row r="1184" spans="1:14" x14ac:dyDescent="0.25">
      <c r="A1184">
        <v>1341</v>
      </c>
      <c r="B1184" s="1">
        <f>DATE(2014,1,1) + TIME(0,0,0)</f>
        <v>41640</v>
      </c>
      <c r="C1184">
        <v>0</v>
      </c>
      <c r="D1184">
        <v>550</v>
      </c>
      <c r="E1184">
        <v>550</v>
      </c>
      <c r="F1184">
        <v>0</v>
      </c>
      <c r="G1184">
        <v>1326.0783690999999</v>
      </c>
      <c r="H1184">
        <v>1323.2666016000001</v>
      </c>
      <c r="I1184">
        <v>1344.1003418</v>
      </c>
      <c r="J1184">
        <v>1339.5212402</v>
      </c>
      <c r="K1184">
        <v>80</v>
      </c>
      <c r="L1184">
        <v>75.504379271999994</v>
      </c>
      <c r="M1184">
        <v>60</v>
      </c>
      <c r="N1184">
        <v>59.884185791</v>
      </c>
    </row>
    <row r="1185" spans="1:14" x14ac:dyDescent="0.25">
      <c r="A1185">
        <v>1343.6334609999999</v>
      </c>
      <c r="B1185" s="1">
        <f>DATE(2014,1,3) + TIME(15,12,11)</f>
        <v>41642.633460648147</v>
      </c>
      <c r="C1185">
        <v>0</v>
      </c>
      <c r="D1185">
        <v>550</v>
      </c>
      <c r="E1185">
        <v>550</v>
      </c>
      <c r="F1185">
        <v>0</v>
      </c>
      <c r="G1185">
        <v>1326.0428466999999</v>
      </c>
      <c r="H1185">
        <v>1323.2120361</v>
      </c>
      <c r="I1185">
        <v>1344.0981445</v>
      </c>
      <c r="J1185">
        <v>1339.5191649999999</v>
      </c>
      <c r="K1185">
        <v>80</v>
      </c>
      <c r="L1185">
        <v>75.367317200000002</v>
      </c>
      <c r="M1185">
        <v>60</v>
      </c>
      <c r="N1185">
        <v>59.884365082000002</v>
      </c>
    </row>
    <row r="1186" spans="1:14" x14ac:dyDescent="0.25">
      <c r="A1186">
        <v>1346.3768689999999</v>
      </c>
      <c r="B1186" s="1">
        <f>DATE(2014,1,6) + TIME(9,2,41)</f>
        <v>41645.376863425925</v>
      </c>
      <c r="C1186">
        <v>0</v>
      </c>
      <c r="D1186">
        <v>550</v>
      </c>
      <c r="E1186">
        <v>550</v>
      </c>
      <c r="F1186">
        <v>0</v>
      </c>
      <c r="G1186">
        <v>1325.9783935999999</v>
      </c>
      <c r="H1186">
        <v>1323.1213379000001</v>
      </c>
      <c r="I1186">
        <v>1344.0910644999999</v>
      </c>
      <c r="J1186">
        <v>1339.5136719</v>
      </c>
      <c r="K1186">
        <v>80</v>
      </c>
      <c r="L1186">
        <v>75.222900390999996</v>
      </c>
      <c r="M1186">
        <v>60</v>
      </c>
      <c r="N1186">
        <v>59.884540557999998</v>
      </c>
    </row>
    <row r="1187" spans="1:14" x14ac:dyDescent="0.25">
      <c r="A1187">
        <v>1349.20651</v>
      </c>
      <c r="B1187" s="1">
        <f>DATE(2014,1,9) + TIME(4,57,22)</f>
        <v>41648.206504629627</v>
      </c>
      <c r="C1187">
        <v>0</v>
      </c>
      <c r="D1187">
        <v>550</v>
      </c>
      <c r="E1187">
        <v>550</v>
      </c>
      <c r="F1187">
        <v>0</v>
      </c>
      <c r="G1187">
        <v>1325.9108887</v>
      </c>
      <c r="H1187">
        <v>1323.0261230000001</v>
      </c>
      <c r="I1187">
        <v>1344.0841064000001</v>
      </c>
      <c r="J1187">
        <v>1339.5081786999999</v>
      </c>
      <c r="K1187">
        <v>80</v>
      </c>
      <c r="L1187">
        <v>75.072479247999993</v>
      </c>
      <c r="M1187">
        <v>60</v>
      </c>
      <c r="N1187">
        <v>59.884716034</v>
      </c>
    </row>
    <row r="1188" spans="1:14" x14ac:dyDescent="0.25">
      <c r="A1188">
        <v>1352.1307320000001</v>
      </c>
      <c r="B1188" s="1">
        <f>DATE(2014,1,12) + TIME(3,8,15)</f>
        <v>41651.130729166667</v>
      </c>
      <c r="C1188">
        <v>0</v>
      </c>
      <c r="D1188">
        <v>550</v>
      </c>
      <c r="E1188">
        <v>550</v>
      </c>
      <c r="F1188">
        <v>0</v>
      </c>
      <c r="G1188">
        <v>1325.8411865</v>
      </c>
      <c r="H1188">
        <v>1322.9272461</v>
      </c>
      <c r="I1188">
        <v>1344.0770264</v>
      </c>
      <c r="J1188">
        <v>1339.5028076000001</v>
      </c>
      <c r="K1188">
        <v>80</v>
      </c>
      <c r="L1188">
        <v>74.916221618999998</v>
      </c>
      <c r="M1188">
        <v>60</v>
      </c>
      <c r="N1188">
        <v>59.884895325000002</v>
      </c>
    </row>
    <row r="1189" spans="1:14" x14ac:dyDescent="0.25">
      <c r="A1189">
        <v>1355.157764</v>
      </c>
      <c r="B1189" s="1">
        <f>DATE(2014,1,15) + TIME(3,47,10)</f>
        <v>41654.157754629632</v>
      </c>
      <c r="C1189">
        <v>0</v>
      </c>
      <c r="D1189">
        <v>550</v>
      </c>
      <c r="E1189">
        <v>550</v>
      </c>
      <c r="F1189">
        <v>0</v>
      </c>
      <c r="G1189">
        <v>1325.769043</v>
      </c>
      <c r="H1189">
        <v>1322.8249512</v>
      </c>
      <c r="I1189">
        <v>1344.0701904</v>
      </c>
      <c r="J1189">
        <v>1339.4974365</v>
      </c>
      <c r="K1189">
        <v>80</v>
      </c>
      <c r="L1189">
        <v>74.753990173000005</v>
      </c>
      <c r="M1189">
        <v>60</v>
      </c>
      <c r="N1189">
        <v>59.885074615000001</v>
      </c>
    </row>
    <row r="1190" spans="1:14" x14ac:dyDescent="0.25">
      <c r="A1190">
        <v>1358.296433</v>
      </c>
      <c r="B1190" s="1">
        <f>DATE(2014,1,18) + TIME(7,6,51)</f>
        <v>41657.296423611115</v>
      </c>
      <c r="C1190">
        <v>0</v>
      </c>
      <c r="D1190">
        <v>550</v>
      </c>
      <c r="E1190">
        <v>550</v>
      </c>
      <c r="F1190">
        <v>0</v>
      </c>
      <c r="G1190">
        <v>1325.6947021000001</v>
      </c>
      <c r="H1190">
        <v>1322.7192382999999</v>
      </c>
      <c r="I1190">
        <v>1344.0632324000001</v>
      </c>
      <c r="J1190">
        <v>1339.4921875</v>
      </c>
      <c r="K1190">
        <v>80</v>
      </c>
      <c r="L1190">
        <v>74.585395813000005</v>
      </c>
      <c r="M1190">
        <v>60</v>
      </c>
      <c r="N1190">
        <v>59.885253906000003</v>
      </c>
    </row>
    <row r="1191" spans="1:14" x14ac:dyDescent="0.25">
      <c r="A1191">
        <v>1361.5555810000001</v>
      </c>
      <c r="B1191" s="1">
        <f>DATE(2014,1,21) + TIME(13,20,2)</f>
        <v>41660.555578703701</v>
      </c>
      <c r="C1191">
        <v>0</v>
      </c>
      <c r="D1191">
        <v>550</v>
      </c>
      <c r="E1191">
        <v>550</v>
      </c>
      <c r="F1191">
        <v>0</v>
      </c>
      <c r="G1191">
        <v>1325.6179199000001</v>
      </c>
      <c r="H1191">
        <v>1322.6099853999999</v>
      </c>
      <c r="I1191">
        <v>1344.0562743999999</v>
      </c>
      <c r="J1191">
        <v>1339.4869385</v>
      </c>
      <c r="K1191">
        <v>80</v>
      </c>
      <c r="L1191">
        <v>74.409812927000004</v>
      </c>
      <c r="M1191">
        <v>60</v>
      </c>
      <c r="N1191">
        <v>59.885440826</v>
      </c>
    </row>
    <row r="1192" spans="1:14" x14ac:dyDescent="0.25">
      <c r="A1192">
        <v>1364.9455840000001</v>
      </c>
      <c r="B1192" s="1">
        <f>DATE(2014,1,24) + TIME(22,41,38)</f>
        <v>41663.9455787037</v>
      </c>
      <c r="C1192">
        <v>0</v>
      </c>
      <c r="D1192">
        <v>550</v>
      </c>
      <c r="E1192">
        <v>550</v>
      </c>
      <c r="F1192">
        <v>0</v>
      </c>
      <c r="G1192">
        <v>1325.5386963000001</v>
      </c>
      <c r="H1192">
        <v>1322.4970702999999</v>
      </c>
      <c r="I1192">
        <v>1344.0491943</v>
      </c>
      <c r="J1192">
        <v>1339.4818115</v>
      </c>
      <c r="K1192">
        <v>80</v>
      </c>
      <c r="L1192">
        <v>74.226387024000005</v>
      </c>
      <c r="M1192">
        <v>60</v>
      </c>
      <c r="N1192">
        <v>59.885631560999997</v>
      </c>
    </row>
    <row r="1193" spans="1:14" x14ac:dyDescent="0.25">
      <c r="A1193">
        <v>1368.4722810000001</v>
      </c>
      <c r="B1193" s="1">
        <f>DATE(2014,1,28) + TIME(11,20,5)</f>
        <v>41667.472280092596</v>
      </c>
      <c r="C1193">
        <v>0</v>
      </c>
      <c r="D1193">
        <v>550</v>
      </c>
      <c r="E1193">
        <v>550</v>
      </c>
      <c r="F1193">
        <v>0</v>
      </c>
      <c r="G1193">
        <v>1325.4569091999999</v>
      </c>
      <c r="H1193">
        <v>1322.380249</v>
      </c>
      <c r="I1193">
        <v>1344.0421143000001</v>
      </c>
      <c r="J1193">
        <v>1339.4765625</v>
      </c>
      <c r="K1193">
        <v>80</v>
      </c>
      <c r="L1193">
        <v>74.034210204999994</v>
      </c>
      <c r="M1193">
        <v>60</v>
      </c>
      <c r="N1193">
        <v>59.885826111</v>
      </c>
    </row>
    <row r="1194" spans="1:14" x14ac:dyDescent="0.25">
      <c r="A1194">
        <v>1372</v>
      </c>
      <c r="B1194" s="1">
        <f>DATE(2014,2,1) + TIME(0,0,0)</f>
        <v>41671</v>
      </c>
      <c r="C1194">
        <v>0</v>
      </c>
      <c r="D1194">
        <v>550</v>
      </c>
      <c r="E1194">
        <v>550</v>
      </c>
      <c r="F1194">
        <v>0</v>
      </c>
      <c r="G1194">
        <v>1325.3728027</v>
      </c>
      <c r="H1194">
        <v>1322.2601318</v>
      </c>
      <c r="I1194">
        <v>1344.0349120999999</v>
      </c>
      <c r="J1194">
        <v>1339.4713135</v>
      </c>
      <c r="K1194">
        <v>80</v>
      </c>
      <c r="L1194">
        <v>73.836280822999996</v>
      </c>
      <c r="M1194">
        <v>60</v>
      </c>
      <c r="N1194">
        <v>59.886016845999997</v>
      </c>
    </row>
    <row r="1195" spans="1:14" x14ac:dyDescent="0.25">
      <c r="A1195">
        <v>1375.6136349999999</v>
      </c>
      <c r="B1195" s="1">
        <f>DATE(2014,2,4) + TIME(14,43,38)</f>
        <v>41674.613634259258</v>
      </c>
      <c r="C1195">
        <v>0</v>
      </c>
      <c r="D1195">
        <v>550</v>
      </c>
      <c r="E1195">
        <v>550</v>
      </c>
      <c r="F1195">
        <v>0</v>
      </c>
      <c r="G1195">
        <v>1325.2884521000001</v>
      </c>
      <c r="H1195">
        <v>1322.1390381000001</v>
      </c>
      <c r="I1195">
        <v>1344.0279541</v>
      </c>
      <c r="J1195">
        <v>1339.4663086</v>
      </c>
      <c r="K1195">
        <v>80</v>
      </c>
      <c r="L1195">
        <v>73.631492614999999</v>
      </c>
      <c r="M1195">
        <v>60</v>
      </c>
      <c r="N1195">
        <v>59.886207581000001</v>
      </c>
    </row>
    <row r="1196" spans="1:14" x14ac:dyDescent="0.25">
      <c r="A1196">
        <v>1379.463043</v>
      </c>
      <c r="B1196" s="1">
        <f>DATE(2014,2,8) + TIME(11,6,46)</f>
        <v>41678.46303240741</v>
      </c>
      <c r="C1196">
        <v>0</v>
      </c>
      <c r="D1196">
        <v>550</v>
      </c>
      <c r="E1196">
        <v>550</v>
      </c>
      <c r="F1196">
        <v>0</v>
      </c>
      <c r="G1196">
        <v>1325.2026367000001</v>
      </c>
      <c r="H1196">
        <v>1322.0155029</v>
      </c>
      <c r="I1196">
        <v>1344.0209961</v>
      </c>
      <c r="J1196">
        <v>1339.4614257999999</v>
      </c>
      <c r="K1196">
        <v>80</v>
      </c>
      <c r="L1196">
        <v>73.414825438999998</v>
      </c>
      <c r="M1196">
        <v>60</v>
      </c>
      <c r="N1196">
        <v>59.886409759999999</v>
      </c>
    </row>
    <row r="1197" spans="1:14" x14ac:dyDescent="0.25">
      <c r="A1197">
        <v>1383.4638809999999</v>
      </c>
      <c r="B1197" s="1">
        <f>DATE(2014,2,12) + TIME(11,7,59)</f>
        <v>41682.463877314818</v>
      </c>
      <c r="C1197">
        <v>0</v>
      </c>
      <c r="D1197">
        <v>550</v>
      </c>
      <c r="E1197">
        <v>550</v>
      </c>
      <c r="F1197">
        <v>0</v>
      </c>
      <c r="G1197">
        <v>1325.1131591999999</v>
      </c>
      <c r="H1197">
        <v>1321.8868408000001</v>
      </c>
      <c r="I1197">
        <v>1344.0136719</v>
      </c>
      <c r="J1197">
        <v>1339.4564209</v>
      </c>
      <c r="K1197">
        <v>80</v>
      </c>
      <c r="L1197">
        <v>73.185302734000004</v>
      </c>
      <c r="M1197">
        <v>60</v>
      </c>
      <c r="N1197">
        <v>59.886615753000001</v>
      </c>
    </row>
    <row r="1198" spans="1:14" x14ac:dyDescent="0.25">
      <c r="A1198">
        <v>1387.62724</v>
      </c>
      <c r="B1198" s="1">
        <f>DATE(2014,2,16) + TIME(15,3,13)</f>
        <v>41686.627233796295</v>
      </c>
      <c r="C1198">
        <v>0</v>
      </c>
      <c r="D1198">
        <v>550</v>
      </c>
      <c r="E1198">
        <v>550</v>
      </c>
      <c r="F1198">
        <v>0</v>
      </c>
      <c r="G1198">
        <v>1325.0211182</v>
      </c>
      <c r="H1198">
        <v>1321.7541504000001</v>
      </c>
      <c r="I1198">
        <v>1344.0062256000001</v>
      </c>
      <c r="J1198">
        <v>1339.4512939000001</v>
      </c>
      <c r="K1198">
        <v>80</v>
      </c>
      <c r="L1198">
        <v>72.941802979000002</v>
      </c>
      <c r="M1198">
        <v>60</v>
      </c>
      <c r="N1198">
        <v>59.886829376000001</v>
      </c>
    </row>
    <row r="1199" spans="1:14" x14ac:dyDescent="0.25">
      <c r="A1199">
        <v>1391.9149890000001</v>
      </c>
      <c r="B1199" s="1">
        <f>DATE(2014,2,20) + TIME(21,57,35)</f>
        <v>41690.914988425924</v>
      </c>
      <c r="C1199">
        <v>0</v>
      </c>
      <c r="D1199">
        <v>550</v>
      </c>
      <c r="E1199">
        <v>550</v>
      </c>
      <c r="F1199">
        <v>0</v>
      </c>
      <c r="G1199">
        <v>1324.9266356999999</v>
      </c>
      <c r="H1199">
        <v>1321.6176757999999</v>
      </c>
      <c r="I1199">
        <v>1343.9985352000001</v>
      </c>
      <c r="J1199">
        <v>1339.4461670000001</v>
      </c>
      <c r="K1199">
        <v>80</v>
      </c>
      <c r="L1199">
        <v>72.684242248999993</v>
      </c>
      <c r="M1199">
        <v>60</v>
      </c>
      <c r="N1199">
        <v>59.887039184999999</v>
      </c>
    </row>
    <row r="1200" spans="1:14" x14ac:dyDescent="0.25">
      <c r="A1200">
        <v>1396.3169889999999</v>
      </c>
      <c r="B1200" s="1">
        <f>DATE(2014,2,25) + TIME(7,36,27)</f>
        <v>41695.316979166666</v>
      </c>
      <c r="C1200">
        <v>0</v>
      </c>
      <c r="D1200">
        <v>550</v>
      </c>
      <c r="E1200">
        <v>550</v>
      </c>
      <c r="F1200">
        <v>0</v>
      </c>
      <c r="G1200">
        <v>1324.8304443</v>
      </c>
      <c r="H1200">
        <v>1321.4782714999999</v>
      </c>
      <c r="I1200">
        <v>1343.9907227000001</v>
      </c>
      <c r="J1200">
        <v>1339.4410399999999</v>
      </c>
      <c r="K1200">
        <v>80</v>
      </c>
      <c r="L1200">
        <v>72.412643433</v>
      </c>
      <c r="M1200">
        <v>60</v>
      </c>
      <c r="N1200">
        <v>59.887252808</v>
      </c>
    </row>
    <row r="1201" spans="1:14" x14ac:dyDescent="0.25">
      <c r="A1201">
        <v>1400</v>
      </c>
      <c r="B1201" s="1">
        <f>DATE(2014,3,1) + TIME(0,0,0)</f>
        <v>41699</v>
      </c>
      <c r="C1201">
        <v>0</v>
      </c>
      <c r="D1201">
        <v>550</v>
      </c>
      <c r="E1201">
        <v>550</v>
      </c>
      <c r="F1201">
        <v>0</v>
      </c>
      <c r="G1201">
        <v>1324.7344971</v>
      </c>
      <c r="H1201">
        <v>1321.3399658000001</v>
      </c>
      <c r="I1201">
        <v>1343.9826660000001</v>
      </c>
      <c r="J1201">
        <v>1339.4357910000001</v>
      </c>
      <c r="K1201">
        <v>80</v>
      </c>
      <c r="L1201">
        <v>72.152030945000007</v>
      </c>
      <c r="M1201">
        <v>60</v>
      </c>
      <c r="N1201">
        <v>59.887424469000003</v>
      </c>
    </row>
    <row r="1202" spans="1:14" x14ac:dyDescent="0.25">
      <c r="A1202">
        <v>1404.55072</v>
      </c>
      <c r="B1202" s="1">
        <f>DATE(2014,3,5) + TIME(13,13,2)</f>
        <v>41703.550717592596</v>
      </c>
      <c r="C1202">
        <v>0</v>
      </c>
      <c r="D1202">
        <v>550</v>
      </c>
      <c r="E1202">
        <v>550</v>
      </c>
      <c r="F1202">
        <v>0</v>
      </c>
      <c r="G1202">
        <v>1324.6491699000001</v>
      </c>
      <c r="H1202">
        <v>1321.2127685999999</v>
      </c>
      <c r="I1202">
        <v>1343.9763184000001</v>
      </c>
      <c r="J1202">
        <v>1339.4317627</v>
      </c>
      <c r="K1202">
        <v>80</v>
      </c>
      <c r="L1202">
        <v>71.871253967000001</v>
      </c>
      <c r="M1202">
        <v>60</v>
      </c>
      <c r="N1202">
        <v>59.887641907000003</v>
      </c>
    </row>
    <row r="1203" spans="1:14" x14ac:dyDescent="0.25">
      <c r="A1203">
        <v>1409.4487220000001</v>
      </c>
      <c r="B1203" s="1">
        <f>DATE(2014,3,10) + TIME(10,46,9)</f>
        <v>41708.44871527778</v>
      </c>
      <c r="C1203">
        <v>0</v>
      </c>
      <c r="D1203">
        <v>550</v>
      </c>
      <c r="E1203">
        <v>550</v>
      </c>
      <c r="F1203">
        <v>0</v>
      </c>
      <c r="G1203">
        <v>1324.5533447</v>
      </c>
      <c r="H1203">
        <v>1321.0731201000001</v>
      </c>
      <c r="I1203">
        <v>1343.9682617000001</v>
      </c>
      <c r="J1203">
        <v>1339.4266356999999</v>
      </c>
      <c r="K1203">
        <v>80</v>
      </c>
      <c r="L1203">
        <v>71.561454772999994</v>
      </c>
      <c r="M1203">
        <v>60</v>
      </c>
      <c r="N1203">
        <v>59.887870788999997</v>
      </c>
    </row>
    <row r="1204" spans="1:14" x14ac:dyDescent="0.25">
      <c r="A1204">
        <v>1414.4396320000001</v>
      </c>
      <c r="B1204" s="1">
        <f>DATE(2014,3,15) + TIME(10,33,4)</f>
        <v>41713.439629629633</v>
      </c>
      <c r="C1204">
        <v>0</v>
      </c>
      <c r="D1204">
        <v>550</v>
      </c>
      <c r="E1204">
        <v>550</v>
      </c>
      <c r="F1204">
        <v>0</v>
      </c>
      <c r="G1204">
        <v>1324.4527588000001</v>
      </c>
      <c r="H1204">
        <v>1320.9261475000001</v>
      </c>
      <c r="I1204">
        <v>1343.9595947</v>
      </c>
      <c r="J1204">
        <v>1339.4212646000001</v>
      </c>
      <c r="K1204">
        <v>80</v>
      </c>
      <c r="L1204">
        <v>71.227104186999995</v>
      </c>
      <c r="M1204">
        <v>60</v>
      </c>
      <c r="N1204">
        <v>59.888095856</v>
      </c>
    </row>
    <row r="1205" spans="1:14" x14ac:dyDescent="0.25">
      <c r="A1205">
        <v>1419.5530020000001</v>
      </c>
      <c r="B1205" s="1">
        <f>DATE(2014,3,20) + TIME(13,16,19)</f>
        <v>41718.552997685183</v>
      </c>
      <c r="C1205">
        <v>0</v>
      </c>
      <c r="D1205">
        <v>550</v>
      </c>
      <c r="E1205">
        <v>550</v>
      </c>
      <c r="F1205">
        <v>0</v>
      </c>
      <c r="G1205">
        <v>1324.3513184000001</v>
      </c>
      <c r="H1205">
        <v>1320.7768555</v>
      </c>
      <c r="I1205">
        <v>1343.9508057</v>
      </c>
      <c r="J1205">
        <v>1339.4158935999999</v>
      </c>
      <c r="K1205">
        <v>80</v>
      </c>
      <c r="L1205">
        <v>70.872917174999998</v>
      </c>
      <c r="M1205">
        <v>60</v>
      </c>
      <c r="N1205">
        <v>59.888320923000002</v>
      </c>
    </row>
    <row r="1206" spans="1:14" x14ac:dyDescent="0.25">
      <c r="A1206">
        <v>1424.818246</v>
      </c>
      <c r="B1206" s="1">
        <f>DATE(2014,3,25) + TIME(19,38,16)</f>
        <v>41723.818240740744</v>
      </c>
      <c r="C1206">
        <v>0</v>
      </c>
      <c r="D1206">
        <v>550</v>
      </c>
      <c r="E1206">
        <v>550</v>
      </c>
      <c r="F1206">
        <v>0</v>
      </c>
      <c r="G1206">
        <v>1324.2495117000001</v>
      </c>
      <c r="H1206">
        <v>1320.6263428</v>
      </c>
      <c r="I1206">
        <v>1343.9417725000001</v>
      </c>
      <c r="J1206">
        <v>1339.4105225000001</v>
      </c>
      <c r="K1206">
        <v>80</v>
      </c>
      <c r="L1206">
        <v>70.499572753999999</v>
      </c>
      <c r="M1206">
        <v>60</v>
      </c>
      <c r="N1206">
        <v>59.888549804999997</v>
      </c>
    </row>
    <row r="1207" spans="1:14" x14ac:dyDescent="0.25">
      <c r="A1207">
        <v>1430.2536709999999</v>
      </c>
      <c r="B1207" s="1">
        <f>DATE(2014,3,31) + TIME(6,5,17)</f>
        <v>41729.253668981481</v>
      </c>
      <c r="C1207">
        <v>0</v>
      </c>
      <c r="D1207">
        <v>550</v>
      </c>
      <c r="E1207">
        <v>550</v>
      </c>
      <c r="F1207">
        <v>0</v>
      </c>
      <c r="G1207">
        <v>1324.1475829999999</v>
      </c>
      <c r="H1207">
        <v>1320.4750977000001</v>
      </c>
      <c r="I1207">
        <v>1343.9324951000001</v>
      </c>
      <c r="J1207">
        <v>1339.4049072</v>
      </c>
      <c r="K1207">
        <v>80</v>
      </c>
      <c r="L1207">
        <v>70.106353760000005</v>
      </c>
      <c r="M1207">
        <v>60</v>
      </c>
      <c r="N1207">
        <v>59.888778686999999</v>
      </c>
    </row>
    <row r="1208" spans="1:14" x14ac:dyDescent="0.25">
      <c r="A1208">
        <v>1431</v>
      </c>
      <c r="B1208" s="1">
        <f>DATE(2014,4,1) + TIME(0,0,0)</f>
        <v>41730</v>
      </c>
      <c r="C1208">
        <v>0</v>
      </c>
      <c r="D1208">
        <v>550</v>
      </c>
      <c r="E1208">
        <v>550</v>
      </c>
      <c r="F1208">
        <v>0</v>
      </c>
      <c r="G1208">
        <v>1324.0539550999999</v>
      </c>
      <c r="H1208">
        <v>1320.3515625</v>
      </c>
      <c r="I1208">
        <v>1343.9219971</v>
      </c>
      <c r="J1208">
        <v>1339.3985596</v>
      </c>
      <c r="K1208">
        <v>80</v>
      </c>
      <c r="L1208">
        <v>69.983329772999994</v>
      </c>
      <c r="M1208">
        <v>60</v>
      </c>
      <c r="N1208">
        <v>59.888790131</v>
      </c>
    </row>
    <row r="1209" spans="1:14" x14ac:dyDescent="0.25">
      <c r="A1209">
        <v>1436.591707</v>
      </c>
      <c r="B1209" s="1">
        <f>DATE(2014,4,6) + TIME(14,12,3)</f>
        <v>41735.59170138889</v>
      </c>
      <c r="C1209">
        <v>0</v>
      </c>
      <c r="D1209">
        <v>550</v>
      </c>
      <c r="E1209">
        <v>550</v>
      </c>
      <c r="F1209">
        <v>0</v>
      </c>
      <c r="G1209">
        <v>1324.0255127</v>
      </c>
      <c r="H1209">
        <v>1320.2904053</v>
      </c>
      <c r="I1209">
        <v>1343.9216309000001</v>
      </c>
      <c r="J1209">
        <v>1339.3983154</v>
      </c>
      <c r="K1209">
        <v>80</v>
      </c>
      <c r="L1209">
        <v>69.610969542999996</v>
      </c>
      <c r="M1209">
        <v>60</v>
      </c>
      <c r="N1209">
        <v>59.889038085999999</v>
      </c>
    </row>
    <row r="1210" spans="1:14" x14ac:dyDescent="0.25">
      <c r="A1210">
        <v>1442.4197300000001</v>
      </c>
      <c r="B1210" s="1">
        <f>DATE(2014,4,12) + TIME(10,4,24)</f>
        <v>41741.419722222221</v>
      </c>
      <c r="C1210">
        <v>0</v>
      </c>
      <c r="D1210">
        <v>550</v>
      </c>
      <c r="E1210">
        <v>550</v>
      </c>
      <c r="F1210">
        <v>0</v>
      </c>
      <c r="G1210">
        <v>1323.9289550999999</v>
      </c>
      <c r="H1210">
        <v>1320.1474608999999</v>
      </c>
      <c r="I1210">
        <v>1343.9117432</v>
      </c>
      <c r="J1210">
        <v>1339.3925781</v>
      </c>
      <c r="K1210">
        <v>80</v>
      </c>
      <c r="L1210">
        <v>69.190216063999998</v>
      </c>
      <c r="M1210">
        <v>60</v>
      </c>
      <c r="N1210">
        <v>59.889274596999996</v>
      </c>
    </row>
    <row r="1211" spans="1:14" x14ac:dyDescent="0.25">
      <c r="A1211">
        <v>1448.416829</v>
      </c>
      <c r="B1211" s="1">
        <f>DATE(2014,4,18) + TIME(10,0,14)</f>
        <v>41747.416828703703</v>
      </c>
      <c r="C1211">
        <v>0</v>
      </c>
      <c r="D1211">
        <v>550</v>
      </c>
      <c r="E1211">
        <v>550</v>
      </c>
      <c r="F1211">
        <v>0</v>
      </c>
      <c r="G1211">
        <v>1323.8299560999999</v>
      </c>
      <c r="H1211">
        <v>1319.9991454999999</v>
      </c>
      <c r="I1211">
        <v>1343.9012451000001</v>
      </c>
      <c r="J1211">
        <v>1339.3864745999999</v>
      </c>
      <c r="K1211">
        <v>80</v>
      </c>
      <c r="L1211">
        <v>68.738044739000003</v>
      </c>
      <c r="M1211">
        <v>60</v>
      </c>
      <c r="N1211">
        <v>59.889514923</v>
      </c>
    </row>
    <row r="1212" spans="1:14" x14ac:dyDescent="0.25">
      <c r="A1212">
        <v>1454.6232689999999</v>
      </c>
      <c r="B1212" s="1">
        <f>DATE(2014,4,24) + TIME(14,57,30)</f>
        <v>41753.623263888891</v>
      </c>
      <c r="C1212">
        <v>0</v>
      </c>
      <c r="D1212">
        <v>550</v>
      </c>
      <c r="E1212">
        <v>550</v>
      </c>
      <c r="F1212">
        <v>0</v>
      </c>
      <c r="G1212">
        <v>1323.7312012</v>
      </c>
      <c r="H1212">
        <v>1319.8499756000001</v>
      </c>
      <c r="I1212">
        <v>1343.8905029</v>
      </c>
      <c r="J1212">
        <v>1339.3801269999999</v>
      </c>
      <c r="K1212">
        <v>80</v>
      </c>
      <c r="L1212">
        <v>68.262252808</v>
      </c>
      <c r="M1212">
        <v>60</v>
      </c>
      <c r="N1212">
        <v>59.889755248999997</v>
      </c>
    </row>
    <row r="1213" spans="1:14" x14ac:dyDescent="0.25">
      <c r="A1213">
        <v>1461</v>
      </c>
      <c r="B1213" s="1">
        <f>DATE(2014,5,1) + TIME(0,0,0)</f>
        <v>41760</v>
      </c>
      <c r="C1213">
        <v>0</v>
      </c>
      <c r="D1213">
        <v>550</v>
      </c>
      <c r="E1213">
        <v>550</v>
      </c>
      <c r="F1213">
        <v>0</v>
      </c>
      <c r="G1213">
        <v>1323.6333007999999</v>
      </c>
      <c r="H1213">
        <v>1319.7016602000001</v>
      </c>
      <c r="I1213">
        <v>1343.8793945</v>
      </c>
      <c r="J1213">
        <v>1339.3736572</v>
      </c>
      <c r="K1213">
        <v>80</v>
      </c>
      <c r="L1213">
        <v>67.766746521000002</v>
      </c>
      <c r="M1213">
        <v>60</v>
      </c>
      <c r="N1213">
        <v>59.889995575</v>
      </c>
    </row>
    <row r="1214" spans="1:14" x14ac:dyDescent="0.25">
      <c r="A1214">
        <v>1461.0000010000001</v>
      </c>
      <c r="B1214" s="1">
        <f>DATE(2014,5,1) + TIME(0,0,0)</f>
        <v>41760</v>
      </c>
      <c r="C1214">
        <v>550</v>
      </c>
      <c r="D1214">
        <v>0</v>
      </c>
      <c r="E1214">
        <v>0</v>
      </c>
      <c r="F1214">
        <v>550</v>
      </c>
      <c r="G1214">
        <v>1328.6463623</v>
      </c>
      <c r="H1214">
        <v>1323.8901367000001</v>
      </c>
      <c r="I1214">
        <v>1339.1735839999999</v>
      </c>
      <c r="J1214">
        <v>1336.1385498</v>
      </c>
      <c r="K1214">
        <v>80</v>
      </c>
      <c r="L1214">
        <v>67.766792296999995</v>
      </c>
      <c r="M1214">
        <v>60</v>
      </c>
      <c r="N1214">
        <v>59.889968871999997</v>
      </c>
    </row>
    <row r="1215" spans="1:14" x14ac:dyDescent="0.25">
      <c r="A1215">
        <v>1461.000004</v>
      </c>
      <c r="B1215" s="1">
        <f>DATE(2014,5,1) + TIME(0,0,0)</f>
        <v>41760</v>
      </c>
      <c r="C1215">
        <v>550</v>
      </c>
      <c r="D1215">
        <v>0</v>
      </c>
      <c r="E1215">
        <v>0</v>
      </c>
      <c r="F1215">
        <v>550</v>
      </c>
      <c r="G1215">
        <v>1329.206543</v>
      </c>
      <c r="H1215">
        <v>1324.5466309000001</v>
      </c>
      <c r="I1215">
        <v>1338.6491699000001</v>
      </c>
      <c r="J1215">
        <v>1335.6137695</v>
      </c>
      <c r="K1215">
        <v>80</v>
      </c>
      <c r="L1215">
        <v>67.766891478999995</v>
      </c>
      <c r="M1215">
        <v>60</v>
      </c>
      <c r="N1215">
        <v>59.889900208</v>
      </c>
    </row>
    <row r="1216" spans="1:14" x14ac:dyDescent="0.25">
      <c r="A1216">
        <v>1461.0000130000001</v>
      </c>
      <c r="B1216" s="1">
        <f>DATE(2014,5,1) + TIME(0,0,1)</f>
        <v>41760.000011574077</v>
      </c>
      <c r="C1216">
        <v>550</v>
      </c>
      <c r="D1216">
        <v>0</v>
      </c>
      <c r="E1216">
        <v>0</v>
      </c>
      <c r="F1216">
        <v>550</v>
      </c>
      <c r="G1216">
        <v>1330.4381103999999</v>
      </c>
      <c r="H1216">
        <v>1325.9063721</v>
      </c>
      <c r="I1216">
        <v>1337.5145264</v>
      </c>
      <c r="J1216">
        <v>1334.4785156</v>
      </c>
      <c r="K1216">
        <v>80</v>
      </c>
      <c r="L1216">
        <v>67.767112732000001</v>
      </c>
      <c r="M1216">
        <v>60</v>
      </c>
      <c r="N1216">
        <v>59.889751433999997</v>
      </c>
    </row>
    <row r="1217" spans="1:14" x14ac:dyDescent="0.25">
      <c r="A1217">
        <v>1461.0000399999999</v>
      </c>
      <c r="B1217" s="1">
        <f>DATE(2014,5,1) + TIME(0,0,3)</f>
        <v>41760.000034722223</v>
      </c>
      <c r="C1217">
        <v>550</v>
      </c>
      <c r="D1217">
        <v>0</v>
      </c>
      <c r="E1217">
        <v>0</v>
      </c>
      <c r="F1217">
        <v>550</v>
      </c>
      <c r="G1217">
        <v>1332.4610596</v>
      </c>
      <c r="H1217">
        <v>1327.9804687999999</v>
      </c>
      <c r="I1217">
        <v>1335.7077637</v>
      </c>
      <c r="J1217">
        <v>1332.6716309000001</v>
      </c>
      <c r="K1217">
        <v>80</v>
      </c>
      <c r="L1217">
        <v>67.767517089999998</v>
      </c>
      <c r="M1217">
        <v>60</v>
      </c>
      <c r="N1217">
        <v>59.889511108000001</v>
      </c>
    </row>
    <row r="1218" spans="1:14" x14ac:dyDescent="0.25">
      <c r="A1218">
        <v>1461.000121</v>
      </c>
      <c r="B1218" s="1">
        <f>DATE(2014,5,1) + TIME(0,0,10)</f>
        <v>41760.000115740739</v>
      </c>
      <c r="C1218">
        <v>550</v>
      </c>
      <c r="D1218">
        <v>0</v>
      </c>
      <c r="E1218">
        <v>0</v>
      </c>
      <c r="F1218">
        <v>550</v>
      </c>
      <c r="G1218">
        <v>1334.9385986</v>
      </c>
      <c r="H1218">
        <v>1330.4058838000001</v>
      </c>
      <c r="I1218">
        <v>1333.5762939000001</v>
      </c>
      <c r="J1218">
        <v>1330.5393065999999</v>
      </c>
      <c r="K1218">
        <v>80</v>
      </c>
      <c r="L1218">
        <v>67.768218993999994</v>
      </c>
      <c r="M1218">
        <v>60</v>
      </c>
      <c r="N1218">
        <v>59.889225005999997</v>
      </c>
    </row>
    <row r="1219" spans="1:14" x14ac:dyDescent="0.25">
      <c r="A1219">
        <v>1461.000364</v>
      </c>
      <c r="B1219" s="1">
        <f>DATE(2014,5,1) + TIME(0,0,31)</f>
        <v>41760.000358796293</v>
      </c>
      <c r="C1219">
        <v>550</v>
      </c>
      <c r="D1219">
        <v>0</v>
      </c>
      <c r="E1219">
        <v>0</v>
      </c>
      <c r="F1219">
        <v>550</v>
      </c>
      <c r="G1219">
        <v>1337.5385742000001</v>
      </c>
      <c r="H1219">
        <v>1332.9307861</v>
      </c>
      <c r="I1219">
        <v>1331.3859863</v>
      </c>
      <c r="J1219">
        <v>1328.3288574000001</v>
      </c>
      <c r="K1219">
        <v>80</v>
      </c>
      <c r="L1219">
        <v>67.769691467000001</v>
      </c>
      <c r="M1219">
        <v>60</v>
      </c>
      <c r="N1219">
        <v>59.888912200999997</v>
      </c>
    </row>
    <row r="1220" spans="1:14" x14ac:dyDescent="0.25">
      <c r="A1220">
        <v>1461.0010930000001</v>
      </c>
      <c r="B1220" s="1">
        <f>DATE(2014,5,1) + TIME(0,1,34)</f>
        <v>41760.001087962963</v>
      </c>
      <c r="C1220">
        <v>550</v>
      </c>
      <c r="D1220">
        <v>0</v>
      </c>
      <c r="E1220">
        <v>0</v>
      </c>
      <c r="F1220">
        <v>550</v>
      </c>
      <c r="G1220">
        <v>1340.1169434000001</v>
      </c>
      <c r="H1220">
        <v>1335.4343262</v>
      </c>
      <c r="I1220">
        <v>1329.2030029</v>
      </c>
      <c r="J1220">
        <v>1326.0676269999999</v>
      </c>
      <c r="K1220">
        <v>80</v>
      </c>
      <c r="L1220">
        <v>67.773460388000004</v>
      </c>
      <c r="M1220">
        <v>60</v>
      </c>
      <c r="N1220">
        <v>59.888545989999997</v>
      </c>
    </row>
    <row r="1221" spans="1:14" x14ac:dyDescent="0.25">
      <c r="A1221">
        <v>1461.0032799999999</v>
      </c>
      <c r="B1221" s="1">
        <f>DATE(2014,5,1) + TIME(0,4,43)</f>
        <v>41760.003275462965</v>
      </c>
      <c r="C1221">
        <v>550</v>
      </c>
      <c r="D1221">
        <v>0</v>
      </c>
      <c r="E1221">
        <v>0</v>
      </c>
      <c r="F1221">
        <v>550</v>
      </c>
      <c r="G1221">
        <v>1342.3454589999999</v>
      </c>
      <c r="H1221">
        <v>1337.6054687999999</v>
      </c>
      <c r="I1221">
        <v>1327.2382812000001</v>
      </c>
      <c r="J1221">
        <v>1323.9788818</v>
      </c>
      <c r="K1221">
        <v>80</v>
      </c>
      <c r="L1221">
        <v>67.784172057999996</v>
      </c>
      <c r="M1221">
        <v>60</v>
      </c>
      <c r="N1221">
        <v>59.88804245</v>
      </c>
    </row>
    <row r="1222" spans="1:14" x14ac:dyDescent="0.25">
      <c r="A1222">
        <v>1461.0098410000001</v>
      </c>
      <c r="B1222" s="1">
        <f>DATE(2014,5,1) + TIME(0,14,10)</f>
        <v>41760.009837962964</v>
      </c>
      <c r="C1222">
        <v>550</v>
      </c>
      <c r="D1222">
        <v>0</v>
      </c>
      <c r="E1222">
        <v>0</v>
      </c>
      <c r="F1222">
        <v>550</v>
      </c>
      <c r="G1222">
        <v>1343.8504639</v>
      </c>
      <c r="H1222">
        <v>1339.0894774999999</v>
      </c>
      <c r="I1222">
        <v>1325.8059082</v>
      </c>
      <c r="J1222">
        <v>1322.4543457</v>
      </c>
      <c r="K1222">
        <v>80</v>
      </c>
      <c r="L1222">
        <v>67.815704346000004</v>
      </c>
      <c r="M1222">
        <v>60</v>
      </c>
      <c r="N1222">
        <v>59.887104033999996</v>
      </c>
    </row>
    <row r="1223" spans="1:14" x14ac:dyDescent="0.25">
      <c r="A1223">
        <v>1461.029524</v>
      </c>
      <c r="B1223" s="1">
        <f>DATE(2014,5,1) + TIME(0,42,30)</f>
        <v>41760.029513888891</v>
      </c>
      <c r="C1223">
        <v>550</v>
      </c>
      <c r="D1223">
        <v>0</v>
      </c>
      <c r="E1223">
        <v>0</v>
      </c>
      <c r="F1223">
        <v>550</v>
      </c>
      <c r="G1223">
        <v>1344.6259766000001</v>
      </c>
      <c r="H1223">
        <v>1339.8669434000001</v>
      </c>
      <c r="I1223">
        <v>1325.0196533000001</v>
      </c>
      <c r="J1223">
        <v>1321.6315918</v>
      </c>
      <c r="K1223">
        <v>80</v>
      </c>
      <c r="L1223">
        <v>67.909141540999997</v>
      </c>
      <c r="M1223">
        <v>60</v>
      </c>
      <c r="N1223">
        <v>59.884754180999998</v>
      </c>
    </row>
    <row r="1224" spans="1:14" x14ac:dyDescent="0.25">
      <c r="A1224">
        <v>1461.088573</v>
      </c>
      <c r="B1224" s="1">
        <f>DATE(2014,5,1) + TIME(2,7,32)</f>
        <v>41760.088564814818</v>
      </c>
      <c r="C1224">
        <v>550</v>
      </c>
      <c r="D1224">
        <v>0</v>
      </c>
      <c r="E1224">
        <v>0</v>
      </c>
      <c r="F1224">
        <v>550</v>
      </c>
      <c r="G1224">
        <v>1344.9151611</v>
      </c>
      <c r="H1224">
        <v>1340.1746826000001</v>
      </c>
      <c r="I1224">
        <v>1324.746582</v>
      </c>
      <c r="J1224">
        <v>1321.3494873</v>
      </c>
      <c r="K1224">
        <v>80</v>
      </c>
      <c r="L1224">
        <v>68.182708739999995</v>
      </c>
      <c r="M1224">
        <v>60</v>
      </c>
      <c r="N1224">
        <v>59.878055572999997</v>
      </c>
    </row>
    <row r="1225" spans="1:14" x14ac:dyDescent="0.25">
      <c r="A1225">
        <v>1461.2057580000001</v>
      </c>
      <c r="B1225" s="1">
        <f>DATE(2014,5,1) + TIME(4,56,17)</f>
        <v>41760.205752314818</v>
      </c>
      <c r="C1225">
        <v>550</v>
      </c>
      <c r="D1225">
        <v>0</v>
      </c>
      <c r="E1225">
        <v>0</v>
      </c>
      <c r="F1225">
        <v>550</v>
      </c>
      <c r="G1225">
        <v>1344.9521483999999</v>
      </c>
      <c r="H1225">
        <v>1340.2426757999999</v>
      </c>
      <c r="I1225">
        <v>1324.7141113</v>
      </c>
      <c r="J1225">
        <v>1321.3154297000001</v>
      </c>
      <c r="K1225">
        <v>80</v>
      </c>
      <c r="L1225">
        <v>68.701675414999997</v>
      </c>
      <c r="M1225">
        <v>60</v>
      </c>
      <c r="N1225">
        <v>59.865085602000001</v>
      </c>
    </row>
    <row r="1226" spans="1:14" x14ac:dyDescent="0.25">
      <c r="A1226">
        <v>1461.3253540000001</v>
      </c>
      <c r="B1226" s="1">
        <f>DATE(2014,5,1) + TIME(7,48,30)</f>
        <v>41760.32534722222</v>
      </c>
      <c r="C1226">
        <v>550</v>
      </c>
      <c r="D1226">
        <v>0</v>
      </c>
      <c r="E1226">
        <v>0</v>
      </c>
      <c r="F1226">
        <v>550</v>
      </c>
      <c r="G1226">
        <v>1344.9517822</v>
      </c>
      <c r="H1226">
        <v>1340.2598877</v>
      </c>
      <c r="I1226">
        <v>1324.7161865</v>
      </c>
      <c r="J1226">
        <v>1321.3166504000001</v>
      </c>
      <c r="K1226">
        <v>80</v>
      </c>
      <c r="L1226">
        <v>69.208862304999997</v>
      </c>
      <c r="M1226">
        <v>60</v>
      </c>
      <c r="N1226">
        <v>59.851989746000001</v>
      </c>
    </row>
    <row r="1227" spans="1:14" x14ac:dyDescent="0.25">
      <c r="A1227">
        <v>1461.4477509999999</v>
      </c>
      <c r="B1227" s="1">
        <f>DATE(2014,5,1) + TIME(10,44,45)</f>
        <v>41760.447743055556</v>
      </c>
      <c r="C1227">
        <v>550</v>
      </c>
      <c r="D1227">
        <v>0</v>
      </c>
      <c r="E1227">
        <v>0</v>
      </c>
      <c r="F1227">
        <v>550</v>
      </c>
      <c r="G1227">
        <v>1344.9407959</v>
      </c>
      <c r="H1227">
        <v>1340.2655029</v>
      </c>
      <c r="I1227">
        <v>1324.7180175999999</v>
      </c>
      <c r="J1227">
        <v>1321.3176269999999</v>
      </c>
      <c r="K1227">
        <v>80</v>
      </c>
      <c r="L1227">
        <v>69.705329895000006</v>
      </c>
      <c r="M1227">
        <v>60</v>
      </c>
      <c r="N1227">
        <v>59.838722228999998</v>
      </c>
    </row>
    <row r="1228" spans="1:14" x14ac:dyDescent="0.25">
      <c r="A1228">
        <v>1461.573099</v>
      </c>
      <c r="B1228" s="1">
        <f>DATE(2014,5,1) + TIME(13,45,15)</f>
        <v>41760.57309027778</v>
      </c>
      <c r="C1228">
        <v>550</v>
      </c>
      <c r="D1228">
        <v>0</v>
      </c>
      <c r="E1228">
        <v>0</v>
      </c>
      <c r="F1228">
        <v>550</v>
      </c>
      <c r="G1228">
        <v>1344.9290771000001</v>
      </c>
      <c r="H1228">
        <v>1340.2692870999999</v>
      </c>
      <c r="I1228">
        <v>1324.7185059000001</v>
      </c>
      <c r="J1228">
        <v>1321.3172606999999</v>
      </c>
      <c r="K1228">
        <v>80</v>
      </c>
      <c r="L1228">
        <v>70.190887450999995</v>
      </c>
      <c r="M1228">
        <v>60</v>
      </c>
      <c r="N1228">
        <v>59.825283051</v>
      </c>
    </row>
    <row r="1229" spans="1:14" x14ac:dyDescent="0.25">
      <c r="A1229">
        <v>1461.7014280000001</v>
      </c>
      <c r="B1229" s="1">
        <f>DATE(2014,5,1) + TIME(16,50,3)</f>
        <v>41760.701423611114</v>
      </c>
      <c r="C1229">
        <v>550</v>
      </c>
      <c r="D1229">
        <v>0</v>
      </c>
      <c r="E1229">
        <v>0</v>
      </c>
      <c r="F1229">
        <v>550</v>
      </c>
      <c r="G1229">
        <v>1344.9187012</v>
      </c>
      <c r="H1229">
        <v>1340.2733154</v>
      </c>
      <c r="I1229">
        <v>1324.7186279</v>
      </c>
      <c r="J1229">
        <v>1321.3164062000001</v>
      </c>
      <c r="K1229">
        <v>80</v>
      </c>
      <c r="L1229">
        <v>70.664939880000006</v>
      </c>
      <c r="M1229">
        <v>60</v>
      </c>
      <c r="N1229">
        <v>59.811664581000002</v>
      </c>
    </row>
    <row r="1230" spans="1:14" x14ac:dyDescent="0.25">
      <c r="A1230">
        <v>1461.8327870000001</v>
      </c>
      <c r="B1230" s="1">
        <f>DATE(2014,5,1) + TIME(19,59,12)</f>
        <v>41760.832777777781</v>
      </c>
      <c r="C1230">
        <v>550</v>
      </c>
      <c r="D1230">
        <v>0</v>
      </c>
      <c r="E1230">
        <v>0</v>
      </c>
      <c r="F1230">
        <v>550</v>
      </c>
      <c r="G1230">
        <v>1344.9100341999999</v>
      </c>
      <c r="H1230">
        <v>1340.2780762</v>
      </c>
      <c r="I1230">
        <v>1324.7186279</v>
      </c>
      <c r="J1230">
        <v>1321.3154297000001</v>
      </c>
      <c r="K1230">
        <v>80</v>
      </c>
      <c r="L1230">
        <v>71.127265929999993</v>
      </c>
      <c r="M1230">
        <v>60</v>
      </c>
      <c r="N1230">
        <v>59.797874450999998</v>
      </c>
    </row>
    <row r="1231" spans="1:14" x14ac:dyDescent="0.25">
      <c r="A1231">
        <v>1461.9673459999999</v>
      </c>
      <c r="B1231" s="1">
        <f>DATE(2014,5,1) + TIME(23,12,58)</f>
        <v>41760.96733796296</v>
      </c>
      <c r="C1231">
        <v>550</v>
      </c>
      <c r="D1231">
        <v>0</v>
      </c>
      <c r="E1231">
        <v>0</v>
      </c>
      <c r="F1231">
        <v>550</v>
      </c>
      <c r="G1231">
        <v>1344.9029541</v>
      </c>
      <c r="H1231">
        <v>1340.2834473</v>
      </c>
      <c r="I1231">
        <v>1324.7185059000001</v>
      </c>
      <c r="J1231">
        <v>1321.3143310999999</v>
      </c>
      <c r="K1231">
        <v>80</v>
      </c>
      <c r="L1231">
        <v>71.577873229999994</v>
      </c>
      <c r="M1231">
        <v>60</v>
      </c>
      <c r="N1231">
        <v>59.783901215</v>
      </c>
    </row>
    <row r="1232" spans="1:14" x14ac:dyDescent="0.25">
      <c r="A1232">
        <v>1462.1052870000001</v>
      </c>
      <c r="B1232" s="1">
        <f>DATE(2014,5,2) + TIME(2,31,36)</f>
        <v>41761.10527777778</v>
      </c>
      <c r="C1232">
        <v>550</v>
      </c>
      <c r="D1232">
        <v>0</v>
      </c>
      <c r="E1232">
        <v>0</v>
      </c>
      <c r="F1232">
        <v>550</v>
      </c>
      <c r="G1232">
        <v>1344.8974608999999</v>
      </c>
      <c r="H1232">
        <v>1340.2894286999999</v>
      </c>
      <c r="I1232">
        <v>1324.7182617000001</v>
      </c>
      <c r="J1232">
        <v>1321.3132324000001</v>
      </c>
      <c r="K1232">
        <v>80</v>
      </c>
      <c r="L1232">
        <v>72.016723632999998</v>
      </c>
      <c r="M1232">
        <v>60</v>
      </c>
      <c r="N1232">
        <v>59.769729613999999</v>
      </c>
    </row>
    <row r="1233" spans="1:14" x14ac:dyDescent="0.25">
      <c r="A1233">
        <v>1462.2468019999999</v>
      </c>
      <c r="B1233" s="1">
        <f>DATE(2014,5,2) + TIME(5,55,23)</f>
        <v>41761.246793981481</v>
      </c>
      <c r="C1233">
        <v>550</v>
      </c>
      <c r="D1233">
        <v>0</v>
      </c>
      <c r="E1233">
        <v>0</v>
      </c>
      <c r="F1233">
        <v>550</v>
      </c>
      <c r="G1233">
        <v>1344.8933105000001</v>
      </c>
      <c r="H1233">
        <v>1340.2960204999999</v>
      </c>
      <c r="I1233">
        <v>1324.7181396000001</v>
      </c>
      <c r="J1233">
        <v>1321.3118896000001</v>
      </c>
      <c r="K1233">
        <v>80</v>
      </c>
      <c r="L1233">
        <v>72.443786621000001</v>
      </c>
      <c r="M1233">
        <v>60</v>
      </c>
      <c r="N1233">
        <v>59.755348206000001</v>
      </c>
    </row>
    <row r="1234" spans="1:14" x14ac:dyDescent="0.25">
      <c r="A1234">
        <v>1462.3920969999999</v>
      </c>
      <c r="B1234" s="1">
        <f>DATE(2014,5,2) + TIME(9,24,37)</f>
        <v>41761.392094907409</v>
      </c>
      <c r="C1234">
        <v>550</v>
      </c>
      <c r="D1234">
        <v>0</v>
      </c>
      <c r="E1234">
        <v>0</v>
      </c>
      <c r="F1234">
        <v>550</v>
      </c>
      <c r="G1234">
        <v>1344.890625</v>
      </c>
      <c r="H1234">
        <v>1340.3032227000001</v>
      </c>
      <c r="I1234">
        <v>1324.7178954999999</v>
      </c>
      <c r="J1234">
        <v>1321.3105469</v>
      </c>
      <c r="K1234">
        <v>80</v>
      </c>
      <c r="L1234">
        <v>72.859031677000004</v>
      </c>
      <c r="M1234">
        <v>60</v>
      </c>
      <c r="N1234">
        <v>59.740741730000003</v>
      </c>
    </row>
    <row r="1235" spans="1:14" x14ac:dyDescent="0.25">
      <c r="A1235">
        <v>1462.5413920000001</v>
      </c>
      <c r="B1235" s="1">
        <f>DATE(2014,5,2) + TIME(12,59,36)</f>
        <v>41761.541388888887</v>
      </c>
      <c r="C1235">
        <v>550</v>
      </c>
      <c r="D1235">
        <v>0</v>
      </c>
      <c r="E1235">
        <v>0</v>
      </c>
      <c r="F1235">
        <v>550</v>
      </c>
      <c r="G1235">
        <v>1344.8892822</v>
      </c>
      <c r="H1235">
        <v>1340.3107910000001</v>
      </c>
      <c r="I1235">
        <v>1324.7175293</v>
      </c>
      <c r="J1235">
        <v>1321.3092041</v>
      </c>
      <c r="K1235">
        <v>80</v>
      </c>
      <c r="L1235">
        <v>73.262382506999998</v>
      </c>
      <c r="M1235">
        <v>60</v>
      </c>
      <c r="N1235">
        <v>59.725898743000002</v>
      </c>
    </row>
    <row r="1236" spans="1:14" x14ac:dyDescent="0.25">
      <c r="A1236">
        <v>1462.6949219999999</v>
      </c>
      <c r="B1236" s="1">
        <f>DATE(2014,5,2) + TIME(16,40,41)</f>
        <v>41761.694918981484</v>
      </c>
      <c r="C1236">
        <v>550</v>
      </c>
      <c r="D1236">
        <v>0</v>
      </c>
      <c r="E1236">
        <v>0</v>
      </c>
      <c r="F1236">
        <v>550</v>
      </c>
      <c r="G1236">
        <v>1344.8890381000001</v>
      </c>
      <c r="H1236">
        <v>1340.3188477000001</v>
      </c>
      <c r="I1236">
        <v>1324.7172852000001</v>
      </c>
      <c r="J1236">
        <v>1321.3077393000001</v>
      </c>
      <c r="K1236">
        <v>80</v>
      </c>
      <c r="L1236">
        <v>73.653778075999995</v>
      </c>
      <c r="M1236">
        <v>60</v>
      </c>
      <c r="N1236">
        <v>59.710803986000002</v>
      </c>
    </row>
    <row r="1237" spans="1:14" x14ac:dyDescent="0.25">
      <c r="A1237">
        <v>1462.8529060000001</v>
      </c>
      <c r="B1237" s="1">
        <f>DATE(2014,5,2) + TIME(20,28,11)</f>
        <v>41761.852905092594</v>
      </c>
      <c r="C1237">
        <v>550</v>
      </c>
      <c r="D1237">
        <v>0</v>
      </c>
      <c r="E1237">
        <v>0</v>
      </c>
      <c r="F1237">
        <v>550</v>
      </c>
      <c r="G1237">
        <v>1344.8900146000001</v>
      </c>
      <c r="H1237">
        <v>1340.3273925999999</v>
      </c>
      <c r="I1237">
        <v>1324.7169189000001</v>
      </c>
      <c r="J1237">
        <v>1321.3061522999999</v>
      </c>
      <c r="K1237">
        <v>80</v>
      </c>
      <c r="L1237">
        <v>74.033073424999998</v>
      </c>
      <c r="M1237">
        <v>60</v>
      </c>
      <c r="N1237">
        <v>59.695446013999998</v>
      </c>
    </row>
    <row r="1238" spans="1:14" x14ac:dyDescent="0.25">
      <c r="A1238">
        <v>1463.0156480000001</v>
      </c>
      <c r="B1238" s="1">
        <f>DATE(2014,5,3) + TIME(0,22,31)</f>
        <v>41762.015636574077</v>
      </c>
      <c r="C1238">
        <v>550</v>
      </c>
      <c r="D1238">
        <v>0</v>
      </c>
      <c r="E1238">
        <v>0</v>
      </c>
      <c r="F1238">
        <v>550</v>
      </c>
      <c r="G1238">
        <v>1344.8918457</v>
      </c>
      <c r="H1238">
        <v>1340.3361815999999</v>
      </c>
      <c r="I1238">
        <v>1324.7164307</v>
      </c>
      <c r="J1238">
        <v>1321.3045654</v>
      </c>
      <c r="K1238">
        <v>80</v>
      </c>
      <c r="L1238">
        <v>74.400276184000006</v>
      </c>
      <c r="M1238">
        <v>60</v>
      </c>
      <c r="N1238">
        <v>59.679801941000001</v>
      </c>
    </row>
    <row r="1239" spans="1:14" x14ac:dyDescent="0.25">
      <c r="A1239">
        <v>1463.1834409999999</v>
      </c>
      <c r="B1239" s="1">
        <f>DATE(2014,5,3) + TIME(4,24,9)</f>
        <v>41762.183437500003</v>
      </c>
      <c r="C1239">
        <v>550</v>
      </c>
      <c r="D1239">
        <v>0</v>
      </c>
      <c r="E1239">
        <v>0</v>
      </c>
      <c r="F1239">
        <v>550</v>
      </c>
      <c r="G1239">
        <v>1344.8947754000001</v>
      </c>
      <c r="H1239">
        <v>1340.3452147999999</v>
      </c>
      <c r="I1239">
        <v>1324.7159423999999</v>
      </c>
      <c r="J1239">
        <v>1321.3028564000001</v>
      </c>
      <c r="K1239">
        <v>80</v>
      </c>
      <c r="L1239">
        <v>74.755310058999996</v>
      </c>
      <c r="M1239">
        <v>60</v>
      </c>
      <c r="N1239">
        <v>59.663856506000002</v>
      </c>
    </row>
    <row r="1240" spans="1:14" x14ac:dyDescent="0.25">
      <c r="A1240">
        <v>1463.356601</v>
      </c>
      <c r="B1240" s="1">
        <f>DATE(2014,5,3) + TIME(8,33,30)</f>
        <v>41762.35659722222</v>
      </c>
      <c r="C1240">
        <v>550</v>
      </c>
      <c r="D1240">
        <v>0</v>
      </c>
      <c r="E1240">
        <v>0</v>
      </c>
      <c r="F1240">
        <v>550</v>
      </c>
      <c r="G1240">
        <v>1344.8984375</v>
      </c>
      <c r="H1240">
        <v>1340.3546143000001</v>
      </c>
      <c r="I1240">
        <v>1324.7154541</v>
      </c>
      <c r="J1240">
        <v>1321.3010254000001</v>
      </c>
      <c r="K1240">
        <v>80</v>
      </c>
      <c r="L1240">
        <v>75.098007202000005</v>
      </c>
      <c r="M1240">
        <v>60</v>
      </c>
      <c r="N1240">
        <v>59.647590637</v>
      </c>
    </row>
    <row r="1241" spans="1:14" x14ac:dyDescent="0.25">
      <c r="A1241">
        <v>1463.5354709999999</v>
      </c>
      <c r="B1241" s="1">
        <f>DATE(2014,5,3) + TIME(12,51,4)</f>
        <v>41762.535462962966</v>
      </c>
      <c r="C1241">
        <v>550</v>
      </c>
      <c r="D1241">
        <v>0</v>
      </c>
      <c r="E1241">
        <v>0</v>
      </c>
      <c r="F1241">
        <v>550</v>
      </c>
      <c r="G1241">
        <v>1344.9029541</v>
      </c>
      <c r="H1241">
        <v>1340.3641356999999</v>
      </c>
      <c r="I1241">
        <v>1324.7149658000001</v>
      </c>
      <c r="J1241">
        <v>1321.2991943</v>
      </c>
      <c r="K1241">
        <v>80</v>
      </c>
      <c r="L1241">
        <v>75.428192139000004</v>
      </c>
      <c r="M1241">
        <v>60</v>
      </c>
      <c r="N1241">
        <v>59.630981445000003</v>
      </c>
    </row>
    <row r="1242" spans="1:14" x14ac:dyDescent="0.25">
      <c r="A1242">
        <v>1463.7204180000001</v>
      </c>
      <c r="B1242" s="1">
        <f>DATE(2014,5,3) + TIME(17,17,24)</f>
        <v>41762.720416666663</v>
      </c>
      <c r="C1242">
        <v>550</v>
      </c>
      <c r="D1242">
        <v>0</v>
      </c>
      <c r="E1242">
        <v>0</v>
      </c>
      <c r="F1242">
        <v>550</v>
      </c>
      <c r="G1242">
        <v>1344.9082031</v>
      </c>
      <c r="H1242">
        <v>1340.3737793</v>
      </c>
      <c r="I1242">
        <v>1324.7142334</v>
      </c>
      <c r="J1242">
        <v>1321.2971190999999</v>
      </c>
      <c r="K1242">
        <v>80</v>
      </c>
      <c r="L1242">
        <v>75.745948791999993</v>
      </c>
      <c r="M1242">
        <v>60</v>
      </c>
      <c r="N1242">
        <v>59.614006042</v>
      </c>
    </row>
    <row r="1243" spans="1:14" x14ac:dyDescent="0.25">
      <c r="A1243">
        <v>1463.9118470000001</v>
      </c>
      <c r="B1243" s="1">
        <f>DATE(2014,5,3) + TIME(21,53,3)</f>
        <v>41762.911840277775</v>
      </c>
      <c r="C1243">
        <v>550</v>
      </c>
      <c r="D1243">
        <v>0</v>
      </c>
      <c r="E1243">
        <v>0</v>
      </c>
      <c r="F1243">
        <v>550</v>
      </c>
      <c r="G1243">
        <v>1344.9140625</v>
      </c>
      <c r="H1243">
        <v>1340.3836670000001</v>
      </c>
      <c r="I1243">
        <v>1324.7136230000001</v>
      </c>
      <c r="J1243">
        <v>1321.2951660000001</v>
      </c>
      <c r="K1243">
        <v>80</v>
      </c>
      <c r="L1243">
        <v>76.051208496000001</v>
      </c>
      <c r="M1243">
        <v>60</v>
      </c>
      <c r="N1243">
        <v>59.596649169999999</v>
      </c>
    </row>
    <row r="1244" spans="1:14" x14ac:dyDescent="0.25">
      <c r="A1244">
        <v>1464.1101940000001</v>
      </c>
      <c r="B1244" s="1">
        <f>DATE(2014,5,4) + TIME(2,38,40)</f>
        <v>41763.110185185185</v>
      </c>
      <c r="C1244">
        <v>550</v>
      </c>
      <c r="D1244">
        <v>0</v>
      </c>
      <c r="E1244">
        <v>0</v>
      </c>
      <c r="F1244">
        <v>550</v>
      </c>
      <c r="G1244">
        <v>1344.9204102000001</v>
      </c>
      <c r="H1244">
        <v>1340.3934326000001</v>
      </c>
      <c r="I1244">
        <v>1324.7128906</v>
      </c>
      <c r="J1244">
        <v>1321.2929687999999</v>
      </c>
      <c r="K1244">
        <v>80</v>
      </c>
      <c r="L1244">
        <v>76.343910217000001</v>
      </c>
      <c r="M1244">
        <v>60</v>
      </c>
      <c r="N1244">
        <v>59.578876495000003</v>
      </c>
    </row>
    <row r="1245" spans="1:14" x14ac:dyDescent="0.25">
      <c r="A1245">
        <v>1464.315936</v>
      </c>
      <c r="B1245" s="1">
        <f>DATE(2014,5,4) + TIME(7,34,56)</f>
        <v>41763.315925925926</v>
      </c>
      <c r="C1245">
        <v>550</v>
      </c>
      <c r="D1245">
        <v>0</v>
      </c>
      <c r="E1245">
        <v>0</v>
      </c>
      <c r="F1245">
        <v>550</v>
      </c>
      <c r="G1245">
        <v>1344.9272461</v>
      </c>
      <c r="H1245">
        <v>1340.4033202999999</v>
      </c>
      <c r="I1245">
        <v>1324.7120361</v>
      </c>
      <c r="J1245">
        <v>1321.2906493999999</v>
      </c>
      <c r="K1245">
        <v>80</v>
      </c>
      <c r="L1245">
        <v>76.623985290999997</v>
      </c>
      <c r="M1245">
        <v>60</v>
      </c>
      <c r="N1245">
        <v>59.560661316000001</v>
      </c>
    </row>
    <row r="1246" spans="1:14" x14ac:dyDescent="0.25">
      <c r="A1246">
        <v>1464.529595</v>
      </c>
      <c r="B1246" s="1">
        <f>DATE(2014,5,4) + TIME(12,42,37)</f>
        <v>41763.529594907406</v>
      </c>
      <c r="C1246">
        <v>550</v>
      </c>
      <c r="D1246">
        <v>0</v>
      </c>
      <c r="E1246">
        <v>0</v>
      </c>
      <c r="F1246">
        <v>550</v>
      </c>
      <c r="G1246">
        <v>1344.9344481999999</v>
      </c>
      <c r="H1246">
        <v>1340.4130858999999</v>
      </c>
      <c r="I1246">
        <v>1324.7111815999999</v>
      </c>
      <c r="J1246">
        <v>1321.2883300999999</v>
      </c>
      <c r="K1246">
        <v>80</v>
      </c>
      <c r="L1246">
        <v>76.891387938999998</v>
      </c>
      <c r="M1246">
        <v>60</v>
      </c>
      <c r="N1246">
        <v>59.541976929</v>
      </c>
    </row>
    <row r="1247" spans="1:14" x14ac:dyDescent="0.25">
      <c r="A1247">
        <v>1464.7518190000001</v>
      </c>
      <c r="B1247" s="1">
        <f>DATE(2014,5,4) + TIME(18,2,37)</f>
        <v>41763.751817129632</v>
      </c>
      <c r="C1247">
        <v>550</v>
      </c>
      <c r="D1247">
        <v>0</v>
      </c>
      <c r="E1247">
        <v>0</v>
      </c>
      <c r="F1247">
        <v>550</v>
      </c>
      <c r="G1247">
        <v>1344.9420166</v>
      </c>
      <c r="H1247">
        <v>1340.4228516000001</v>
      </c>
      <c r="I1247">
        <v>1324.7103271000001</v>
      </c>
      <c r="J1247">
        <v>1321.2858887</v>
      </c>
      <c r="K1247">
        <v>80</v>
      </c>
      <c r="L1247">
        <v>77.146163939999994</v>
      </c>
      <c r="M1247">
        <v>60</v>
      </c>
      <c r="N1247">
        <v>59.522785186999997</v>
      </c>
    </row>
    <row r="1248" spans="1:14" x14ac:dyDescent="0.25">
      <c r="A1248">
        <v>1464.9832019999999</v>
      </c>
      <c r="B1248" s="1">
        <f>DATE(2014,5,4) + TIME(23,35,48)</f>
        <v>41763.983194444445</v>
      </c>
      <c r="C1248">
        <v>550</v>
      </c>
      <c r="D1248">
        <v>0</v>
      </c>
      <c r="E1248">
        <v>0</v>
      </c>
      <c r="F1248">
        <v>550</v>
      </c>
      <c r="G1248">
        <v>1344.9498291</v>
      </c>
      <c r="H1248">
        <v>1340.4324951000001</v>
      </c>
      <c r="I1248">
        <v>1324.7092285000001</v>
      </c>
      <c r="J1248">
        <v>1321.2833252</v>
      </c>
      <c r="K1248">
        <v>80</v>
      </c>
      <c r="L1248">
        <v>77.388252257999994</v>
      </c>
      <c r="M1248">
        <v>60</v>
      </c>
      <c r="N1248">
        <v>59.503051757999998</v>
      </c>
    </row>
    <row r="1249" spans="1:14" x14ac:dyDescent="0.25">
      <c r="A1249">
        <v>1465.2244109999999</v>
      </c>
      <c r="B1249" s="1">
        <f>DATE(2014,5,5) + TIME(5,23,9)</f>
        <v>41764.224409722221</v>
      </c>
      <c r="C1249">
        <v>550</v>
      </c>
      <c r="D1249">
        <v>0</v>
      </c>
      <c r="E1249">
        <v>0</v>
      </c>
      <c r="F1249">
        <v>550</v>
      </c>
      <c r="G1249">
        <v>1344.9578856999999</v>
      </c>
      <c r="H1249">
        <v>1340.4418945</v>
      </c>
      <c r="I1249">
        <v>1324.7081298999999</v>
      </c>
      <c r="J1249">
        <v>1321.2805175999999</v>
      </c>
      <c r="K1249">
        <v>80</v>
      </c>
      <c r="L1249">
        <v>77.617607117000006</v>
      </c>
      <c r="M1249">
        <v>60</v>
      </c>
      <c r="N1249">
        <v>59.482738495</v>
      </c>
    </row>
    <row r="1250" spans="1:14" x14ac:dyDescent="0.25">
      <c r="A1250">
        <v>1465.4762149999999</v>
      </c>
      <c r="B1250" s="1">
        <f>DATE(2014,5,5) + TIME(11,25,45)</f>
        <v>41764.476215277777</v>
      </c>
      <c r="C1250">
        <v>550</v>
      </c>
      <c r="D1250">
        <v>0</v>
      </c>
      <c r="E1250">
        <v>0</v>
      </c>
      <c r="F1250">
        <v>550</v>
      </c>
      <c r="G1250">
        <v>1344.9659423999999</v>
      </c>
      <c r="H1250">
        <v>1340.4511719</v>
      </c>
      <c r="I1250">
        <v>1324.7070312000001</v>
      </c>
      <c r="J1250">
        <v>1321.2777100000001</v>
      </c>
      <c r="K1250">
        <v>80</v>
      </c>
      <c r="L1250">
        <v>77.834259032999995</v>
      </c>
      <c r="M1250">
        <v>60</v>
      </c>
      <c r="N1250">
        <v>59.461799622000001</v>
      </c>
    </row>
    <row r="1251" spans="1:14" x14ac:dyDescent="0.25">
      <c r="A1251">
        <v>1465.73947</v>
      </c>
      <c r="B1251" s="1">
        <f>DATE(2014,5,5) + TIME(17,44,50)</f>
        <v>41764.73946759259</v>
      </c>
      <c r="C1251">
        <v>550</v>
      </c>
      <c r="D1251">
        <v>0</v>
      </c>
      <c r="E1251">
        <v>0</v>
      </c>
      <c r="F1251">
        <v>550</v>
      </c>
      <c r="G1251">
        <v>1344.973999</v>
      </c>
      <c r="H1251">
        <v>1340.4600829999999</v>
      </c>
      <c r="I1251">
        <v>1324.7056885</v>
      </c>
      <c r="J1251">
        <v>1321.2746582</v>
      </c>
      <c r="K1251">
        <v>80</v>
      </c>
      <c r="L1251">
        <v>78.038253784000005</v>
      </c>
      <c r="M1251">
        <v>60</v>
      </c>
      <c r="N1251">
        <v>59.440196991000001</v>
      </c>
    </row>
    <row r="1252" spans="1:14" x14ac:dyDescent="0.25">
      <c r="A1252">
        <v>1466.015124</v>
      </c>
      <c r="B1252" s="1">
        <f>DATE(2014,5,6) + TIME(0,21,46)</f>
        <v>41765.015115740738</v>
      </c>
      <c r="C1252">
        <v>550</v>
      </c>
      <c r="D1252">
        <v>0</v>
      </c>
      <c r="E1252">
        <v>0</v>
      </c>
      <c r="F1252">
        <v>550</v>
      </c>
      <c r="G1252">
        <v>1344.9820557</v>
      </c>
      <c r="H1252">
        <v>1340.46875</v>
      </c>
      <c r="I1252">
        <v>1324.7043457</v>
      </c>
      <c r="J1252">
        <v>1321.2716064000001</v>
      </c>
      <c r="K1252">
        <v>80</v>
      </c>
      <c r="L1252">
        <v>78.229667664000004</v>
      </c>
      <c r="M1252">
        <v>60</v>
      </c>
      <c r="N1252">
        <v>59.417869568</v>
      </c>
    </row>
    <row r="1253" spans="1:14" x14ac:dyDescent="0.25">
      <c r="A1253">
        <v>1466.3042419999999</v>
      </c>
      <c r="B1253" s="1">
        <f>DATE(2014,5,6) + TIME(7,18,6)</f>
        <v>41765.304236111115</v>
      </c>
      <c r="C1253">
        <v>550</v>
      </c>
      <c r="D1253">
        <v>0</v>
      </c>
      <c r="E1253">
        <v>0</v>
      </c>
      <c r="F1253">
        <v>550</v>
      </c>
      <c r="G1253">
        <v>1344.9898682</v>
      </c>
      <c r="H1253">
        <v>1340.4769286999999</v>
      </c>
      <c r="I1253">
        <v>1324.7027588000001</v>
      </c>
      <c r="J1253">
        <v>1321.2681885</v>
      </c>
      <c r="K1253">
        <v>80</v>
      </c>
      <c r="L1253">
        <v>78.408599854000002</v>
      </c>
      <c r="M1253">
        <v>60</v>
      </c>
      <c r="N1253">
        <v>59.394763947000001</v>
      </c>
    </row>
    <row r="1254" spans="1:14" x14ac:dyDescent="0.25">
      <c r="A1254">
        <v>1466.608019</v>
      </c>
      <c r="B1254" s="1">
        <f>DATE(2014,5,6) + TIME(14,35,32)</f>
        <v>41765.60800925926</v>
      </c>
      <c r="C1254">
        <v>550</v>
      </c>
      <c r="D1254">
        <v>0</v>
      </c>
      <c r="E1254">
        <v>0</v>
      </c>
      <c r="F1254">
        <v>550</v>
      </c>
      <c r="G1254">
        <v>1344.9975586</v>
      </c>
      <c r="H1254">
        <v>1340.4848632999999</v>
      </c>
      <c r="I1254">
        <v>1324.7011719</v>
      </c>
      <c r="J1254">
        <v>1321.2647704999999</v>
      </c>
      <c r="K1254">
        <v>80</v>
      </c>
      <c r="L1254">
        <v>78.575195312000005</v>
      </c>
      <c r="M1254">
        <v>60</v>
      </c>
      <c r="N1254">
        <v>59.370815276999998</v>
      </c>
    </row>
    <row r="1255" spans="1:14" x14ac:dyDescent="0.25">
      <c r="A1255">
        <v>1466.927801</v>
      </c>
      <c r="B1255" s="1">
        <f>DATE(2014,5,6) + TIME(22,16,2)</f>
        <v>41765.927800925929</v>
      </c>
      <c r="C1255">
        <v>550</v>
      </c>
      <c r="D1255">
        <v>0</v>
      </c>
      <c r="E1255">
        <v>0</v>
      </c>
      <c r="F1255">
        <v>550</v>
      </c>
      <c r="G1255">
        <v>1345.0048827999999</v>
      </c>
      <c r="H1255">
        <v>1340.4921875</v>
      </c>
      <c r="I1255">
        <v>1324.6994629000001</v>
      </c>
      <c r="J1255">
        <v>1321.2609863</v>
      </c>
      <c r="K1255">
        <v>80</v>
      </c>
      <c r="L1255">
        <v>78.729614257999998</v>
      </c>
      <c r="M1255">
        <v>60</v>
      </c>
      <c r="N1255">
        <v>59.345947266000003</v>
      </c>
    </row>
    <row r="1256" spans="1:14" x14ac:dyDescent="0.25">
      <c r="A1256">
        <v>1467.2651169999999</v>
      </c>
      <c r="B1256" s="1">
        <f>DATE(2014,5,7) + TIME(6,21,46)</f>
        <v>41766.265115740738</v>
      </c>
      <c r="C1256">
        <v>550</v>
      </c>
      <c r="D1256">
        <v>0</v>
      </c>
      <c r="E1256">
        <v>0</v>
      </c>
      <c r="F1256">
        <v>550</v>
      </c>
      <c r="G1256">
        <v>1345.0118408000001</v>
      </c>
      <c r="H1256">
        <v>1340.4991454999999</v>
      </c>
      <c r="I1256">
        <v>1324.6975098</v>
      </c>
      <c r="J1256">
        <v>1321.2570800999999</v>
      </c>
      <c r="K1256">
        <v>80</v>
      </c>
      <c r="L1256">
        <v>78.872070312000005</v>
      </c>
      <c r="M1256">
        <v>60</v>
      </c>
      <c r="N1256">
        <v>59.320079802999999</v>
      </c>
    </row>
    <row r="1257" spans="1:14" x14ac:dyDescent="0.25">
      <c r="A1257">
        <v>1467.62177</v>
      </c>
      <c r="B1257" s="1">
        <f>DATE(2014,5,7) + TIME(14,55,20)</f>
        <v>41766.621759259258</v>
      </c>
      <c r="C1257">
        <v>550</v>
      </c>
      <c r="D1257">
        <v>0</v>
      </c>
      <c r="E1257">
        <v>0</v>
      </c>
      <c r="F1257">
        <v>550</v>
      </c>
      <c r="G1257">
        <v>1345.0184326000001</v>
      </c>
      <c r="H1257">
        <v>1340.5054932</v>
      </c>
      <c r="I1257">
        <v>1324.6954346</v>
      </c>
      <c r="J1257">
        <v>1321.2529297000001</v>
      </c>
      <c r="K1257">
        <v>80</v>
      </c>
      <c r="L1257">
        <v>79.002838135000005</v>
      </c>
      <c r="M1257">
        <v>60</v>
      </c>
      <c r="N1257">
        <v>59.293117522999999</v>
      </c>
    </row>
    <row r="1258" spans="1:14" x14ac:dyDescent="0.25">
      <c r="A1258">
        <v>1467.999918</v>
      </c>
      <c r="B1258" s="1">
        <f>DATE(2014,5,7) + TIME(23,59,52)</f>
        <v>41766.999907407408</v>
      </c>
      <c r="C1258">
        <v>550</v>
      </c>
      <c r="D1258">
        <v>0</v>
      </c>
      <c r="E1258">
        <v>0</v>
      </c>
      <c r="F1258">
        <v>550</v>
      </c>
      <c r="G1258">
        <v>1345.0242920000001</v>
      </c>
      <c r="H1258">
        <v>1340.5112305</v>
      </c>
      <c r="I1258">
        <v>1324.6932373</v>
      </c>
      <c r="J1258">
        <v>1321.2485352000001</v>
      </c>
      <c r="K1258">
        <v>80</v>
      </c>
      <c r="L1258">
        <v>79.122222899999997</v>
      </c>
      <c r="M1258">
        <v>60</v>
      </c>
      <c r="N1258">
        <v>59.264942169000001</v>
      </c>
    </row>
    <row r="1259" spans="1:14" x14ac:dyDescent="0.25">
      <c r="A1259">
        <v>1468.401693</v>
      </c>
      <c r="B1259" s="1">
        <f>DATE(2014,5,8) + TIME(9,38,26)</f>
        <v>41767.401689814818</v>
      </c>
      <c r="C1259">
        <v>550</v>
      </c>
      <c r="D1259">
        <v>0</v>
      </c>
      <c r="E1259">
        <v>0</v>
      </c>
      <c r="F1259">
        <v>550</v>
      </c>
      <c r="G1259">
        <v>1345.0296631000001</v>
      </c>
      <c r="H1259">
        <v>1340.5163574000001</v>
      </c>
      <c r="I1259">
        <v>1324.6907959</v>
      </c>
      <c r="J1259">
        <v>1321.2437743999999</v>
      </c>
      <c r="K1259">
        <v>80</v>
      </c>
      <c r="L1259">
        <v>79.230506896999998</v>
      </c>
      <c r="M1259">
        <v>60</v>
      </c>
      <c r="N1259">
        <v>59.235443115000002</v>
      </c>
    </row>
    <row r="1260" spans="1:14" x14ac:dyDescent="0.25">
      <c r="A1260">
        <v>1468.829782</v>
      </c>
      <c r="B1260" s="1">
        <f>DATE(2014,5,8) + TIME(19,54,53)</f>
        <v>41767.829780092594</v>
      </c>
      <c r="C1260">
        <v>550</v>
      </c>
      <c r="D1260">
        <v>0</v>
      </c>
      <c r="E1260">
        <v>0</v>
      </c>
      <c r="F1260">
        <v>550</v>
      </c>
      <c r="G1260">
        <v>1345.0341797000001</v>
      </c>
      <c r="H1260">
        <v>1340.5207519999999</v>
      </c>
      <c r="I1260">
        <v>1324.6881103999999</v>
      </c>
      <c r="J1260">
        <v>1321.2386475000001</v>
      </c>
      <c r="K1260">
        <v>80</v>
      </c>
      <c r="L1260">
        <v>79.328056334999999</v>
      </c>
      <c r="M1260">
        <v>60</v>
      </c>
      <c r="N1260">
        <v>59.204486846999998</v>
      </c>
    </row>
    <row r="1261" spans="1:14" x14ac:dyDescent="0.25">
      <c r="A1261">
        <v>1469.287335</v>
      </c>
      <c r="B1261" s="1">
        <f>DATE(2014,5,9) + TIME(6,53,45)</f>
        <v>41768.287326388891</v>
      </c>
      <c r="C1261">
        <v>550</v>
      </c>
      <c r="D1261">
        <v>0</v>
      </c>
      <c r="E1261">
        <v>0</v>
      </c>
      <c r="F1261">
        <v>550</v>
      </c>
      <c r="G1261">
        <v>1345.0379639</v>
      </c>
      <c r="H1261">
        <v>1340.5244141000001</v>
      </c>
      <c r="I1261">
        <v>1324.6851807</v>
      </c>
      <c r="J1261">
        <v>1321.2332764</v>
      </c>
      <c r="K1261">
        <v>80</v>
      </c>
      <c r="L1261">
        <v>79.415290833</v>
      </c>
      <c r="M1261">
        <v>60</v>
      </c>
      <c r="N1261">
        <v>59.171909331999998</v>
      </c>
    </row>
    <row r="1262" spans="1:14" x14ac:dyDescent="0.25">
      <c r="A1262">
        <v>1469.7780660000001</v>
      </c>
      <c r="B1262" s="1">
        <f>DATE(2014,5,9) + TIME(18,40,24)</f>
        <v>41768.778055555558</v>
      </c>
      <c r="C1262">
        <v>550</v>
      </c>
      <c r="D1262">
        <v>0</v>
      </c>
      <c r="E1262">
        <v>0</v>
      </c>
      <c r="F1262">
        <v>550</v>
      </c>
      <c r="G1262">
        <v>1345.0407714999999</v>
      </c>
      <c r="H1262">
        <v>1340.5272216999999</v>
      </c>
      <c r="I1262">
        <v>1324.6818848</v>
      </c>
      <c r="J1262">
        <v>1321.2274170000001</v>
      </c>
      <c r="K1262">
        <v>80</v>
      </c>
      <c r="L1262">
        <v>79.492668151999993</v>
      </c>
      <c r="M1262">
        <v>60</v>
      </c>
      <c r="N1262">
        <v>59.137523651000002</v>
      </c>
    </row>
    <row r="1263" spans="1:14" x14ac:dyDescent="0.25">
      <c r="A1263">
        <v>1470.30629</v>
      </c>
      <c r="B1263" s="1">
        <f>DATE(2014,5,10) + TIME(7,21,3)</f>
        <v>41769.306284722225</v>
      </c>
      <c r="C1263">
        <v>550</v>
      </c>
      <c r="D1263">
        <v>0</v>
      </c>
      <c r="E1263">
        <v>0</v>
      </c>
      <c r="F1263">
        <v>550</v>
      </c>
      <c r="G1263">
        <v>1345.0426024999999</v>
      </c>
      <c r="H1263">
        <v>1340.5291748</v>
      </c>
      <c r="I1263">
        <v>1324.6783447</v>
      </c>
      <c r="J1263">
        <v>1321.2210693</v>
      </c>
      <c r="K1263">
        <v>80</v>
      </c>
      <c r="L1263">
        <v>79.560684203999998</v>
      </c>
      <c r="M1263">
        <v>60</v>
      </c>
      <c r="N1263">
        <v>59.101108551000003</v>
      </c>
    </row>
    <row r="1264" spans="1:14" x14ac:dyDescent="0.25">
      <c r="A1264">
        <v>1470.8545690000001</v>
      </c>
      <c r="B1264" s="1">
        <f>DATE(2014,5,10) + TIME(20,30,34)</f>
        <v>41769.854560185187</v>
      </c>
      <c r="C1264">
        <v>550</v>
      </c>
      <c r="D1264">
        <v>0</v>
      </c>
      <c r="E1264">
        <v>0</v>
      </c>
      <c r="F1264">
        <v>550</v>
      </c>
      <c r="G1264">
        <v>1345.0439452999999</v>
      </c>
      <c r="H1264">
        <v>1340.5306396000001</v>
      </c>
      <c r="I1264">
        <v>1324.6744385</v>
      </c>
      <c r="J1264">
        <v>1321.2142334</v>
      </c>
      <c r="K1264">
        <v>80</v>
      </c>
      <c r="L1264">
        <v>79.617980957</v>
      </c>
      <c r="M1264">
        <v>60</v>
      </c>
      <c r="N1264">
        <v>59.063762664999999</v>
      </c>
    </row>
    <row r="1265" spans="1:14" x14ac:dyDescent="0.25">
      <c r="A1265">
        <v>1471.4106710000001</v>
      </c>
      <c r="B1265" s="1">
        <f>DATE(2014,5,11) + TIME(9,51,21)</f>
        <v>41770.41065972222</v>
      </c>
      <c r="C1265">
        <v>550</v>
      </c>
      <c r="D1265">
        <v>0</v>
      </c>
      <c r="E1265">
        <v>0</v>
      </c>
      <c r="F1265">
        <v>550</v>
      </c>
      <c r="G1265">
        <v>1345.0443115</v>
      </c>
      <c r="H1265">
        <v>1340.53125</v>
      </c>
      <c r="I1265">
        <v>1324.6702881000001</v>
      </c>
      <c r="J1265">
        <v>1321.2070312000001</v>
      </c>
      <c r="K1265">
        <v>80</v>
      </c>
      <c r="L1265">
        <v>79.665046692000004</v>
      </c>
      <c r="M1265">
        <v>60</v>
      </c>
      <c r="N1265">
        <v>59.026214600000003</v>
      </c>
    </row>
    <row r="1266" spans="1:14" x14ac:dyDescent="0.25">
      <c r="A1266">
        <v>1471.976729</v>
      </c>
      <c r="B1266" s="1">
        <f>DATE(2014,5,11) + TIME(23,26,29)</f>
        <v>41770.976724537039</v>
      </c>
      <c r="C1266">
        <v>550</v>
      </c>
      <c r="D1266">
        <v>0</v>
      </c>
      <c r="E1266">
        <v>0</v>
      </c>
      <c r="F1266">
        <v>550</v>
      </c>
      <c r="G1266">
        <v>1345.0433350000001</v>
      </c>
      <c r="H1266">
        <v>1340.5310059000001</v>
      </c>
      <c r="I1266">
        <v>1324.6660156</v>
      </c>
      <c r="J1266">
        <v>1321.199707</v>
      </c>
      <c r="K1266">
        <v>80</v>
      </c>
      <c r="L1266">
        <v>79.703758239999999</v>
      </c>
      <c r="M1266">
        <v>60</v>
      </c>
      <c r="N1266">
        <v>58.988349915000001</v>
      </c>
    </row>
    <row r="1267" spans="1:14" x14ac:dyDescent="0.25">
      <c r="A1267">
        <v>1472.5544649999999</v>
      </c>
      <c r="B1267" s="1">
        <f>DATE(2014,5,12) + TIME(13,18,25)</f>
        <v>41771.554456018515</v>
      </c>
      <c r="C1267">
        <v>550</v>
      </c>
      <c r="D1267">
        <v>0</v>
      </c>
      <c r="E1267">
        <v>0</v>
      </c>
      <c r="F1267">
        <v>550</v>
      </c>
      <c r="G1267">
        <v>1345.0413818</v>
      </c>
      <c r="H1267">
        <v>1340.5297852000001</v>
      </c>
      <c r="I1267">
        <v>1324.661499</v>
      </c>
      <c r="J1267">
        <v>1321.1920166</v>
      </c>
      <c r="K1267">
        <v>80</v>
      </c>
      <c r="L1267">
        <v>79.735595703000001</v>
      </c>
      <c r="M1267">
        <v>60</v>
      </c>
      <c r="N1267">
        <v>58.950069427000003</v>
      </c>
    </row>
    <row r="1268" spans="1:14" x14ac:dyDescent="0.25">
      <c r="A1268">
        <v>1473.1457069999999</v>
      </c>
      <c r="B1268" s="1">
        <f>DATE(2014,5,13) + TIME(3,29,49)</f>
        <v>41772.14570601852</v>
      </c>
      <c r="C1268">
        <v>550</v>
      </c>
      <c r="D1268">
        <v>0</v>
      </c>
      <c r="E1268">
        <v>0</v>
      </c>
      <c r="F1268">
        <v>550</v>
      </c>
      <c r="G1268">
        <v>1345.0382079999999</v>
      </c>
      <c r="H1268">
        <v>1340.5279541</v>
      </c>
      <c r="I1268">
        <v>1324.6568603999999</v>
      </c>
      <c r="J1268">
        <v>1321.1842041</v>
      </c>
      <c r="K1268">
        <v>80</v>
      </c>
      <c r="L1268">
        <v>79.761764525999993</v>
      </c>
      <c r="M1268">
        <v>60</v>
      </c>
      <c r="N1268">
        <v>58.911277771000002</v>
      </c>
    </row>
    <row r="1269" spans="1:14" x14ac:dyDescent="0.25">
      <c r="A1269">
        <v>1473.7522730000001</v>
      </c>
      <c r="B1269" s="1">
        <f>DATE(2014,5,13) + TIME(18,3,16)</f>
        <v>41772.752268518518</v>
      </c>
      <c r="C1269">
        <v>550</v>
      </c>
      <c r="D1269">
        <v>0</v>
      </c>
      <c r="E1269">
        <v>0</v>
      </c>
      <c r="F1269">
        <v>550</v>
      </c>
      <c r="G1269">
        <v>1345.0341797000001</v>
      </c>
      <c r="H1269">
        <v>1340.5252685999999</v>
      </c>
      <c r="I1269">
        <v>1324.6518555</v>
      </c>
      <c r="J1269">
        <v>1321.1760254000001</v>
      </c>
      <c r="K1269">
        <v>80</v>
      </c>
      <c r="L1269">
        <v>79.783264160000002</v>
      </c>
      <c r="M1269">
        <v>60</v>
      </c>
      <c r="N1269">
        <v>58.871879577999998</v>
      </c>
    </row>
    <row r="1270" spans="1:14" x14ac:dyDescent="0.25">
      <c r="A1270">
        <v>1474.376131</v>
      </c>
      <c r="B1270" s="1">
        <f>DATE(2014,5,14) + TIME(9,1,37)</f>
        <v>41773.376122685186</v>
      </c>
      <c r="C1270">
        <v>550</v>
      </c>
      <c r="D1270">
        <v>0</v>
      </c>
      <c r="E1270">
        <v>0</v>
      </c>
      <c r="F1270">
        <v>550</v>
      </c>
      <c r="G1270">
        <v>1345.0292969</v>
      </c>
      <c r="H1270">
        <v>1340.5220947</v>
      </c>
      <c r="I1270">
        <v>1324.6467285000001</v>
      </c>
      <c r="J1270">
        <v>1321.1674805</v>
      </c>
      <c r="K1270">
        <v>80</v>
      </c>
      <c r="L1270">
        <v>79.800895690999994</v>
      </c>
      <c r="M1270">
        <v>60</v>
      </c>
      <c r="N1270">
        <v>58.831771850999999</v>
      </c>
    </row>
    <row r="1271" spans="1:14" x14ac:dyDescent="0.25">
      <c r="A1271">
        <v>1475.012569</v>
      </c>
      <c r="B1271" s="1">
        <f>DATE(2014,5,15) + TIME(0,18,5)</f>
        <v>41774.012557870374</v>
      </c>
      <c r="C1271">
        <v>550</v>
      </c>
      <c r="D1271">
        <v>0</v>
      </c>
      <c r="E1271">
        <v>0</v>
      </c>
      <c r="F1271">
        <v>550</v>
      </c>
      <c r="G1271">
        <v>1345.0235596</v>
      </c>
      <c r="H1271">
        <v>1340.5184326000001</v>
      </c>
      <c r="I1271">
        <v>1324.6413574000001</v>
      </c>
      <c r="J1271">
        <v>1321.1586914</v>
      </c>
      <c r="K1271">
        <v>80</v>
      </c>
      <c r="L1271">
        <v>79.815231323000006</v>
      </c>
      <c r="M1271">
        <v>60</v>
      </c>
      <c r="N1271">
        <v>58.791229248</v>
      </c>
    </row>
    <row r="1272" spans="1:14" x14ac:dyDescent="0.25">
      <c r="A1272">
        <v>1475.6626719999999</v>
      </c>
      <c r="B1272" s="1">
        <f>DATE(2014,5,15) + TIME(15,54,14)</f>
        <v>41774.662662037037</v>
      </c>
      <c r="C1272">
        <v>550</v>
      </c>
      <c r="D1272">
        <v>0</v>
      </c>
      <c r="E1272">
        <v>0</v>
      </c>
      <c r="F1272">
        <v>550</v>
      </c>
      <c r="G1272">
        <v>1345.0170897999999</v>
      </c>
      <c r="H1272">
        <v>1340.5141602000001</v>
      </c>
      <c r="I1272">
        <v>1324.6358643000001</v>
      </c>
      <c r="J1272">
        <v>1321.1495361</v>
      </c>
      <c r="K1272">
        <v>80</v>
      </c>
      <c r="L1272">
        <v>79.826873778999996</v>
      </c>
      <c r="M1272">
        <v>60</v>
      </c>
      <c r="N1272">
        <v>58.750194550000003</v>
      </c>
    </row>
    <row r="1273" spans="1:14" x14ac:dyDescent="0.25">
      <c r="A1273">
        <v>1476.327675</v>
      </c>
      <c r="B1273" s="1">
        <f>DATE(2014,5,16) + TIME(7,51,51)</f>
        <v>41775.327673611115</v>
      </c>
      <c r="C1273">
        <v>550</v>
      </c>
      <c r="D1273">
        <v>0</v>
      </c>
      <c r="E1273">
        <v>0</v>
      </c>
      <c r="F1273">
        <v>550</v>
      </c>
      <c r="G1273">
        <v>1345.0100098</v>
      </c>
      <c r="H1273">
        <v>1340.5095214999999</v>
      </c>
      <c r="I1273">
        <v>1324.6300048999999</v>
      </c>
      <c r="J1273">
        <v>1321.1401367000001</v>
      </c>
      <c r="K1273">
        <v>80</v>
      </c>
      <c r="L1273">
        <v>79.836326599000003</v>
      </c>
      <c r="M1273">
        <v>60</v>
      </c>
      <c r="N1273">
        <v>58.708614349000001</v>
      </c>
    </row>
    <row r="1274" spans="1:14" x14ac:dyDescent="0.25">
      <c r="A1274">
        <v>1477.009149</v>
      </c>
      <c r="B1274" s="1">
        <f>DATE(2014,5,17) + TIME(0,13,10)</f>
        <v>41776.009143518517</v>
      </c>
      <c r="C1274">
        <v>550</v>
      </c>
      <c r="D1274">
        <v>0</v>
      </c>
      <c r="E1274">
        <v>0</v>
      </c>
      <c r="F1274">
        <v>550</v>
      </c>
      <c r="G1274">
        <v>1345.0024414</v>
      </c>
      <c r="H1274">
        <v>1340.5045166</v>
      </c>
      <c r="I1274">
        <v>1324.6240233999999</v>
      </c>
      <c r="J1274">
        <v>1321.1303711</v>
      </c>
      <c r="K1274">
        <v>80</v>
      </c>
      <c r="L1274">
        <v>79.844017029</v>
      </c>
      <c r="M1274">
        <v>60</v>
      </c>
      <c r="N1274">
        <v>58.666419982999997</v>
      </c>
    </row>
    <row r="1275" spans="1:14" x14ac:dyDescent="0.25">
      <c r="A1275">
        <v>1477.708781</v>
      </c>
      <c r="B1275" s="1">
        <f>DATE(2014,5,17) + TIME(17,0,38)</f>
        <v>41776.708773148152</v>
      </c>
      <c r="C1275">
        <v>550</v>
      </c>
      <c r="D1275">
        <v>0</v>
      </c>
      <c r="E1275">
        <v>0</v>
      </c>
      <c r="F1275">
        <v>550</v>
      </c>
      <c r="G1275">
        <v>1344.9941406</v>
      </c>
      <c r="H1275">
        <v>1340.4991454999999</v>
      </c>
      <c r="I1275">
        <v>1324.6176757999999</v>
      </c>
      <c r="J1275">
        <v>1321.1202393000001</v>
      </c>
      <c r="K1275">
        <v>80</v>
      </c>
      <c r="L1275">
        <v>79.850273131999998</v>
      </c>
      <c r="M1275">
        <v>60</v>
      </c>
      <c r="N1275">
        <v>58.623531342</v>
      </c>
    </row>
    <row r="1276" spans="1:14" x14ac:dyDescent="0.25">
      <c r="A1276">
        <v>1478.428854</v>
      </c>
      <c r="B1276" s="1">
        <f>DATE(2014,5,18) + TIME(10,17,32)</f>
        <v>41777.428842592592</v>
      </c>
      <c r="C1276">
        <v>550</v>
      </c>
      <c r="D1276">
        <v>0</v>
      </c>
      <c r="E1276">
        <v>0</v>
      </c>
      <c r="F1276">
        <v>550</v>
      </c>
      <c r="G1276">
        <v>1344.9854736</v>
      </c>
      <c r="H1276">
        <v>1340.4935303</v>
      </c>
      <c r="I1276">
        <v>1324.6112060999999</v>
      </c>
      <c r="J1276">
        <v>1321.1097411999999</v>
      </c>
      <c r="K1276">
        <v>80</v>
      </c>
      <c r="L1276">
        <v>79.855369568</v>
      </c>
      <c r="M1276">
        <v>60</v>
      </c>
      <c r="N1276">
        <v>58.579841614000003</v>
      </c>
    </row>
    <row r="1277" spans="1:14" x14ac:dyDescent="0.25">
      <c r="A1277">
        <v>1479.17164</v>
      </c>
      <c r="B1277" s="1">
        <f>DATE(2014,5,19) + TIME(4,7,9)</f>
        <v>41778.171631944446</v>
      </c>
      <c r="C1277">
        <v>550</v>
      </c>
      <c r="D1277">
        <v>0</v>
      </c>
      <c r="E1277">
        <v>0</v>
      </c>
      <c r="F1277">
        <v>550</v>
      </c>
      <c r="G1277">
        <v>1344.9761963000001</v>
      </c>
      <c r="H1277">
        <v>1340.4875488</v>
      </c>
      <c r="I1277">
        <v>1324.6043701000001</v>
      </c>
      <c r="J1277">
        <v>1321.0987548999999</v>
      </c>
      <c r="K1277">
        <v>80</v>
      </c>
      <c r="L1277">
        <v>79.859527588000006</v>
      </c>
      <c r="M1277">
        <v>60</v>
      </c>
      <c r="N1277">
        <v>58.535251617</v>
      </c>
    </row>
    <row r="1278" spans="1:14" x14ac:dyDescent="0.25">
      <c r="A1278">
        <v>1479.9395179999999</v>
      </c>
      <c r="B1278" s="1">
        <f>DATE(2014,5,19) + TIME(22,32,54)</f>
        <v>41778.939513888887</v>
      </c>
      <c r="C1278">
        <v>550</v>
      </c>
      <c r="D1278">
        <v>0</v>
      </c>
      <c r="E1278">
        <v>0</v>
      </c>
      <c r="F1278">
        <v>550</v>
      </c>
      <c r="G1278">
        <v>1344.9665527</v>
      </c>
      <c r="H1278">
        <v>1340.4812012</v>
      </c>
      <c r="I1278">
        <v>1324.5972899999999</v>
      </c>
      <c r="J1278">
        <v>1321.0872803</v>
      </c>
      <c r="K1278">
        <v>80</v>
      </c>
      <c r="L1278">
        <v>79.862922667999996</v>
      </c>
      <c r="M1278">
        <v>60</v>
      </c>
      <c r="N1278">
        <v>58.489662170000003</v>
      </c>
    </row>
    <row r="1279" spans="1:14" x14ac:dyDescent="0.25">
      <c r="A1279">
        <v>1480.7351619999999</v>
      </c>
      <c r="B1279" s="1">
        <f>DATE(2014,5,20) + TIME(17,38,38)</f>
        <v>41779.735162037039</v>
      </c>
      <c r="C1279">
        <v>550</v>
      </c>
      <c r="D1279">
        <v>0</v>
      </c>
      <c r="E1279">
        <v>0</v>
      </c>
      <c r="F1279">
        <v>550</v>
      </c>
      <c r="G1279">
        <v>1344.9564209</v>
      </c>
      <c r="H1279">
        <v>1340.4747314000001</v>
      </c>
      <c r="I1279">
        <v>1324.5897216999999</v>
      </c>
      <c r="J1279">
        <v>1321.0751952999999</v>
      </c>
      <c r="K1279">
        <v>80</v>
      </c>
      <c r="L1279">
        <v>79.865699767999999</v>
      </c>
      <c r="M1279">
        <v>60</v>
      </c>
      <c r="N1279">
        <v>58.442951202000003</v>
      </c>
    </row>
    <row r="1280" spans="1:14" x14ac:dyDescent="0.25">
      <c r="A1280">
        <v>1481.5615749999999</v>
      </c>
      <c r="B1280" s="1">
        <f>DATE(2014,5,21) + TIME(13,28,40)</f>
        <v>41780.561574074076</v>
      </c>
      <c r="C1280">
        <v>550</v>
      </c>
      <c r="D1280">
        <v>0</v>
      </c>
      <c r="E1280">
        <v>0</v>
      </c>
      <c r="F1280">
        <v>550</v>
      </c>
      <c r="G1280">
        <v>1344.9458007999999</v>
      </c>
      <c r="H1280">
        <v>1340.4678954999999</v>
      </c>
      <c r="I1280">
        <v>1324.5819091999999</v>
      </c>
      <c r="J1280">
        <v>1321.0626221</v>
      </c>
      <c r="K1280">
        <v>80</v>
      </c>
      <c r="L1280">
        <v>79.867980957</v>
      </c>
      <c r="M1280">
        <v>60</v>
      </c>
      <c r="N1280">
        <v>58.395000457999998</v>
      </c>
    </row>
    <row r="1281" spans="1:14" x14ac:dyDescent="0.25">
      <c r="A1281">
        <v>1482.422161</v>
      </c>
      <c r="B1281" s="1">
        <f>DATE(2014,5,22) + TIME(10,7,54)</f>
        <v>41781.422152777777</v>
      </c>
      <c r="C1281">
        <v>550</v>
      </c>
      <c r="D1281">
        <v>0</v>
      </c>
      <c r="E1281">
        <v>0</v>
      </c>
      <c r="F1281">
        <v>550</v>
      </c>
      <c r="G1281">
        <v>1344.9348144999999</v>
      </c>
      <c r="H1281">
        <v>1340.4608154</v>
      </c>
      <c r="I1281">
        <v>1324.5736084</v>
      </c>
      <c r="J1281">
        <v>1321.0494385</v>
      </c>
      <c r="K1281">
        <v>80</v>
      </c>
      <c r="L1281">
        <v>79.869857788000004</v>
      </c>
      <c r="M1281">
        <v>60</v>
      </c>
      <c r="N1281">
        <v>58.345668793000002</v>
      </c>
    </row>
    <row r="1282" spans="1:14" x14ac:dyDescent="0.25">
      <c r="A1282">
        <v>1483.3093140000001</v>
      </c>
      <c r="B1282" s="1">
        <f>DATE(2014,5,23) + TIME(7,25,24)</f>
        <v>41782.309305555558</v>
      </c>
      <c r="C1282">
        <v>550</v>
      </c>
      <c r="D1282">
        <v>0</v>
      </c>
      <c r="E1282">
        <v>0</v>
      </c>
      <c r="F1282">
        <v>550</v>
      </c>
      <c r="G1282">
        <v>1344.9233397999999</v>
      </c>
      <c r="H1282">
        <v>1340.4534911999999</v>
      </c>
      <c r="I1282">
        <v>1324.5649414</v>
      </c>
      <c r="J1282">
        <v>1321.0355225000001</v>
      </c>
      <c r="K1282">
        <v>80</v>
      </c>
      <c r="L1282">
        <v>79.871391295999999</v>
      </c>
      <c r="M1282">
        <v>60</v>
      </c>
      <c r="N1282">
        <v>58.295326232999997</v>
      </c>
    </row>
    <row r="1283" spans="1:14" x14ac:dyDescent="0.25">
      <c r="A1283">
        <v>1484.222829</v>
      </c>
      <c r="B1283" s="1">
        <f>DATE(2014,5,24) + TIME(5,20,52)</f>
        <v>41783.222824074073</v>
      </c>
      <c r="C1283">
        <v>550</v>
      </c>
      <c r="D1283">
        <v>0</v>
      </c>
      <c r="E1283">
        <v>0</v>
      </c>
      <c r="F1283">
        <v>550</v>
      </c>
      <c r="G1283">
        <v>1344.911499</v>
      </c>
      <c r="H1283">
        <v>1340.4460449000001</v>
      </c>
      <c r="I1283">
        <v>1324.5559082</v>
      </c>
      <c r="J1283">
        <v>1321.0211182</v>
      </c>
      <c r="K1283">
        <v>80</v>
      </c>
      <c r="L1283">
        <v>79.872642517000003</v>
      </c>
      <c r="M1283">
        <v>60</v>
      </c>
      <c r="N1283">
        <v>58.244014739999997</v>
      </c>
    </row>
    <row r="1284" spans="1:14" x14ac:dyDescent="0.25">
      <c r="A1284">
        <v>1485.1677299999999</v>
      </c>
      <c r="B1284" s="1">
        <f>DATE(2014,5,25) + TIME(4,1,31)</f>
        <v>41784.167719907404</v>
      </c>
      <c r="C1284">
        <v>550</v>
      </c>
      <c r="D1284">
        <v>0</v>
      </c>
      <c r="E1284">
        <v>0</v>
      </c>
      <c r="F1284">
        <v>550</v>
      </c>
      <c r="G1284">
        <v>1344.8994141000001</v>
      </c>
      <c r="H1284">
        <v>1340.4383545000001</v>
      </c>
      <c r="I1284">
        <v>1324.5465088000001</v>
      </c>
      <c r="J1284">
        <v>1321.0059814000001</v>
      </c>
      <c r="K1284">
        <v>80</v>
      </c>
      <c r="L1284">
        <v>79.873672485</v>
      </c>
      <c r="M1284">
        <v>60</v>
      </c>
      <c r="N1284">
        <v>58.191535950000002</v>
      </c>
    </row>
    <row r="1285" spans="1:14" x14ac:dyDescent="0.25">
      <c r="A1285">
        <v>1486.148056</v>
      </c>
      <c r="B1285" s="1">
        <f>DATE(2014,5,26) + TIME(3,33,12)</f>
        <v>41785.148055555554</v>
      </c>
      <c r="C1285">
        <v>550</v>
      </c>
      <c r="D1285">
        <v>0</v>
      </c>
      <c r="E1285">
        <v>0</v>
      </c>
      <c r="F1285">
        <v>550</v>
      </c>
      <c r="G1285">
        <v>1344.8870850000001</v>
      </c>
      <c r="H1285">
        <v>1340.4305420000001</v>
      </c>
      <c r="I1285">
        <v>1324.5366211</v>
      </c>
      <c r="J1285">
        <v>1320.9901123</v>
      </c>
      <c r="K1285">
        <v>80</v>
      </c>
      <c r="L1285">
        <v>79.874519348000007</v>
      </c>
      <c r="M1285">
        <v>60</v>
      </c>
      <c r="N1285">
        <v>58.137733459000003</v>
      </c>
    </row>
    <row r="1286" spans="1:14" x14ac:dyDescent="0.25">
      <c r="A1286">
        <v>1487.1674929999999</v>
      </c>
      <c r="B1286" s="1">
        <f>DATE(2014,5,27) + TIME(4,1,11)</f>
        <v>41786.167488425926</v>
      </c>
      <c r="C1286">
        <v>550</v>
      </c>
      <c r="D1286">
        <v>0</v>
      </c>
      <c r="E1286">
        <v>0</v>
      </c>
      <c r="F1286">
        <v>550</v>
      </c>
      <c r="G1286">
        <v>1344.8745117000001</v>
      </c>
      <c r="H1286">
        <v>1340.4226074000001</v>
      </c>
      <c r="I1286">
        <v>1324.5262451000001</v>
      </c>
      <c r="J1286">
        <v>1320.9736327999999</v>
      </c>
      <c r="K1286">
        <v>80</v>
      </c>
      <c r="L1286">
        <v>79.875228882000002</v>
      </c>
      <c r="M1286">
        <v>60</v>
      </c>
      <c r="N1286">
        <v>58.082481383999998</v>
      </c>
    </row>
    <row r="1287" spans="1:14" x14ac:dyDescent="0.25">
      <c r="A1287">
        <v>1488.2303119999999</v>
      </c>
      <c r="B1287" s="1">
        <f>DATE(2014,5,28) + TIME(5,31,38)</f>
        <v>41787.230300925927</v>
      </c>
      <c r="C1287">
        <v>550</v>
      </c>
      <c r="D1287">
        <v>0</v>
      </c>
      <c r="E1287">
        <v>0</v>
      </c>
      <c r="F1287">
        <v>550</v>
      </c>
      <c r="G1287">
        <v>1344.8614502</v>
      </c>
      <c r="H1287">
        <v>1340.4145507999999</v>
      </c>
      <c r="I1287">
        <v>1324.5153809000001</v>
      </c>
      <c r="J1287">
        <v>1320.9561768000001</v>
      </c>
      <c r="K1287">
        <v>80</v>
      </c>
      <c r="L1287">
        <v>79.875808715999995</v>
      </c>
      <c r="M1287">
        <v>60</v>
      </c>
      <c r="N1287">
        <v>58.025627135999997</v>
      </c>
    </row>
    <row r="1288" spans="1:14" x14ac:dyDescent="0.25">
      <c r="A1288">
        <v>1489.336114</v>
      </c>
      <c r="B1288" s="1">
        <f>DATE(2014,5,29) + TIME(8,4,0)</f>
        <v>41788.336111111108</v>
      </c>
      <c r="C1288">
        <v>550</v>
      </c>
      <c r="D1288">
        <v>0</v>
      </c>
      <c r="E1288">
        <v>0</v>
      </c>
      <c r="F1288">
        <v>550</v>
      </c>
      <c r="G1288">
        <v>1344.8481445</v>
      </c>
      <c r="H1288">
        <v>1340.40625</v>
      </c>
      <c r="I1288">
        <v>1324.5039062000001</v>
      </c>
      <c r="J1288">
        <v>1320.9377440999999</v>
      </c>
      <c r="K1288">
        <v>80</v>
      </c>
      <c r="L1288">
        <v>79.876296996999997</v>
      </c>
      <c r="M1288">
        <v>60</v>
      </c>
      <c r="N1288">
        <v>57.967224121000001</v>
      </c>
    </row>
    <row r="1289" spans="1:14" x14ac:dyDescent="0.25">
      <c r="A1289">
        <v>1490.452591</v>
      </c>
      <c r="B1289" s="1">
        <f>DATE(2014,5,30) + TIME(10,51,43)</f>
        <v>41789.452581018515</v>
      </c>
      <c r="C1289">
        <v>550</v>
      </c>
      <c r="D1289">
        <v>0</v>
      </c>
      <c r="E1289">
        <v>0</v>
      </c>
      <c r="F1289">
        <v>550</v>
      </c>
      <c r="G1289">
        <v>1344.8344727000001</v>
      </c>
      <c r="H1289">
        <v>1340.3977050999999</v>
      </c>
      <c r="I1289">
        <v>1324.4919434000001</v>
      </c>
      <c r="J1289">
        <v>1320.9185791</v>
      </c>
      <c r="K1289">
        <v>80</v>
      </c>
      <c r="L1289">
        <v>79.876686096</v>
      </c>
      <c r="M1289">
        <v>60</v>
      </c>
      <c r="N1289">
        <v>57.908611297999997</v>
      </c>
    </row>
    <row r="1290" spans="1:14" x14ac:dyDescent="0.25">
      <c r="A1290">
        <v>1491.5797480000001</v>
      </c>
      <c r="B1290" s="1">
        <f>DATE(2014,5,31) + TIME(13,54,50)</f>
        <v>41790.579745370371</v>
      </c>
      <c r="C1290">
        <v>550</v>
      </c>
      <c r="D1290">
        <v>0</v>
      </c>
      <c r="E1290">
        <v>0</v>
      </c>
      <c r="F1290">
        <v>550</v>
      </c>
      <c r="G1290">
        <v>1344.8210449000001</v>
      </c>
      <c r="H1290">
        <v>1340.3894043</v>
      </c>
      <c r="I1290">
        <v>1324.4796143000001</v>
      </c>
      <c r="J1290">
        <v>1320.8990478999999</v>
      </c>
      <c r="K1290">
        <v>80</v>
      </c>
      <c r="L1290">
        <v>79.876998900999993</v>
      </c>
      <c r="M1290">
        <v>60</v>
      </c>
      <c r="N1290">
        <v>57.849880218999999</v>
      </c>
    </row>
    <row r="1291" spans="1:14" x14ac:dyDescent="0.25">
      <c r="A1291">
        <v>1492</v>
      </c>
      <c r="B1291" s="1">
        <f>DATE(2014,6,1) + TIME(0,0,0)</f>
        <v>41791</v>
      </c>
      <c r="C1291">
        <v>550</v>
      </c>
      <c r="D1291">
        <v>0</v>
      </c>
      <c r="E1291">
        <v>0</v>
      </c>
      <c r="F1291">
        <v>550</v>
      </c>
      <c r="G1291">
        <v>1344.8081055</v>
      </c>
      <c r="H1291">
        <v>1340.3814697</v>
      </c>
      <c r="I1291">
        <v>1324.4681396000001</v>
      </c>
      <c r="J1291">
        <v>1320.8820800999999</v>
      </c>
      <c r="K1291">
        <v>80</v>
      </c>
      <c r="L1291">
        <v>79.877090453999998</v>
      </c>
      <c r="M1291">
        <v>60</v>
      </c>
      <c r="N1291">
        <v>57.824542999000002</v>
      </c>
    </row>
    <row r="1292" spans="1:14" x14ac:dyDescent="0.25">
      <c r="A1292">
        <v>1493.141216</v>
      </c>
      <c r="B1292" s="1">
        <f>DATE(2014,6,2) + TIME(3,23,21)</f>
        <v>41792.141215277778</v>
      </c>
      <c r="C1292">
        <v>550</v>
      </c>
      <c r="D1292">
        <v>0</v>
      </c>
      <c r="E1292">
        <v>0</v>
      </c>
      <c r="F1292">
        <v>550</v>
      </c>
      <c r="G1292">
        <v>1344.8028564000001</v>
      </c>
      <c r="H1292">
        <v>1340.3781738</v>
      </c>
      <c r="I1292">
        <v>1324.4620361</v>
      </c>
      <c r="J1292">
        <v>1320.8707274999999</v>
      </c>
      <c r="K1292">
        <v>80</v>
      </c>
      <c r="L1292">
        <v>79.877326964999995</v>
      </c>
      <c r="M1292">
        <v>60</v>
      </c>
      <c r="N1292">
        <v>57.766586304</v>
      </c>
    </row>
    <row r="1293" spans="1:14" x14ac:dyDescent="0.25">
      <c r="A1293">
        <v>1494.309798</v>
      </c>
      <c r="B1293" s="1">
        <f>DATE(2014,6,3) + TIME(7,26,6)</f>
        <v>41793.309791666667</v>
      </c>
      <c r="C1293">
        <v>550</v>
      </c>
      <c r="D1293">
        <v>0</v>
      </c>
      <c r="E1293">
        <v>0</v>
      </c>
      <c r="F1293">
        <v>550</v>
      </c>
      <c r="G1293">
        <v>1344.7896728999999</v>
      </c>
      <c r="H1293">
        <v>1340.3701172000001</v>
      </c>
      <c r="I1293">
        <v>1324.4493408000001</v>
      </c>
      <c r="J1293">
        <v>1320.8502197</v>
      </c>
      <c r="K1293">
        <v>80</v>
      </c>
      <c r="L1293">
        <v>79.877517699999999</v>
      </c>
      <c r="M1293">
        <v>60</v>
      </c>
      <c r="N1293">
        <v>57.707817077999998</v>
      </c>
    </row>
    <row r="1294" spans="1:14" x14ac:dyDescent="0.25">
      <c r="A1294">
        <v>1495.5025499999999</v>
      </c>
      <c r="B1294" s="1">
        <f>DATE(2014,6,4) + TIME(12,3,40)</f>
        <v>41794.502546296295</v>
      </c>
      <c r="C1294">
        <v>550</v>
      </c>
      <c r="D1294">
        <v>0</v>
      </c>
      <c r="E1294">
        <v>0</v>
      </c>
      <c r="F1294">
        <v>550</v>
      </c>
      <c r="G1294">
        <v>1344.7764893000001</v>
      </c>
      <c r="H1294">
        <v>1340.3619385</v>
      </c>
      <c r="I1294">
        <v>1324.4361572</v>
      </c>
      <c r="J1294">
        <v>1320.8289795000001</v>
      </c>
      <c r="K1294">
        <v>80</v>
      </c>
      <c r="L1294">
        <v>79.877670288000004</v>
      </c>
      <c r="M1294">
        <v>60</v>
      </c>
      <c r="N1294">
        <v>57.648414612000003</v>
      </c>
    </row>
    <row r="1295" spans="1:14" x14ac:dyDescent="0.25">
      <c r="A1295">
        <v>1496.723553</v>
      </c>
      <c r="B1295" s="1">
        <f>DATE(2014,6,5) + TIME(17,21,54)</f>
        <v>41795.723541666666</v>
      </c>
      <c r="C1295">
        <v>550</v>
      </c>
      <c r="D1295">
        <v>0</v>
      </c>
      <c r="E1295">
        <v>0</v>
      </c>
      <c r="F1295">
        <v>550</v>
      </c>
      <c r="G1295">
        <v>1344.7633057</v>
      </c>
      <c r="H1295">
        <v>1340.3538818</v>
      </c>
      <c r="I1295">
        <v>1324.4226074000001</v>
      </c>
      <c r="J1295">
        <v>1320.8071289</v>
      </c>
      <c r="K1295">
        <v>80</v>
      </c>
      <c r="L1295">
        <v>79.877792357999994</v>
      </c>
      <c r="M1295">
        <v>60</v>
      </c>
      <c r="N1295">
        <v>57.588283539000003</v>
      </c>
    </row>
    <row r="1296" spans="1:14" x14ac:dyDescent="0.25">
      <c r="A1296">
        <v>1497.9770490000001</v>
      </c>
      <c r="B1296" s="1">
        <f>DATE(2014,6,6) + TIME(23,26,57)</f>
        <v>41796.977048611108</v>
      </c>
      <c r="C1296">
        <v>550</v>
      </c>
      <c r="D1296">
        <v>0</v>
      </c>
      <c r="E1296">
        <v>0</v>
      </c>
      <c r="F1296">
        <v>550</v>
      </c>
      <c r="G1296">
        <v>1344.75</v>
      </c>
      <c r="H1296">
        <v>1340.3458252</v>
      </c>
      <c r="I1296">
        <v>1324.4085693</v>
      </c>
      <c r="J1296">
        <v>1320.7845459</v>
      </c>
      <c r="K1296">
        <v>80</v>
      </c>
      <c r="L1296">
        <v>79.877891540999997</v>
      </c>
      <c r="M1296">
        <v>60</v>
      </c>
      <c r="N1296">
        <v>57.527320862000003</v>
      </c>
    </row>
    <row r="1297" spans="1:14" x14ac:dyDescent="0.25">
      <c r="A1297">
        <v>1499.2676899999999</v>
      </c>
      <c r="B1297" s="1">
        <f>DATE(2014,6,8) + TIME(6,25,28)</f>
        <v>41798.267685185187</v>
      </c>
      <c r="C1297">
        <v>550</v>
      </c>
      <c r="D1297">
        <v>0</v>
      </c>
      <c r="E1297">
        <v>0</v>
      </c>
      <c r="F1297">
        <v>550</v>
      </c>
      <c r="G1297">
        <v>1344.7366943</v>
      </c>
      <c r="H1297">
        <v>1340.3377685999999</v>
      </c>
      <c r="I1297">
        <v>1324.394043</v>
      </c>
      <c r="J1297">
        <v>1320.7612305</v>
      </c>
      <c r="K1297">
        <v>80</v>
      </c>
      <c r="L1297">
        <v>79.877967834000003</v>
      </c>
      <c r="M1297">
        <v>60</v>
      </c>
      <c r="N1297">
        <v>57.465408324999999</v>
      </c>
    </row>
    <row r="1298" spans="1:14" x14ac:dyDescent="0.25">
      <c r="A1298">
        <v>1500.6006299999999</v>
      </c>
      <c r="B1298" s="1">
        <f>DATE(2014,6,9) + TIME(14,24,54)</f>
        <v>41799.600624999999</v>
      </c>
      <c r="C1298">
        <v>550</v>
      </c>
      <c r="D1298">
        <v>0</v>
      </c>
      <c r="E1298">
        <v>0</v>
      </c>
      <c r="F1298">
        <v>550</v>
      </c>
      <c r="G1298">
        <v>1344.7232666</v>
      </c>
      <c r="H1298">
        <v>1340.3295897999999</v>
      </c>
      <c r="I1298">
        <v>1324.3791504000001</v>
      </c>
      <c r="J1298">
        <v>1320.7369385</v>
      </c>
      <c r="K1298">
        <v>80</v>
      </c>
      <c r="L1298">
        <v>79.878021239999995</v>
      </c>
      <c r="M1298">
        <v>60</v>
      </c>
      <c r="N1298">
        <v>57.402404785000002</v>
      </c>
    </row>
    <row r="1299" spans="1:14" x14ac:dyDescent="0.25">
      <c r="A1299">
        <v>1501.973381</v>
      </c>
      <c r="B1299" s="1">
        <f>DATE(2014,6,10) + TIME(23,21,40)</f>
        <v>41800.973379629628</v>
      </c>
      <c r="C1299">
        <v>550</v>
      </c>
      <c r="D1299">
        <v>0</v>
      </c>
      <c r="E1299">
        <v>0</v>
      </c>
      <c r="F1299">
        <v>550</v>
      </c>
      <c r="G1299">
        <v>1344.7097168</v>
      </c>
      <c r="H1299">
        <v>1340.3214111</v>
      </c>
      <c r="I1299">
        <v>1324.3635254000001</v>
      </c>
      <c r="J1299">
        <v>1320.7116699000001</v>
      </c>
      <c r="K1299">
        <v>80</v>
      </c>
      <c r="L1299">
        <v>79.878067017000006</v>
      </c>
      <c r="M1299">
        <v>60</v>
      </c>
      <c r="N1299">
        <v>57.338436127000001</v>
      </c>
    </row>
    <row r="1300" spans="1:14" x14ac:dyDescent="0.25">
      <c r="A1300">
        <v>1503.3695070000001</v>
      </c>
      <c r="B1300" s="1">
        <f>DATE(2014,6,12) + TIME(8,52,5)</f>
        <v>41802.369502314818</v>
      </c>
      <c r="C1300">
        <v>550</v>
      </c>
      <c r="D1300">
        <v>0</v>
      </c>
      <c r="E1300">
        <v>0</v>
      </c>
      <c r="F1300">
        <v>550</v>
      </c>
      <c r="G1300">
        <v>1344.6961670000001</v>
      </c>
      <c r="H1300">
        <v>1340.3132324000001</v>
      </c>
      <c r="I1300">
        <v>1324.3475341999999</v>
      </c>
      <c r="J1300">
        <v>1320.6856689000001</v>
      </c>
      <c r="K1300">
        <v>80</v>
      </c>
      <c r="L1300">
        <v>79.878097534000005</v>
      </c>
      <c r="M1300">
        <v>60</v>
      </c>
      <c r="N1300">
        <v>57.274112701</v>
      </c>
    </row>
    <row r="1301" spans="1:14" x14ac:dyDescent="0.25">
      <c r="A1301">
        <v>1504.7931470000001</v>
      </c>
      <c r="B1301" s="1">
        <f>DATE(2014,6,13) + TIME(19,2,7)</f>
        <v>41803.793136574073</v>
      </c>
      <c r="C1301">
        <v>550</v>
      </c>
      <c r="D1301">
        <v>0</v>
      </c>
      <c r="E1301">
        <v>0</v>
      </c>
      <c r="F1301">
        <v>550</v>
      </c>
      <c r="G1301">
        <v>1344.6826172000001</v>
      </c>
      <c r="H1301">
        <v>1340.3050536999999</v>
      </c>
      <c r="I1301">
        <v>1324.3310547000001</v>
      </c>
      <c r="J1301">
        <v>1320.6589355000001</v>
      </c>
      <c r="K1301">
        <v>80</v>
      </c>
      <c r="L1301">
        <v>79.878112793</v>
      </c>
      <c r="M1301">
        <v>60</v>
      </c>
      <c r="N1301">
        <v>57.209381104000002</v>
      </c>
    </row>
    <row r="1302" spans="1:14" x14ac:dyDescent="0.25">
      <c r="A1302">
        <v>1506.2509130000001</v>
      </c>
      <c r="B1302" s="1">
        <f>DATE(2014,6,15) + TIME(6,1,18)</f>
        <v>41805.250902777778</v>
      </c>
      <c r="C1302">
        <v>550</v>
      </c>
      <c r="D1302">
        <v>0</v>
      </c>
      <c r="E1302">
        <v>0</v>
      </c>
      <c r="F1302">
        <v>550</v>
      </c>
      <c r="G1302">
        <v>1344.6690673999999</v>
      </c>
      <c r="H1302">
        <v>1340.296875</v>
      </c>
      <c r="I1302">
        <v>1324.3142089999999</v>
      </c>
      <c r="J1302">
        <v>1320.6314697</v>
      </c>
      <c r="K1302">
        <v>80</v>
      </c>
      <c r="L1302">
        <v>79.878120421999995</v>
      </c>
      <c r="M1302">
        <v>60</v>
      </c>
      <c r="N1302">
        <v>57.144104003999999</v>
      </c>
    </row>
    <row r="1303" spans="1:14" x14ac:dyDescent="0.25">
      <c r="A1303">
        <v>1507.7475059999999</v>
      </c>
      <c r="B1303" s="1">
        <f>DATE(2014,6,16) + TIME(17,56,24)</f>
        <v>41806.747499999998</v>
      </c>
      <c r="C1303">
        <v>550</v>
      </c>
      <c r="D1303">
        <v>0</v>
      </c>
      <c r="E1303">
        <v>0</v>
      </c>
      <c r="F1303">
        <v>550</v>
      </c>
      <c r="G1303">
        <v>1344.6555175999999</v>
      </c>
      <c r="H1303">
        <v>1340.2888184000001</v>
      </c>
      <c r="I1303">
        <v>1324.2969971</v>
      </c>
      <c r="J1303">
        <v>1320.6032714999999</v>
      </c>
      <c r="K1303">
        <v>80</v>
      </c>
      <c r="L1303">
        <v>79.878120421999995</v>
      </c>
      <c r="M1303">
        <v>60</v>
      </c>
      <c r="N1303">
        <v>57.078186035000002</v>
      </c>
    </row>
    <row r="1304" spans="1:14" x14ac:dyDescent="0.25">
      <c r="A1304">
        <v>1509.288211</v>
      </c>
      <c r="B1304" s="1">
        <f>DATE(2014,6,18) + TIME(6,55,1)</f>
        <v>41808.288206018522</v>
      </c>
      <c r="C1304">
        <v>550</v>
      </c>
      <c r="D1304">
        <v>0</v>
      </c>
      <c r="E1304">
        <v>0</v>
      </c>
      <c r="F1304">
        <v>550</v>
      </c>
      <c r="G1304">
        <v>1344.6419678</v>
      </c>
      <c r="H1304">
        <v>1340.2806396000001</v>
      </c>
      <c r="I1304">
        <v>1324.2791748</v>
      </c>
      <c r="J1304">
        <v>1320.5740966999999</v>
      </c>
      <c r="K1304">
        <v>80</v>
      </c>
      <c r="L1304">
        <v>79.878112793</v>
      </c>
      <c r="M1304">
        <v>60</v>
      </c>
      <c r="N1304">
        <v>57.011520386000001</v>
      </c>
    </row>
    <row r="1305" spans="1:14" x14ac:dyDescent="0.25">
      <c r="A1305">
        <v>1510.878937</v>
      </c>
      <c r="B1305" s="1">
        <f>DATE(2014,6,19) + TIME(21,5,40)</f>
        <v>41809.878935185188</v>
      </c>
      <c r="C1305">
        <v>550</v>
      </c>
      <c r="D1305">
        <v>0</v>
      </c>
      <c r="E1305">
        <v>0</v>
      </c>
      <c r="F1305">
        <v>550</v>
      </c>
      <c r="G1305">
        <v>1344.6282959</v>
      </c>
      <c r="H1305">
        <v>1340.2724608999999</v>
      </c>
      <c r="I1305">
        <v>1324.2608643000001</v>
      </c>
      <c r="J1305">
        <v>1320.5439452999999</v>
      </c>
      <c r="K1305">
        <v>80</v>
      </c>
      <c r="L1305">
        <v>79.878097534000005</v>
      </c>
      <c r="M1305">
        <v>60</v>
      </c>
      <c r="N1305">
        <v>56.9439888</v>
      </c>
    </row>
    <row r="1306" spans="1:14" x14ac:dyDescent="0.25">
      <c r="A1306">
        <v>1512.526306</v>
      </c>
      <c r="B1306" s="1">
        <f>DATE(2014,6,21) + TIME(12,37,52)</f>
        <v>41811.526296296295</v>
      </c>
      <c r="C1306">
        <v>550</v>
      </c>
      <c r="D1306">
        <v>0</v>
      </c>
      <c r="E1306">
        <v>0</v>
      </c>
      <c r="F1306">
        <v>550</v>
      </c>
      <c r="G1306">
        <v>1344.6145019999999</v>
      </c>
      <c r="H1306">
        <v>1340.2642822</v>
      </c>
      <c r="I1306">
        <v>1324.2418213000001</v>
      </c>
      <c r="J1306">
        <v>1320.5128173999999</v>
      </c>
      <c r="K1306">
        <v>80</v>
      </c>
      <c r="L1306">
        <v>79.878089904999996</v>
      </c>
      <c r="M1306">
        <v>60</v>
      </c>
      <c r="N1306">
        <v>56.875457763999997</v>
      </c>
    </row>
    <row r="1307" spans="1:14" x14ac:dyDescent="0.25">
      <c r="A1307">
        <v>1514.237758</v>
      </c>
      <c r="B1307" s="1">
        <f>DATE(2014,6,23) + TIME(5,42,22)</f>
        <v>41813.237754629627</v>
      </c>
      <c r="C1307">
        <v>550</v>
      </c>
      <c r="D1307">
        <v>0</v>
      </c>
      <c r="E1307">
        <v>0</v>
      </c>
      <c r="F1307">
        <v>550</v>
      </c>
      <c r="G1307">
        <v>1344.6005858999999</v>
      </c>
      <c r="H1307">
        <v>1340.2558594</v>
      </c>
      <c r="I1307">
        <v>1324.222168</v>
      </c>
      <c r="J1307">
        <v>1320.4804687999999</v>
      </c>
      <c r="K1307">
        <v>80</v>
      </c>
      <c r="L1307">
        <v>79.878067017000006</v>
      </c>
      <c r="M1307">
        <v>60</v>
      </c>
      <c r="N1307">
        <v>56.805789947999997</v>
      </c>
    </row>
    <row r="1308" spans="1:14" x14ac:dyDescent="0.25">
      <c r="A1308">
        <v>1515.9802480000001</v>
      </c>
      <c r="B1308" s="1">
        <f>DATE(2014,6,24) + TIME(23,31,33)</f>
        <v>41814.980243055557</v>
      </c>
      <c r="C1308">
        <v>550</v>
      </c>
      <c r="D1308">
        <v>0</v>
      </c>
      <c r="E1308">
        <v>0</v>
      </c>
      <c r="F1308">
        <v>550</v>
      </c>
      <c r="G1308">
        <v>1344.5863036999999</v>
      </c>
      <c r="H1308">
        <v>1340.2474365</v>
      </c>
      <c r="I1308">
        <v>1324.2019043</v>
      </c>
      <c r="J1308">
        <v>1320.4468993999999</v>
      </c>
      <c r="K1308">
        <v>80</v>
      </c>
      <c r="L1308">
        <v>79.878051757999998</v>
      </c>
      <c r="M1308">
        <v>60</v>
      </c>
      <c r="N1308">
        <v>56.735961914000001</v>
      </c>
    </row>
    <row r="1309" spans="1:14" x14ac:dyDescent="0.25">
      <c r="A1309">
        <v>1517.7557139999999</v>
      </c>
      <c r="B1309" s="1">
        <f>DATE(2014,6,26) + TIME(18,8,13)</f>
        <v>41816.755706018521</v>
      </c>
      <c r="C1309">
        <v>550</v>
      </c>
      <c r="D1309">
        <v>0</v>
      </c>
      <c r="E1309">
        <v>0</v>
      </c>
      <c r="F1309">
        <v>550</v>
      </c>
      <c r="G1309">
        <v>1344.5722656</v>
      </c>
      <c r="H1309">
        <v>1340.2390137</v>
      </c>
      <c r="I1309">
        <v>1324.1811522999999</v>
      </c>
      <c r="J1309">
        <v>1320.4125977000001</v>
      </c>
      <c r="K1309">
        <v>80</v>
      </c>
      <c r="L1309">
        <v>79.878028869999994</v>
      </c>
      <c r="M1309">
        <v>60</v>
      </c>
      <c r="N1309">
        <v>56.666107177999997</v>
      </c>
    </row>
    <row r="1310" spans="1:14" x14ac:dyDescent="0.25">
      <c r="A1310">
        <v>1519.571117</v>
      </c>
      <c r="B1310" s="1">
        <f>DATE(2014,6,28) + TIME(13,42,24)</f>
        <v>41818.571111111109</v>
      </c>
      <c r="C1310">
        <v>550</v>
      </c>
      <c r="D1310">
        <v>0</v>
      </c>
      <c r="E1310">
        <v>0</v>
      </c>
      <c r="F1310">
        <v>550</v>
      </c>
      <c r="G1310">
        <v>1344.5582274999999</v>
      </c>
      <c r="H1310">
        <v>1340.2307129000001</v>
      </c>
      <c r="I1310">
        <v>1324.1600341999999</v>
      </c>
      <c r="J1310">
        <v>1320.3775635</v>
      </c>
      <c r="K1310">
        <v>80</v>
      </c>
      <c r="L1310">
        <v>79.878005981000001</v>
      </c>
      <c r="M1310">
        <v>60</v>
      </c>
      <c r="N1310">
        <v>56.596187592</v>
      </c>
    </row>
    <row r="1311" spans="1:14" x14ac:dyDescent="0.25">
      <c r="A1311">
        <v>1521.4338439999999</v>
      </c>
      <c r="B1311" s="1">
        <f>DATE(2014,6,30) + TIME(10,24,44)</f>
        <v>41820.433842592596</v>
      </c>
      <c r="C1311">
        <v>550</v>
      </c>
      <c r="D1311">
        <v>0</v>
      </c>
      <c r="E1311">
        <v>0</v>
      </c>
      <c r="F1311">
        <v>550</v>
      </c>
      <c r="G1311">
        <v>1344.5441894999999</v>
      </c>
      <c r="H1311">
        <v>1340.2224120999999</v>
      </c>
      <c r="I1311">
        <v>1324.1385498</v>
      </c>
      <c r="J1311">
        <v>1320.3416748</v>
      </c>
      <c r="K1311">
        <v>80</v>
      </c>
      <c r="L1311">
        <v>79.877983092999997</v>
      </c>
      <c r="M1311">
        <v>60</v>
      </c>
      <c r="N1311">
        <v>56.526157378999997</v>
      </c>
    </row>
    <row r="1312" spans="1:14" x14ac:dyDescent="0.25">
      <c r="A1312">
        <v>1522</v>
      </c>
      <c r="B1312" s="1">
        <f>DATE(2014,7,1) + TIME(0,0,0)</f>
        <v>41821</v>
      </c>
      <c r="C1312">
        <v>550</v>
      </c>
      <c r="D1312">
        <v>0</v>
      </c>
      <c r="E1312">
        <v>0</v>
      </c>
      <c r="F1312">
        <v>550</v>
      </c>
      <c r="G1312">
        <v>1344.5299072</v>
      </c>
      <c r="H1312">
        <v>1340.2138672000001</v>
      </c>
      <c r="I1312">
        <v>1324.1195068</v>
      </c>
      <c r="J1312">
        <v>1320.3117675999999</v>
      </c>
      <c r="K1312">
        <v>80</v>
      </c>
      <c r="L1312">
        <v>79.877952575999998</v>
      </c>
      <c r="M1312">
        <v>60</v>
      </c>
      <c r="N1312">
        <v>56.498943328999999</v>
      </c>
    </row>
    <row r="1313" spans="1:14" x14ac:dyDescent="0.25">
      <c r="A1313">
        <v>1523.918093</v>
      </c>
      <c r="B1313" s="1">
        <f>DATE(2014,7,2) + TIME(22,2,3)</f>
        <v>41822.918090277781</v>
      </c>
      <c r="C1313">
        <v>550</v>
      </c>
      <c r="D1313">
        <v>0</v>
      </c>
      <c r="E1313">
        <v>0</v>
      </c>
      <c r="F1313">
        <v>550</v>
      </c>
      <c r="G1313">
        <v>1344.5258789</v>
      </c>
      <c r="H1313">
        <v>1340.2114257999999</v>
      </c>
      <c r="I1313">
        <v>1324.1088867000001</v>
      </c>
      <c r="J1313">
        <v>1320.2918701000001</v>
      </c>
      <c r="K1313">
        <v>80</v>
      </c>
      <c r="L1313">
        <v>79.877944946</v>
      </c>
      <c r="M1313">
        <v>60</v>
      </c>
      <c r="N1313">
        <v>56.431278229</v>
      </c>
    </row>
    <row r="1314" spans="1:14" x14ac:dyDescent="0.25">
      <c r="A1314">
        <v>1525.902327</v>
      </c>
      <c r="B1314" s="1">
        <f>DATE(2014,7,4) + TIME(21,39,21)</f>
        <v>41824.902326388888</v>
      </c>
      <c r="C1314">
        <v>550</v>
      </c>
      <c r="D1314">
        <v>0</v>
      </c>
      <c r="E1314">
        <v>0</v>
      </c>
      <c r="F1314">
        <v>550</v>
      </c>
      <c r="G1314">
        <v>1344.5117187999999</v>
      </c>
      <c r="H1314">
        <v>1340.203125</v>
      </c>
      <c r="I1314">
        <v>1324.0866699000001</v>
      </c>
      <c r="J1314">
        <v>1320.2546387</v>
      </c>
      <c r="K1314">
        <v>80</v>
      </c>
      <c r="L1314">
        <v>79.877929687999995</v>
      </c>
      <c r="M1314">
        <v>60</v>
      </c>
      <c r="N1314">
        <v>56.362693786999998</v>
      </c>
    </row>
    <row r="1315" spans="1:14" x14ac:dyDescent="0.25">
      <c r="A1315">
        <v>1527.911343</v>
      </c>
      <c r="B1315" s="1">
        <f>DATE(2014,7,6) + TIME(21,52,20)</f>
        <v>41826.91134259259</v>
      </c>
      <c r="C1315">
        <v>550</v>
      </c>
      <c r="D1315">
        <v>0</v>
      </c>
      <c r="E1315">
        <v>0</v>
      </c>
      <c r="F1315">
        <v>550</v>
      </c>
      <c r="G1315">
        <v>1344.4974365</v>
      </c>
      <c r="H1315">
        <v>1340.1945800999999</v>
      </c>
      <c r="I1315">
        <v>1324.0637207</v>
      </c>
      <c r="J1315">
        <v>1320.2161865</v>
      </c>
      <c r="K1315">
        <v>80</v>
      </c>
      <c r="L1315">
        <v>79.877914429</v>
      </c>
      <c r="M1315">
        <v>60</v>
      </c>
      <c r="N1315">
        <v>56.294441223</v>
      </c>
    </row>
    <row r="1316" spans="1:14" x14ac:dyDescent="0.25">
      <c r="A1316">
        <v>1529.9532850000001</v>
      </c>
      <c r="B1316" s="1">
        <f>DATE(2014,7,8) + TIME(22,52,43)</f>
        <v>41828.953275462962</v>
      </c>
      <c r="C1316">
        <v>550</v>
      </c>
      <c r="D1316">
        <v>0</v>
      </c>
      <c r="E1316">
        <v>0</v>
      </c>
      <c r="F1316">
        <v>550</v>
      </c>
      <c r="G1316">
        <v>1344.4832764</v>
      </c>
      <c r="H1316">
        <v>1340.1861572</v>
      </c>
      <c r="I1316">
        <v>1324.0405272999999</v>
      </c>
      <c r="J1316">
        <v>1320.1770019999999</v>
      </c>
      <c r="K1316">
        <v>80</v>
      </c>
      <c r="L1316">
        <v>79.877899170000006</v>
      </c>
      <c r="M1316">
        <v>60</v>
      </c>
      <c r="N1316">
        <v>56.226779938</v>
      </c>
    </row>
    <row r="1317" spans="1:14" x14ac:dyDescent="0.25">
      <c r="A1317">
        <v>1532.034952</v>
      </c>
      <c r="B1317" s="1">
        <f>DATE(2014,7,11) + TIME(0,50,19)</f>
        <v>41831.034942129627</v>
      </c>
      <c r="C1317">
        <v>550</v>
      </c>
      <c r="D1317">
        <v>0</v>
      </c>
      <c r="E1317">
        <v>0</v>
      </c>
      <c r="F1317">
        <v>550</v>
      </c>
      <c r="G1317">
        <v>1344.4692382999999</v>
      </c>
      <c r="H1317">
        <v>1340.1778564000001</v>
      </c>
      <c r="I1317">
        <v>1324.0169678</v>
      </c>
      <c r="J1317">
        <v>1320.137207</v>
      </c>
      <c r="K1317">
        <v>80</v>
      </c>
      <c r="L1317">
        <v>79.877876282000003</v>
      </c>
      <c r="M1317">
        <v>60</v>
      </c>
      <c r="N1317">
        <v>56.159889221</v>
      </c>
    </row>
    <row r="1318" spans="1:14" x14ac:dyDescent="0.25">
      <c r="A1318">
        <v>1534.1637370000001</v>
      </c>
      <c r="B1318" s="1">
        <f>DATE(2014,7,13) + TIME(3,55,46)</f>
        <v>41833.163726851853</v>
      </c>
      <c r="C1318">
        <v>550</v>
      </c>
      <c r="D1318">
        <v>0</v>
      </c>
      <c r="E1318">
        <v>0</v>
      </c>
      <c r="F1318">
        <v>550</v>
      </c>
      <c r="G1318">
        <v>1344.4550781</v>
      </c>
      <c r="H1318">
        <v>1340.1694336</v>
      </c>
      <c r="I1318">
        <v>1323.9932861</v>
      </c>
      <c r="J1318">
        <v>1320.0968018000001</v>
      </c>
      <c r="K1318">
        <v>80</v>
      </c>
      <c r="L1318">
        <v>79.877861022999994</v>
      </c>
      <c r="M1318">
        <v>60</v>
      </c>
      <c r="N1318">
        <v>56.093906402999998</v>
      </c>
    </row>
    <row r="1319" spans="1:14" x14ac:dyDescent="0.25">
      <c r="A1319">
        <v>1536.3477310000001</v>
      </c>
      <c r="B1319" s="1">
        <f>DATE(2014,7,15) + TIME(8,20,43)</f>
        <v>41835.347719907404</v>
      </c>
      <c r="C1319">
        <v>550</v>
      </c>
      <c r="D1319">
        <v>0</v>
      </c>
      <c r="E1319">
        <v>0</v>
      </c>
      <c r="F1319">
        <v>550</v>
      </c>
      <c r="G1319">
        <v>1344.4410399999999</v>
      </c>
      <c r="H1319">
        <v>1340.1610106999999</v>
      </c>
      <c r="I1319">
        <v>1323.9691161999999</v>
      </c>
      <c r="J1319">
        <v>1320.0556641000001</v>
      </c>
      <c r="K1319">
        <v>80</v>
      </c>
      <c r="L1319">
        <v>79.877853393999999</v>
      </c>
      <c r="M1319">
        <v>60</v>
      </c>
      <c r="N1319">
        <v>56.028938293000003</v>
      </c>
    </row>
    <row r="1320" spans="1:14" x14ac:dyDescent="0.25">
      <c r="A1320">
        <v>1538.5957490000001</v>
      </c>
      <c r="B1320" s="1">
        <f>DATE(2014,7,17) + TIME(14,17,52)</f>
        <v>41837.59574074074</v>
      </c>
      <c r="C1320">
        <v>550</v>
      </c>
      <c r="D1320">
        <v>0</v>
      </c>
      <c r="E1320">
        <v>0</v>
      </c>
      <c r="F1320">
        <v>550</v>
      </c>
      <c r="G1320">
        <v>1344.4268798999999</v>
      </c>
      <c r="H1320">
        <v>1340.1525879000001</v>
      </c>
      <c r="I1320">
        <v>1323.9445800999999</v>
      </c>
      <c r="J1320">
        <v>1320.0136719</v>
      </c>
      <c r="K1320">
        <v>80</v>
      </c>
      <c r="L1320">
        <v>79.877838135000005</v>
      </c>
      <c r="M1320">
        <v>60</v>
      </c>
      <c r="N1320">
        <v>55.965106964</v>
      </c>
    </row>
    <row r="1321" spans="1:14" x14ac:dyDescent="0.25">
      <c r="A1321">
        <v>1540.917606</v>
      </c>
      <c r="B1321" s="1">
        <f>DATE(2014,7,19) + TIME(22,1,21)</f>
        <v>41839.917604166665</v>
      </c>
      <c r="C1321">
        <v>550</v>
      </c>
      <c r="D1321">
        <v>0</v>
      </c>
      <c r="E1321">
        <v>0</v>
      </c>
      <c r="F1321">
        <v>550</v>
      </c>
      <c r="G1321">
        <v>1344.4125977000001</v>
      </c>
      <c r="H1321">
        <v>1340.144043</v>
      </c>
      <c r="I1321">
        <v>1323.9197998</v>
      </c>
      <c r="J1321">
        <v>1319.9708252</v>
      </c>
      <c r="K1321">
        <v>80</v>
      </c>
      <c r="L1321">
        <v>79.877830505000006</v>
      </c>
      <c r="M1321">
        <v>60</v>
      </c>
      <c r="N1321">
        <v>55.902553558000001</v>
      </c>
    </row>
    <row r="1322" spans="1:14" x14ac:dyDescent="0.25">
      <c r="A1322">
        <v>1543.3243399999999</v>
      </c>
      <c r="B1322" s="1">
        <f>DATE(2014,7,22) + TIME(7,47,2)</f>
        <v>41842.324328703704</v>
      </c>
      <c r="C1322">
        <v>550</v>
      </c>
      <c r="D1322">
        <v>0</v>
      </c>
      <c r="E1322">
        <v>0</v>
      </c>
      <c r="F1322">
        <v>550</v>
      </c>
      <c r="G1322">
        <v>1344.3980713000001</v>
      </c>
      <c r="H1322">
        <v>1340.1354980000001</v>
      </c>
      <c r="I1322">
        <v>1323.8944091999999</v>
      </c>
      <c r="J1322">
        <v>1319.927124</v>
      </c>
      <c r="K1322">
        <v>80</v>
      </c>
      <c r="L1322">
        <v>79.877830505000006</v>
      </c>
      <c r="M1322">
        <v>60</v>
      </c>
      <c r="N1322">
        <v>55.841476440000001</v>
      </c>
    </row>
    <row r="1323" spans="1:14" x14ac:dyDescent="0.25">
      <c r="A1323">
        <v>1545.784523</v>
      </c>
      <c r="B1323" s="1">
        <f>DATE(2014,7,24) + TIME(18,49,42)</f>
        <v>41844.784513888888</v>
      </c>
      <c r="C1323">
        <v>550</v>
      </c>
      <c r="D1323">
        <v>0</v>
      </c>
      <c r="E1323">
        <v>0</v>
      </c>
      <c r="F1323">
        <v>550</v>
      </c>
      <c r="G1323">
        <v>1344.3833007999999</v>
      </c>
      <c r="H1323">
        <v>1340.1265868999999</v>
      </c>
      <c r="I1323">
        <v>1323.8686522999999</v>
      </c>
      <c r="J1323">
        <v>1319.8824463000001</v>
      </c>
      <c r="K1323">
        <v>80</v>
      </c>
      <c r="L1323">
        <v>79.877822875999996</v>
      </c>
      <c r="M1323">
        <v>60</v>
      </c>
      <c r="N1323">
        <v>55.782745361000003</v>
      </c>
    </row>
    <row r="1324" spans="1:14" x14ac:dyDescent="0.25">
      <c r="A1324">
        <v>1548.270925</v>
      </c>
      <c r="B1324" s="1">
        <f>DATE(2014,7,27) + TIME(6,30,7)</f>
        <v>41847.270914351851</v>
      </c>
      <c r="C1324">
        <v>550</v>
      </c>
      <c r="D1324">
        <v>0</v>
      </c>
      <c r="E1324">
        <v>0</v>
      </c>
      <c r="F1324">
        <v>550</v>
      </c>
      <c r="G1324">
        <v>1344.3685303</v>
      </c>
      <c r="H1324">
        <v>1340.1177978999999</v>
      </c>
      <c r="I1324">
        <v>1323.8427733999999</v>
      </c>
      <c r="J1324">
        <v>1319.8372803</v>
      </c>
      <c r="K1324">
        <v>80</v>
      </c>
      <c r="L1324">
        <v>79.877822875999996</v>
      </c>
      <c r="M1324">
        <v>60</v>
      </c>
      <c r="N1324">
        <v>55.727264404000003</v>
      </c>
    </row>
    <row r="1325" spans="1:14" x14ac:dyDescent="0.25">
      <c r="A1325">
        <v>1550.7963729999999</v>
      </c>
      <c r="B1325" s="1">
        <f>DATE(2014,7,29) + TIME(19,6,46)</f>
        <v>41849.796365740738</v>
      </c>
      <c r="C1325">
        <v>550</v>
      </c>
      <c r="D1325">
        <v>0</v>
      </c>
      <c r="E1325">
        <v>0</v>
      </c>
      <c r="F1325">
        <v>550</v>
      </c>
      <c r="G1325">
        <v>1344.3540039</v>
      </c>
      <c r="H1325">
        <v>1340.1090088000001</v>
      </c>
      <c r="I1325">
        <v>1323.8170166</v>
      </c>
      <c r="J1325">
        <v>1319.7922363</v>
      </c>
      <c r="K1325">
        <v>80</v>
      </c>
      <c r="L1325">
        <v>79.877822875999996</v>
      </c>
      <c r="M1325">
        <v>60</v>
      </c>
      <c r="N1325">
        <v>55.675411224000001</v>
      </c>
    </row>
    <row r="1326" spans="1:14" x14ac:dyDescent="0.25">
      <c r="A1326">
        <v>1553</v>
      </c>
      <c r="B1326" s="1">
        <f>DATE(2014,8,1) + TIME(0,0,0)</f>
        <v>41852</v>
      </c>
      <c r="C1326">
        <v>550</v>
      </c>
      <c r="D1326">
        <v>0</v>
      </c>
      <c r="E1326">
        <v>0</v>
      </c>
      <c r="F1326">
        <v>550</v>
      </c>
      <c r="G1326">
        <v>1344.3393555</v>
      </c>
      <c r="H1326">
        <v>1340.1002197</v>
      </c>
      <c r="I1326">
        <v>1323.7919922000001</v>
      </c>
      <c r="J1326">
        <v>1319.7484131000001</v>
      </c>
      <c r="K1326">
        <v>80</v>
      </c>
      <c r="L1326">
        <v>79.877815247000001</v>
      </c>
      <c r="M1326">
        <v>60</v>
      </c>
      <c r="N1326">
        <v>55.631858825999998</v>
      </c>
    </row>
    <row r="1327" spans="1:14" x14ac:dyDescent="0.25">
      <c r="A1327">
        <v>1555.5730470000001</v>
      </c>
      <c r="B1327" s="1">
        <f>DATE(2014,8,3) + TIME(13,45,11)</f>
        <v>41854.57304398148</v>
      </c>
      <c r="C1327">
        <v>550</v>
      </c>
      <c r="D1327">
        <v>0</v>
      </c>
      <c r="E1327">
        <v>0</v>
      </c>
      <c r="F1327">
        <v>550</v>
      </c>
      <c r="G1327">
        <v>1344.3269043</v>
      </c>
      <c r="H1327">
        <v>1340.0926514</v>
      </c>
      <c r="I1327">
        <v>1323.7687988</v>
      </c>
      <c r="J1327">
        <v>1319.7072754000001</v>
      </c>
      <c r="K1327">
        <v>80</v>
      </c>
      <c r="L1327">
        <v>79.877822875999996</v>
      </c>
      <c r="M1327">
        <v>60</v>
      </c>
      <c r="N1327">
        <v>55.589401244999998</v>
      </c>
    </row>
    <row r="1328" spans="1:14" x14ac:dyDescent="0.25">
      <c r="A1328">
        <v>1558.2610709999999</v>
      </c>
      <c r="B1328" s="1">
        <f>DATE(2014,8,6) + TIME(6,15,56)</f>
        <v>41857.261064814818</v>
      </c>
      <c r="C1328">
        <v>550</v>
      </c>
      <c r="D1328">
        <v>0</v>
      </c>
      <c r="E1328">
        <v>0</v>
      </c>
      <c r="F1328">
        <v>550</v>
      </c>
      <c r="G1328">
        <v>1344.3125</v>
      </c>
      <c r="H1328">
        <v>1340.0839844</v>
      </c>
      <c r="I1328">
        <v>1323.7438964999999</v>
      </c>
      <c r="J1328">
        <v>1319.6630858999999</v>
      </c>
      <c r="K1328">
        <v>80</v>
      </c>
      <c r="L1328">
        <v>79.877838135000005</v>
      </c>
      <c r="M1328">
        <v>60</v>
      </c>
      <c r="N1328">
        <v>55.550952911000003</v>
      </c>
    </row>
    <row r="1329" spans="1:14" x14ac:dyDescent="0.25">
      <c r="A1329">
        <v>1561.0253760000001</v>
      </c>
      <c r="B1329" s="1">
        <f>DATE(2014,8,9) + TIME(0,36,32)</f>
        <v>41860.025370370371</v>
      </c>
      <c r="C1329">
        <v>550</v>
      </c>
      <c r="D1329">
        <v>0</v>
      </c>
      <c r="E1329">
        <v>0</v>
      </c>
      <c r="F1329">
        <v>550</v>
      </c>
      <c r="G1329">
        <v>1344.2977295000001</v>
      </c>
      <c r="H1329">
        <v>1340.0750731999999</v>
      </c>
      <c r="I1329">
        <v>1323.7186279</v>
      </c>
      <c r="J1329">
        <v>1319.6180420000001</v>
      </c>
      <c r="K1329">
        <v>80</v>
      </c>
      <c r="L1329">
        <v>79.877845764</v>
      </c>
      <c r="M1329">
        <v>60</v>
      </c>
      <c r="N1329">
        <v>55.517627716</v>
      </c>
    </row>
    <row r="1330" spans="1:14" x14ac:dyDescent="0.25">
      <c r="A1330">
        <v>1563.8796319999999</v>
      </c>
      <c r="B1330" s="1">
        <f>DATE(2014,8,11) + TIME(21,6,40)</f>
        <v>41862.879629629628</v>
      </c>
      <c r="C1330">
        <v>550</v>
      </c>
      <c r="D1330">
        <v>0</v>
      </c>
      <c r="E1330">
        <v>0</v>
      </c>
      <c r="F1330">
        <v>550</v>
      </c>
      <c r="G1330">
        <v>1344.2828368999999</v>
      </c>
      <c r="H1330">
        <v>1340.0660399999999</v>
      </c>
      <c r="I1330">
        <v>1323.6933594</v>
      </c>
      <c r="J1330">
        <v>1319.5727539</v>
      </c>
      <c r="K1330">
        <v>80</v>
      </c>
      <c r="L1330">
        <v>79.877868652000004</v>
      </c>
      <c r="M1330">
        <v>60</v>
      </c>
      <c r="N1330">
        <v>55.490253447999997</v>
      </c>
    </row>
    <row r="1331" spans="1:14" x14ac:dyDescent="0.25">
      <c r="A1331">
        <v>1566.838015</v>
      </c>
      <c r="B1331" s="1">
        <f>DATE(2014,8,14) + TIME(20,6,44)</f>
        <v>41865.838009259256</v>
      </c>
      <c r="C1331">
        <v>550</v>
      </c>
      <c r="D1331">
        <v>0</v>
      </c>
      <c r="E1331">
        <v>0</v>
      </c>
      <c r="F1331">
        <v>550</v>
      </c>
      <c r="G1331">
        <v>1344.2677002</v>
      </c>
      <c r="H1331">
        <v>1340.0567627</v>
      </c>
      <c r="I1331">
        <v>1323.6680908000001</v>
      </c>
      <c r="J1331">
        <v>1319.5273437999999</v>
      </c>
      <c r="K1331">
        <v>80</v>
      </c>
      <c r="L1331">
        <v>79.877883910999998</v>
      </c>
      <c r="M1331">
        <v>60</v>
      </c>
      <c r="N1331">
        <v>55.469760895</v>
      </c>
    </row>
    <row r="1332" spans="1:14" x14ac:dyDescent="0.25">
      <c r="A1332">
        <v>1569.8952280000001</v>
      </c>
      <c r="B1332" s="1">
        <f>DATE(2014,8,17) + TIME(21,29,7)</f>
        <v>41868.895219907405</v>
      </c>
      <c r="C1332">
        <v>550</v>
      </c>
      <c r="D1332">
        <v>0</v>
      </c>
      <c r="E1332">
        <v>0</v>
      </c>
      <c r="F1332">
        <v>550</v>
      </c>
      <c r="G1332">
        <v>1344.2521973</v>
      </c>
      <c r="H1332">
        <v>1340.0473632999999</v>
      </c>
      <c r="I1332">
        <v>1323.6429443</v>
      </c>
      <c r="J1332">
        <v>1319.4816894999999</v>
      </c>
      <c r="K1332">
        <v>80</v>
      </c>
      <c r="L1332">
        <v>79.877906799000002</v>
      </c>
      <c r="M1332">
        <v>60</v>
      </c>
      <c r="N1332">
        <v>55.457302093999999</v>
      </c>
    </row>
    <row r="1333" spans="1:14" x14ac:dyDescent="0.25">
      <c r="A1333">
        <v>1573.0248799999999</v>
      </c>
      <c r="B1333" s="1">
        <f>DATE(2014,8,21) + TIME(0,35,49)</f>
        <v>41872.024872685186</v>
      </c>
      <c r="C1333">
        <v>550</v>
      </c>
      <c r="D1333">
        <v>0</v>
      </c>
      <c r="E1333">
        <v>0</v>
      </c>
      <c r="F1333">
        <v>550</v>
      </c>
      <c r="G1333">
        <v>1344.2365723</v>
      </c>
      <c r="H1333">
        <v>1340.0377197</v>
      </c>
      <c r="I1333">
        <v>1323.6179199000001</v>
      </c>
      <c r="J1333">
        <v>1319.4362793</v>
      </c>
      <c r="K1333">
        <v>80</v>
      </c>
      <c r="L1333">
        <v>79.877929687999995</v>
      </c>
      <c r="M1333">
        <v>60</v>
      </c>
      <c r="N1333">
        <v>55.454093933000003</v>
      </c>
    </row>
    <row r="1334" spans="1:14" x14ac:dyDescent="0.25">
      <c r="A1334">
        <v>1576.213722</v>
      </c>
      <c r="B1334" s="1">
        <f>DATE(2014,8,24) + TIME(5,7,45)</f>
        <v>41875.21371527778</v>
      </c>
      <c r="C1334">
        <v>550</v>
      </c>
      <c r="D1334">
        <v>0</v>
      </c>
      <c r="E1334">
        <v>0</v>
      </c>
      <c r="F1334">
        <v>550</v>
      </c>
      <c r="G1334">
        <v>1344.2208252</v>
      </c>
      <c r="H1334">
        <v>1340.0280762</v>
      </c>
      <c r="I1334">
        <v>1323.5935059000001</v>
      </c>
      <c r="J1334">
        <v>1319.3914795000001</v>
      </c>
      <c r="K1334">
        <v>80</v>
      </c>
      <c r="L1334">
        <v>79.877960204999994</v>
      </c>
      <c r="M1334">
        <v>60</v>
      </c>
      <c r="N1334">
        <v>55.461219788000001</v>
      </c>
    </row>
    <row r="1335" spans="1:14" x14ac:dyDescent="0.25">
      <c r="A1335">
        <v>1579.4363920000001</v>
      </c>
      <c r="B1335" s="1">
        <f>DATE(2014,8,27) + TIME(10,28,24)</f>
        <v>41878.436388888891</v>
      </c>
      <c r="C1335">
        <v>550</v>
      </c>
      <c r="D1335">
        <v>0</v>
      </c>
      <c r="E1335">
        <v>0</v>
      </c>
      <c r="F1335">
        <v>550</v>
      </c>
      <c r="G1335">
        <v>1344.2049560999999</v>
      </c>
      <c r="H1335">
        <v>1340.0183105000001</v>
      </c>
      <c r="I1335">
        <v>1323.5697021000001</v>
      </c>
      <c r="J1335">
        <v>1319.3477783000001</v>
      </c>
      <c r="K1335">
        <v>80</v>
      </c>
      <c r="L1335">
        <v>79.877990722999996</v>
      </c>
      <c r="M1335">
        <v>60</v>
      </c>
      <c r="N1335">
        <v>55.479587555000002</v>
      </c>
    </row>
    <row r="1336" spans="1:14" x14ac:dyDescent="0.25">
      <c r="A1336">
        <v>1582.7067400000001</v>
      </c>
      <c r="B1336" s="1">
        <f>DATE(2014,8,30) + TIME(16,57,42)</f>
        <v>41881.706736111111</v>
      </c>
      <c r="C1336">
        <v>550</v>
      </c>
      <c r="D1336">
        <v>0</v>
      </c>
      <c r="E1336">
        <v>0</v>
      </c>
      <c r="F1336">
        <v>550</v>
      </c>
      <c r="G1336">
        <v>1344.1893310999999</v>
      </c>
      <c r="H1336">
        <v>1340.0086670000001</v>
      </c>
      <c r="I1336">
        <v>1323.546875</v>
      </c>
      <c r="J1336">
        <v>1319.3056641000001</v>
      </c>
      <c r="K1336">
        <v>80</v>
      </c>
      <c r="L1336">
        <v>79.878021239999995</v>
      </c>
      <c r="M1336">
        <v>60</v>
      </c>
      <c r="N1336">
        <v>55.509952544999997</v>
      </c>
    </row>
    <row r="1337" spans="1:14" x14ac:dyDescent="0.25">
      <c r="A1337">
        <v>1584</v>
      </c>
      <c r="B1337" s="1">
        <f>DATE(2014,9,1) + TIME(0,0,0)</f>
        <v>41883</v>
      </c>
      <c r="C1337">
        <v>550</v>
      </c>
      <c r="D1337">
        <v>0</v>
      </c>
      <c r="E1337">
        <v>0</v>
      </c>
      <c r="F1337">
        <v>550</v>
      </c>
      <c r="G1337">
        <v>1344.1734618999999</v>
      </c>
      <c r="H1337">
        <v>1339.9989014</v>
      </c>
      <c r="I1337">
        <v>1323.5299072</v>
      </c>
      <c r="J1337">
        <v>1319.2720947</v>
      </c>
      <c r="K1337">
        <v>80</v>
      </c>
      <c r="L1337">
        <v>79.877998352000006</v>
      </c>
      <c r="M1337">
        <v>60</v>
      </c>
      <c r="N1337">
        <v>55.533992767000001</v>
      </c>
    </row>
    <row r="1338" spans="1:14" x14ac:dyDescent="0.25">
      <c r="A1338">
        <v>1587.3304350000001</v>
      </c>
      <c r="B1338" s="1">
        <f>DATE(2014,9,4) + TIME(7,55,49)</f>
        <v>41886.330428240741</v>
      </c>
      <c r="C1338">
        <v>550</v>
      </c>
      <c r="D1338">
        <v>0</v>
      </c>
      <c r="E1338">
        <v>0</v>
      </c>
      <c r="F1338">
        <v>550</v>
      </c>
      <c r="G1338">
        <v>1344.1674805</v>
      </c>
      <c r="H1338">
        <v>1339.9949951000001</v>
      </c>
      <c r="I1338">
        <v>1323.5147704999999</v>
      </c>
      <c r="J1338">
        <v>1319.2469481999999</v>
      </c>
      <c r="K1338">
        <v>80</v>
      </c>
      <c r="L1338">
        <v>79.878051757999998</v>
      </c>
      <c r="M1338">
        <v>60</v>
      </c>
      <c r="N1338">
        <v>55.578594207999998</v>
      </c>
    </row>
    <row r="1339" spans="1:14" x14ac:dyDescent="0.25">
      <c r="A1339">
        <v>1590.769569</v>
      </c>
      <c r="B1339" s="1">
        <f>DATE(2014,9,7) + TIME(18,28,10)</f>
        <v>41889.769560185188</v>
      </c>
      <c r="C1339">
        <v>550</v>
      </c>
      <c r="D1339">
        <v>0</v>
      </c>
      <c r="E1339">
        <v>0</v>
      </c>
      <c r="F1339">
        <v>550</v>
      </c>
      <c r="G1339">
        <v>1344.1519774999999</v>
      </c>
      <c r="H1339">
        <v>1339.9852295000001</v>
      </c>
      <c r="I1339">
        <v>1323.4952393000001</v>
      </c>
      <c r="J1339">
        <v>1319.2102050999999</v>
      </c>
      <c r="K1339">
        <v>80</v>
      </c>
      <c r="L1339">
        <v>79.878105164000004</v>
      </c>
      <c r="M1339">
        <v>60</v>
      </c>
      <c r="N1339">
        <v>55.638999939000001</v>
      </c>
    </row>
    <row r="1340" spans="1:14" x14ac:dyDescent="0.25">
      <c r="A1340">
        <v>1594.3037609999999</v>
      </c>
      <c r="B1340" s="1">
        <f>DATE(2014,9,11) + TIME(7,17,24)</f>
        <v>41893.303749999999</v>
      </c>
      <c r="C1340">
        <v>550</v>
      </c>
      <c r="D1340">
        <v>0</v>
      </c>
      <c r="E1340">
        <v>0</v>
      </c>
      <c r="F1340">
        <v>550</v>
      </c>
      <c r="G1340">
        <v>1344.1361084</v>
      </c>
      <c r="H1340">
        <v>1339.9753418</v>
      </c>
      <c r="I1340">
        <v>1323.4761963000001</v>
      </c>
      <c r="J1340">
        <v>1319.1744385</v>
      </c>
      <c r="K1340">
        <v>80</v>
      </c>
      <c r="L1340">
        <v>79.878150939999998</v>
      </c>
      <c r="M1340">
        <v>60</v>
      </c>
      <c r="N1340">
        <v>55.715450287000003</v>
      </c>
    </row>
    <row r="1341" spans="1:14" x14ac:dyDescent="0.25">
      <c r="A1341">
        <v>1597.9511150000001</v>
      </c>
      <c r="B1341" s="1">
        <f>DATE(2014,9,14) + TIME(22,49,36)</f>
        <v>41896.951111111113</v>
      </c>
      <c r="C1341">
        <v>550</v>
      </c>
      <c r="D1341">
        <v>0</v>
      </c>
      <c r="E1341">
        <v>0</v>
      </c>
      <c r="F1341">
        <v>550</v>
      </c>
      <c r="G1341">
        <v>1344.1201172000001</v>
      </c>
      <c r="H1341">
        <v>1339.965332</v>
      </c>
      <c r="I1341">
        <v>1323.4580077999999</v>
      </c>
      <c r="J1341">
        <v>1319.1401367000001</v>
      </c>
      <c r="K1341">
        <v>80</v>
      </c>
      <c r="L1341">
        <v>79.878204346000004</v>
      </c>
      <c r="M1341">
        <v>60</v>
      </c>
      <c r="N1341">
        <v>55.80859375</v>
      </c>
    </row>
    <row r="1342" spans="1:14" x14ac:dyDescent="0.25">
      <c r="A1342">
        <v>1601.7315229999999</v>
      </c>
      <c r="B1342" s="1">
        <f>DATE(2014,9,18) + TIME(17,33,23)</f>
        <v>41900.731516203705</v>
      </c>
      <c r="C1342">
        <v>550</v>
      </c>
      <c r="D1342">
        <v>0</v>
      </c>
      <c r="E1342">
        <v>0</v>
      </c>
      <c r="F1342">
        <v>550</v>
      </c>
      <c r="G1342">
        <v>1344.1037598</v>
      </c>
      <c r="H1342">
        <v>1339.9550781</v>
      </c>
      <c r="I1342">
        <v>1323.4405518000001</v>
      </c>
      <c r="J1342">
        <v>1319.1074219</v>
      </c>
      <c r="K1342">
        <v>80</v>
      </c>
      <c r="L1342">
        <v>79.878257751000007</v>
      </c>
      <c r="M1342">
        <v>60</v>
      </c>
      <c r="N1342">
        <v>55.919452667000002</v>
      </c>
    </row>
    <row r="1343" spans="1:14" x14ac:dyDescent="0.25">
      <c r="A1343">
        <v>1605.6670879999999</v>
      </c>
      <c r="B1343" s="1">
        <f>DATE(2014,9,22) + TIME(16,0,36)</f>
        <v>41904.667083333334</v>
      </c>
      <c r="C1343">
        <v>550</v>
      </c>
      <c r="D1343">
        <v>0</v>
      </c>
      <c r="E1343">
        <v>0</v>
      </c>
      <c r="F1343">
        <v>550</v>
      </c>
      <c r="G1343">
        <v>1344.0872803</v>
      </c>
      <c r="H1343">
        <v>1339.9445800999999</v>
      </c>
      <c r="I1343">
        <v>1323.4243164</v>
      </c>
      <c r="J1343">
        <v>1319.0766602000001</v>
      </c>
      <c r="K1343">
        <v>80</v>
      </c>
      <c r="L1343">
        <v>79.878318786999998</v>
      </c>
      <c r="M1343">
        <v>60</v>
      </c>
      <c r="N1343">
        <v>56.049297332999998</v>
      </c>
    </row>
    <row r="1344" spans="1:14" x14ac:dyDescent="0.25">
      <c r="A1344">
        <v>1609.764561</v>
      </c>
      <c r="B1344" s="1">
        <f>DATE(2014,9,26) + TIME(18,20,58)</f>
        <v>41908.764560185184</v>
      </c>
      <c r="C1344">
        <v>550</v>
      </c>
      <c r="D1344">
        <v>0</v>
      </c>
      <c r="E1344">
        <v>0</v>
      </c>
      <c r="F1344">
        <v>550</v>
      </c>
      <c r="G1344">
        <v>1344.0703125</v>
      </c>
      <c r="H1344">
        <v>1339.9338379000001</v>
      </c>
      <c r="I1344">
        <v>1323.4090576000001</v>
      </c>
      <c r="J1344">
        <v>1319.0480957</v>
      </c>
      <c r="K1344">
        <v>80</v>
      </c>
      <c r="L1344">
        <v>79.878379821999999</v>
      </c>
      <c r="M1344">
        <v>60</v>
      </c>
      <c r="N1344">
        <v>56.199363708</v>
      </c>
    </row>
    <row r="1345" spans="1:14" x14ac:dyDescent="0.25">
      <c r="A1345">
        <v>1611.8822809999999</v>
      </c>
      <c r="B1345" s="1">
        <f>DATE(2014,9,28) + TIME(21,10,29)</f>
        <v>41910.882280092592</v>
      </c>
      <c r="C1345">
        <v>550</v>
      </c>
      <c r="D1345">
        <v>0</v>
      </c>
      <c r="E1345">
        <v>0</v>
      </c>
      <c r="F1345">
        <v>550</v>
      </c>
      <c r="G1345">
        <v>1344.0528564000001</v>
      </c>
      <c r="H1345">
        <v>1339.9228516000001</v>
      </c>
      <c r="I1345">
        <v>1323.3996582</v>
      </c>
      <c r="J1345">
        <v>1319.026001</v>
      </c>
      <c r="K1345">
        <v>80</v>
      </c>
      <c r="L1345">
        <v>79.878372192</v>
      </c>
      <c r="M1345">
        <v>60</v>
      </c>
      <c r="N1345">
        <v>56.318180083999998</v>
      </c>
    </row>
    <row r="1346" spans="1:14" x14ac:dyDescent="0.25">
      <c r="A1346">
        <v>1614</v>
      </c>
      <c r="B1346" s="1">
        <f>DATE(2014,10,1) + TIME(0,0,0)</f>
        <v>41913</v>
      </c>
      <c r="C1346">
        <v>550</v>
      </c>
      <c r="D1346">
        <v>0</v>
      </c>
      <c r="E1346">
        <v>0</v>
      </c>
      <c r="F1346">
        <v>550</v>
      </c>
      <c r="G1346">
        <v>1344.0440673999999</v>
      </c>
      <c r="H1346">
        <v>1339.9171143000001</v>
      </c>
      <c r="I1346">
        <v>1323.3914795000001</v>
      </c>
      <c r="J1346">
        <v>1319.012207</v>
      </c>
      <c r="K1346">
        <v>80</v>
      </c>
      <c r="L1346">
        <v>79.878379821999999</v>
      </c>
      <c r="M1346">
        <v>60</v>
      </c>
      <c r="N1346">
        <v>56.430118561</v>
      </c>
    </row>
    <row r="1347" spans="1:14" x14ac:dyDescent="0.25">
      <c r="A1347">
        <v>1618.235439</v>
      </c>
      <c r="B1347" s="1">
        <f>DATE(2014,10,5) + TIME(5,39,1)</f>
        <v>41917.23542824074</v>
      </c>
      <c r="C1347">
        <v>550</v>
      </c>
      <c r="D1347">
        <v>0</v>
      </c>
      <c r="E1347">
        <v>0</v>
      </c>
      <c r="F1347">
        <v>550</v>
      </c>
      <c r="G1347">
        <v>1344.0355225000001</v>
      </c>
      <c r="H1347">
        <v>1339.911499</v>
      </c>
      <c r="I1347">
        <v>1323.3807373</v>
      </c>
      <c r="J1347">
        <v>1318.9969481999999</v>
      </c>
      <c r="K1347">
        <v>80</v>
      </c>
      <c r="L1347">
        <v>79.878494262999993</v>
      </c>
      <c r="M1347">
        <v>60</v>
      </c>
      <c r="N1347">
        <v>56.586479187000002</v>
      </c>
    </row>
    <row r="1348" spans="1:14" x14ac:dyDescent="0.25">
      <c r="A1348">
        <v>1622.546476</v>
      </c>
      <c r="B1348" s="1">
        <f>DATE(2014,10,9) + TIME(13,6,55)</f>
        <v>41921.546469907407</v>
      </c>
      <c r="C1348">
        <v>550</v>
      </c>
      <c r="D1348">
        <v>0</v>
      </c>
      <c r="E1348">
        <v>0</v>
      </c>
      <c r="F1348">
        <v>550</v>
      </c>
      <c r="G1348">
        <v>1344.0183105000001</v>
      </c>
      <c r="H1348">
        <v>1339.9006348</v>
      </c>
      <c r="I1348">
        <v>1323.3717041</v>
      </c>
      <c r="J1348">
        <v>1318.9785156</v>
      </c>
      <c r="K1348">
        <v>80</v>
      </c>
      <c r="L1348">
        <v>79.878578185999999</v>
      </c>
      <c r="M1348">
        <v>60</v>
      </c>
      <c r="N1348">
        <v>56.776638030999997</v>
      </c>
    </row>
    <row r="1349" spans="1:14" x14ac:dyDescent="0.25">
      <c r="A1349">
        <v>1626.9668380000001</v>
      </c>
      <c r="B1349" s="1">
        <f>DATE(2014,10,13) + TIME(23,12,14)</f>
        <v>41925.966828703706</v>
      </c>
      <c r="C1349">
        <v>550</v>
      </c>
      <c r="D1349">
        <v>0</v>
      </c>
      <c r="E1349">
        <v>0</v>
      </c>
      <c r="F1349">
        <v>550</v>
      </c>
      <c r="G1349">
        <v>1344.0010986</v>
      </c>
      <c r="H1349">
        <v>1339.8896483999999</v>
      </c>
      <c r="I1349">
        <v>1323.3636475000001</v>
      </c>
      <c r="J1349">
        <v>1318.9626464999999</v>
      </c>
      <c r="K1349">
        <v>80</v>
      </c>
      <c r="L1349">
        <v>79.878662109000004</v>
      </c>
      <c r="M1349">
        <v>60</v>
      </c>
      <c r="N1349">
        <v>56.990345001000001</v>
      </c>
    </row>
    <row r="1350" spans="1:14" x14ac:dyDescent="0.25">
      <c r="A1350">
        <v>1631.521522</v>
      </c>
      <c r="B1350" s="1">
        <f>DATE(2014,10,18) + TIME(12,30,59)</f>
        <v>41930.521516203706</v>
      </c>
      <c r="C1350">
        <v>550</v>
      </c>
      <c r="D1350">
        <v>0</v>
      </c>
      <c r="E1350">
        <v>0</v>
      </c>
      <c r="F1350">
        <v>550</v>
      </c>
      <c r="G1350">
        <v>1343.9838867000001</v>
      </c>
      <c r="H1350">
        <v>1339.8785399999999</v>
      </c>
      <c r="I1350">
        <v>1323.3569336</v>
      </c>
      <c r="J1350">
        <v>1318.949707</v>
      </c>
      <c r="K1350">
        <v>80</v>
      </c>
      <c r="L1350">
        <v>79.878738403</v>
      </c>
      <c r="M1350">
        <v>60</v>
      </c>
      <c r="N1350">
        <v>57.223026275999999</v>
      </c>
    </row>
    <row r="1351" spans="1:14" x14ac:dyDescent="0.25">
      <c r="A1351">
        <v>1636.238233</v>
      </c>
      <c r="B1351" s="1">
        <f>DATE(2014,10,23) + TIME(5,43,3)</f>
        <v>41935.238229166665</v>
      </c>
      <c r="C1351">
        <v>550</v>
      </c>
      <c r="D1351">
        <v>0</v>
      </c>
      <c r="E1351">
        <v>0</v>
      </c>
      <c r="F1351">
        <v>550</v>
      </c>
      <c r="G1351">
        <v>1343.9664307</v>
      </c>
      <c r="H1351">
        <v>1339.8674315999999</v>
      </c>
      <c r="I1351">
        <v>1323.3516846</v>
      </c>
      <c r="J1351">
        <v>1318.9398193</v>
      </c>
      <c r="K1351">
        <v>80</v>
      </c>
      <c r="L1351">
        <v>79.878829956000004</v>
      </c>
      <c r="M1351">
        <v>60</v>
      </c>
      <c r="N1351">
        <v>57.472560883</v>
      </c>
    </row>
    <row r="1352" spans="1:14" x14ac:dyDescent="0.25">
      <c r="A1352">
        <v>1641.1494970000001</v>
      </c>
      <c r="B1352" s="1">
        <f>DATE(2014,10,28) + TIME(3,35,16)</f>
        <v>41940.14949074074</v>
      </c>
      <c r="C1352">
        <v>550</v>
      </c>
      <c r="D1352">
        <v>0</v>
      </c>
      <c r="E1352">
        <v>0</v>
      </c>
      <c r="F1352">
        <v>550</v>
      </c>
      <c r="G1352">
        <v>1343.9488524999999</v>
      </c>
      <c r="H1352">
        <v>1339.8562012</v>
      </c>
      <c r="I1352">
        <v>1323.3481445</v>
      </c>
      <c r="J1352">
        <v>1318.9329834</v>
      </c>
      <c r="K1352">
        <v>80</v>
      </c>
      <c r="L1352">
        <v>79.878921508999994</v>
      </c>
      <c r="M1352">
        <v>60</v>
      </c>
      <c r="N1352">
        <v>57.737953185999999</v>
      </c>
    </row>
    <row r="1353" spans="1:14" x14ac:dyDescent="0.25">
      <c r="A1353">
        <v>1645</v>
      </c>
      <c r="B1353" s="1">
        <f>DATE(2014,11,1) + TIME(0,0,0)</f>
        <v>41944</v>
      </c>
      <c r="C1353">
        <v>550</v>
      </c>
      <c r="D1353">
        <v>0</v>
      </c>
      <c r="E1353">
        <v>0</v>
      </c>
      <c r="F1353">
        <v>550</v>
      </c>
      <c r="G1353">
        <v>1343.9309082</v>
      </c>
      <c r="H1353">
        <v>1339.8447266000001</v>
      </c>
      <c r="I1353">
        <v>1323.3479004000001</v>
      </c>
      <c r="J1353">
        <v>1318.9300536999999</v>
      </c>
      <c r="K1353">
        <v>80</v>
      </c>
      <c r="L1353">
        <v>79.878967285000002</v>
      </c>
      <c r="M1353">
        <v>60</v>
      </c>
      <c r="N1353">
        <v>57.986862183</v>
      </c>
    </row>
    <row r="1354" spans="1:14" x14ac:dyDescent="0.25">
      <c r="A1354">
        <v>1645.0000010000001</v>
      </c>
      <c r="B1354" s="1">
        <f>DATE(2014,11,1) + TIME(0,0,0)</f>
        <v>41944</v>
      </c>
      <c r="C1354">
        <v>0</v>
      </c>
      <c r="D1354">
        <v>550</v>
      </c>
      <c r="E1354">
        <v>550</v>
      </c>
      <c r="F1354">
        <v>0</v>
      </c>
      <c r="G1354">
        <v>1339.6448975000001</v>
      </c>
      <c r="H1354">
        <v>1337.9240723</v>
      </c>
      <c r="I1354">
        <v>1328.3466797000001</v>
      </c>
      <c r="J1354">
        <v>1323.5854492000001</v>
      </c>
      <c r="K1354">
        <v>80</v>
      </c>
      <c r="L1354">
        <v>79.878936768000003</v>
      </c>
      <c r="M1354">
        <v>60</v>
      </c>
      <c r="N1354">
        <v>57.986892699999999</v>
      </c>
    </row>
    <row r="1355" spans="1:14" x14ac:dyDescent="0.25">
      <c r="A1355">
        <v>1645.000004</v>
      </c>
      <c r="B1355" s="1">
        <f>DATE(2014,11,1) + TIME(0,0,0)</f>
        <v>41944</v>
      </c>
      <c r="C1355">
        <v>0</v>
      </c>
      <c r="D1355">
        <v>550</v>
      </c>
      <c r="E1355">
        <v>550</v>
      </c>
      <c r="F1355">
        <v>0</v>
      </c>
      <c r="G1355">
        <v>1339.1400146000001</v>
      </c>
      <c r="H1355">
        <v>1337.4191894999999</v>
      </c>
      <c r="I1355">
        <v>1328.8994141000001</v>
      </c>
      <c r="J1355">
        <v>1324.2061768000001</v>
      </c>
      <c r="K1355">
        <v>80</v>
      </c>
      <c r="L1355">
        <v>79.878868103000002</v>
      </c>
      <c r="M1355">
        <v>60</v>
      </c>
      <c r="N1355">
        <v>57.986976624</v>
      </c>
    </row>
    <row r="1356" spans="1:14" x14ac:dyDescent="0.25">
      <c r="A1356">
        <v>1645.0000130000001</v>
      </c>
      <c r="B1356" s="1">
        <f>DATE(2014,11,1) + TIME(0,0,1)</f>
        <v>41944.000011574077</v>
      </c>
      <c r="C1356">
        <v>0</v>
      </c>
      <c r="D1356">
        <v>550</v>
      </c>
      <c r="E1356">
        <v>550</v>
      </c>
      <c r="F1356">
        <v>0</v>
      </c>
      <c r="G1356">
        <v>1338.1201172000001</v>
      </c>
      <c r="H1356">
        <v>1336.3969727000001</v>
      </c>
      <c r="I1356">
        <v>1330.1409911999999</v>
      </c>
      <c r="J1356">
        <v>1325.5466309000001</v>
      </c>
      <c r="K1356">
        <v>80</v>
      </c>
      <c r="L1356">
        <v>79.878715514999996</v>
      </c>
      <c r="M1356">
        <v>60</v>
      </c>
      <c r="N1356">
        <v>57.987159728999998</v>
      </c>
    </row>
    <row r="1357" spans="1:14" x14ac:dyDescent="0.25">
      <c r="A1357">
        <v>1645.0000399999999</v>
      </c>
      <c r="B1357" s="1">
        <f>DATE(2014,11,1) + TIME(0,0,3)</f>
        <v>41944.000034722223</v>
      </c>
      <c r="C1357">
        <v>0</v>
      </c>
      <c r="D1357">
        <v>550</v>
      </c>
      <c r="E1357">
        <v>550</v>
      </c>
      <c r="F1357">
        <v>0</v>
      </c>
      <c r="G1357">
        <v>1336.6245117000001</v>
      </c>
      <c r="H1357">
        <v>1334.8902588000001</v>
      </c>
      <c r="I1357">
        <v>1332.2194824000001</v>
      </c>
      <c r="J1357">
        <v>1327.6700439000001</v>
      </c>
      <c r="K1357">
        <v>80</v>
      </c>
      <c r="L1357">
        <v>79.878501892000003</v>
      </c>
      <c r="M1357">
        <v>60</v>
      </c>
      <c r="N1357">
        <v>57.987453461000001</v>
      </c>
    </row>
    <row r="1358" spans="1:14" x14ac:dyDescent="0.25">
      <c r="A1358">
        <v>1645.000121</v>
      </c>
      <c r="B1358" s="1">
        <f>DATE(2014,11,1) + TIME(0,0,10)</f>
        <v>41944.000115740739</v>
      </c>
      <c r="C1358">
        <v>0</v>
      </c>
      <c r="D1358">
        <v>550</v>
      </c>
      <c r="E1358">
        <v>550</v>
      </c>
      <c r="F1358">
        <v>0</v>
      </c>
      <c r="G1358">
        <v>1334.9382324000001</v>
      </c>
      <c r="H1358">
        <v>1333.1757812000001</v>
      </c>
      <c r="I1358">
        <v>1334.7977295000001</v>
      </c>
      <c r="J1358">
        <v>1330.2211914</v>
      </c>
      <c r="K1358">
        <v>80</v>
      </c>
      <c r="L1358">
        <v>79.878257751000007</v>
      </c>
      <c r="M1358">
        <v>60</v>
      </c>
      <c r="N1358">
        <v>57.987838744999998</v>
      </c>
    </row>
    <row r="1359" spans="1:14" x14ac:dyDescent="0.25">
      <c r="A1359">
        <v>1645.000364</v>
      </c>
      <c r="B1359" s="1">
        <f>DATE(2014,11,1) + TIME(0,0,31)</f>
        <v>41944.000358796293</v>
      </c>
      <c r="C1359">
        <v>0</v>
      </c>
      <c r="D1359">
        <v>550</v>
      </c>
      <c r="E1359">
        <v>550</v>
      </c>
      <c r="F1359">
        <v>0</v>
      </c>
      <c r="G1359">
        <v>1333.1888428</v>
      </c>
      <c r="H1359">
        <v>1331.3535156</v>
      </c>
      <c r="I1359">
        <v>1337.4997559000001</v>
      </c>
      <c r="J1359">
        <v>1332.8752440999999</v>
      </c>
      <c r="K1359">
        <v>80</v>
      </c>
      <c r="L1359">
        <v>79.877983092999997</v>
      </c>
      <c r="M1359">
        <v>60</v>
      </c>
      <c r="N1359">
        <v>57.988338470000002</v>
      </c>
    </row>
    <row r="1360" spans="1:14" x14ac:dyDescent="0.25">
      <c r="A1360">
        <v>1645.0010930000001</v>
      </c>
      <c r="B1360" s="1">
        <f>DATE(2014,11,1) + TIME(0,1,34)</f>
        <v>41944.001087962963</v>
      </c>
      <c r="C1360">
        <v>0</v>
      </c>
      <c r="D1360">
        <v>550</v>
      </c>
      <c r="E1360">
        <v>550</v>
      </c>
      <c r="F1360">
        <v>0</v>
      </c>
      <c r="G1360">
        <v>1331.4177245999999</v>
      </c>
      <c r="H1360">
        <v>1329.4428711</v>
      </c>
      <c r="I1360">
        <v>1340.1411132999999</v>
      </c>
      <c r="J1360">
        <v>1335.4571533000001</v>
      </c>
      <c r="K1360">
        <v>80</v>
      </c>
      <c r="L1360">
        <v>79.877647400000001</v>
      </c>
      <c r="M1360">
        <v>60</v>
      </c>
      <c r="N1360">
        <v>57.989147185999997</v>
      </c>
    </row>
    <row r="1361" spans="1:14" x14ac:dyDescent="0.25">
      <c r="A1361">
        <v>1645.0032799999999</v>
      </c>
      <c r="B1361" s="1">
        <f>DATE(2014,11,1) + TIME(0,4,43)</f>
        <v>41944.003275462965</v>
      </c>
      <c r="C1361">
        <v>0</v>
      </c>
      <c r="D1361">
        <v>550</v>
      </c>
      <c r="E1361">
        <v>550</v>
      </c>
      <c r="F1361">
        <v>0</v>
      </c>
      <c r="G1361">
        <v>1329.8430175999999</v>
      </c>
      <c r="H1361">
        <v>1327.7163086</v>
      </c>
      <c r="I1361">
        <v>1342.3728027</v>
      </c>
      <c r="J1361">
        <v>1337.6254882999999</v>
      </c>
      <c r="K1361">
        <v>80</v>
      </c>
      <c r="L1361">
        <v>79.877166747999993</v>
      </c>
      <c r="M1361">
        <v>60</v>
      </c>
      <c r="N1361">
        <v>57.990859985</v>
      </c>
    </row>
    <row r="1362" spans="1:14" x14ac:dyDescent="0.25">
      <c r="A1362">
        <v>1645.0098410000001</v>
      </c>
      <c r="B1362" s="1">
        <f>DATE(2014,11,1) + TIME(0,14,10)</f>
        <v>41944.009837962964</v>
      </c>
      <c r="C1362">
        <v>0</v>
      </c>
      <c r="D1362">
        <v>550</v>
      </c>
      <c r="E1362">
        <v>550</v>
      </c>
      <c r="F1362">
        <v>0</v>
      </c>
      <c r="G1362">
        <v>1328.7125243999999</v>
      </c>
      <c r="H1362">
        <v>1326.5050048999999</v>
      </c>
      <c r="I1362">
        <v>1343.8374022999999</v>
      </c>
      <c r="J1362">
        <v>1339.0457764</v>
      </c>
      <c r="K1362">
        <v>80</v>
      </c>
      <c r="L1362">
        <v>79.876205443999993</v>
      </c>
      <c r="M1362">
        <v>60</v>
      </c>
      <c r="N1362">
        <v>57.995372772000003</v>
      </c>
    </row>
    <row r="1363" spans="1:14" x14ac:dyDescent="0.25">
      <c r="A1363">
        <v>1645.029524</v>
      </c>
      <c r="B1363" s="1">
        <f>DATE(2014,11,1) + TIME(0,42,30)</f>
        <v>41944.029513888891</v>
      </c>
      <c r="C1363">
        <v>0</v>
      </c>
      <c r="D1363">
        <v>550</v>
      </c>
      <c r="E1363">
        <v>550</v>
      </c>
      <c r="F1363">
        <v>0</v>
      </c>
      <c r="G1363">
        <v>1328.0650635</v>
      </c>
      <c r="H1363">
        <v>1325.8365478999999</v>
      </c>
      <c r="I1363">
        <v>1344.5451660000001</v>
      </c>
      <c r="J1363">
        <v>1339.7325439000001</v>
      </c>
      <c r="K1363">
        <v>80</v>
      </c>
      <c r="L1363">
        <v>79.873718261999997</v>
      </c>
      <c r="M1363">
        <v>60</v>
      </c>
      <c r="N1363">
        <v>58.008403778000002</v>
      </c>
    </row>
    <row r="1364" spans="1:14" x14ac:dyDescent="0.25">
      <c r="A1364">
        <v>1645.088573</v>
      </c>
      <c r="B1364" s="1">
        <f>DATE(2014,11,1) + TIME(2,7,32)</f>
        <v>41944.088564814818</v>
      </c>
      <c r="C1364">
        <v>0</v>
      </c>
      <c r="D1364">
        <v>550</v>
      </c>
      <c r="E1364">
        <v>550</v>
      </c>
      <c r="F1364">
        <v>0</v>
      </c>
      <c r="G1364">
        <v>1327.7742920000001</v>
      </c>
      <c r="H1364">
        <v>1325.5432129000001</v>
      </c>
      <c r="I1364">
        <v>1344.7470702999999</v>
      </c>
      <c r="J1364">
        <v>1339.9329834</v>
      </c>
      <c r="K1364">
        <v>80</v>
      </c>
      <c r="L1364">
        <v>79.866546631000006</v>
      </c>
      <c r="M1364">
        <v>60</v>
      </c>
      <c r="N1364">
        <v>58.046508789000001</v>
      </c>
    </row>
    <row r="1365" spans="1:14" x14ac:dyDescent="0.25">
      <c r="A1365">
        <v>1645.2657200000001</v>
      </c>
      <c r="B1365" s="1">
        <f>DATE(2014,11,1) + TIME(6,22,38)</f>
        <v>41944.265717592592</v>
      </c>
      <c r="C1365">
        <v>0</v>
      </c>
      <c r="D1365">
        <v>550</v>
      </c>
      <c r="E1365">
        <v>550</v>
      </c>
      <c r="F1365">
        <v>0</v>
      </c>
      <c r="G1365">
        <v>1327.6854248</v>
      </c>
      <c r="H1365">
        <v>1325.4536132999999</v>
      </c>
      <c r="I1365">
        <v>1344.7193603999999</v>
      </c>
      <c r="J1365">
        <v>1339.9223632999999</v>
      </c>
      <c r="K1365">
        <v>80</v>
      </c>
      <c r="L1365">
        <v>79.845771790000001</v>
      </c>
      <c r="M1365">
        <v>60</v>
      </c>
      <c r="N1365">
        <v>58.153831482000001</v>
      </c>
    </row>
    <row r="1366" spans="1:14" x14ac:dyDescent="0.25">
      <c r="A1366">
        <v>1645.4507860000001</v>
      </c>
      <c r="B1366" s="1">
        <f>DATE(2014,11,1) + TIME(10,49,7)</f>
        <v>41944.450775462959</v>
      </c>
      <c r="C1366">
        <v>0</v>
      </c>
      <c r="D1366">
        <v>550</v>
      </c>
      <c r="E1366">
        <v>550</v>
      </c>
      <c r="F1366">
        <v>0</v>
      </c>
      <c r="G1366">
        <v>1327.6693115</v>
      </c>
      <c r="H1366">
        <v>1325.4362793</v>
      </c>
      <c r="I1366">
        <v>1344.6868896000001</v>
      </c>
      <c r="J1366">
        <v>1339.9023437999999</v>
      </c>
      <c r="K1366">
        <v>80</v>
      </c>
      <c r="L1366">
        <v>79.824363708000007</v>
      </c>
      <c r="M1366">
        <v>60</v>
      </c>
      <c r="N1366">
        <v>58.259014129999997</v>
      </c>
    </row>
    <row r="1367" spans="1:14" x14ac:dyDescent="0.25">
      <c r="A1367">
        <v>1645.6414569999999</v>
      </c>
      <c r="B1367" s="1">
        <f>DATE(2014,11,1) + TIME(15,23,41)</f>
        <v>41944.641446759262</v>
      </c>
      <c r="C1367">
        <v>0</v>
      </c>
      <c r="D1367">
        <v>550</v>
      </c>
      <c r="E1367">
        <v>550</v>
      </c>
      <c r="F1367">
        <v>0</v>
      </c>
      <c r="G1367">
        <v>1327.6632079999999</v>
      </c>
      <c r="H1367">
        <v>1325.4287108999999</v>
      </c>
      <c r="I1367">
        <v>1344.6586914</v>
      </c>
      <c r="J1367">
        <v>1339.8859863</v>
      </c>
      <c r="K1367">
        <v>80</v>
      </c>
      <c r="L1367">
        <v>79.802589416999993</v>
      </c>
      <c r="M1367">
        <v>60</v>
      </c>
      <c r="N1367">
        <v>58.360500336000001</v>
      </c>
    </row>
    <row r="1368" spans="1:14" x14ac:dyDescent="0.25">
      <c r="A1368">
        <v>1645.838213</v>
      </c>
      <c r="B1368" s="1">
        <f>DATE(2014,11,1) + TIME(20,7,1)</f>
        <v>41944.838206018518</v>
      </c>
      <c r="C1368">
        <v>0</v>
      </c>
      <c r="D1368">
        <v>550</v>
      </c>
      <c r="E1368">
        <v>550</v>
      </c>
      <c r="F1368">
        <v>0</v>
      </c>
      <c r="G1368">
        <v>1327.6585693</v>
      </c>
      <c r="H1368">
        <v>1325.4224853999999</v>
      </c>
      <c r="I1368">
        <v>1344.6326904</v>
      </c>
      <c r="J1368">
        <v>1339.8710937999999</v>
      </c>
      <c r="K1368">
        <v>80</v>
      </c>
      <c r="L1368">
        <v>79.780403136999993</v>
      </c>
      <c r="M1368">
        <v>60</v>
      </c>
      <c r="N1368">
        <v>58.458393096999998</v>
      </c>
    </row>
    <row r="1369" spans="1:14" x14ac:dyDescent="0.25">
      <c r="A1369">
        <v>1646.041551</v>
      </c>
      <c r="B1369" s="1">
        <f>DATE(2014,11,2) + TIME(0,59,50)</f>
        <v>41945.041550925926</v>
      </c>
      <c r="C1369">
        <v>0</v>
      </c>
      <c r="D1369">
        <v>550</v>
      </c>
      <c r="E1369">
        <v>550</v>
      </c>
      <c r="F1369">
        <v>0</v>
      </c>
      <c r="G1369">
        <v>1327.6539307</v>
      </c>
      <c r="H1369">
        <v>1325.4162598</v>
      </c>
      <c r="I1369">
        <v>1344.6080322</v>
      </c>
      <c r="J1369">
        <v>1339.8571777</v>
      </c>
      <c r="K1369">
        <v>80</v>
      </c>
      <c r="L1369">
        <v>79.757774353000002</v>
      </c>
      <c r="M1369">
        <v>60</v>
      </c>
      <c r="N1369">
        <v>58.552768706999998</v>
      </c>
    </row>
    <row r="1370" spans="1:14" x14ac:dyDescent="0.25">
      <c r="A1370">
        <v>1646.2520139999999</v>
      </c>
      <c r="B1370" s="1">
        <f>DATE(2014,11,2) + TIME(6,2,54)</f>
        <v>41945.252013888887</v>
      </c>
      <c r="C1370">
        <v>0</v>
      </c>
      <c r="D1370">
        <v>550</v>
      </c>
      <c r="E1370">
        <v>550</v>
      </c>
      <c r="F1370">
        <v>0</v>
      </c>
      <c r="G1370">
        <v>1327.6491699000001</v>
      </c>
      <c r="H1370">
        <v>1325.4097899999999</v>
      </c>
      <c r="I1370">
        <v>1344.5844727000001</v>
      </c>
      <c r="J1370">
        <v>1339.8438721</v>
      </c>
      <c r="K1370">
        <v>80</v>
      </c>
      <c r="L1370">
        <v>79.734657287999994</v>
      </c>
      <c r="M1370">
        <v>60</v>
      </c>
      <c r="N1370">
        <v>58.643692016999999</v>
      </c>
    </row>
    <row r="1371" spans="1:14" x14ac:dyDescent="0.25">
      <c r="A1371">
        <v>1646.470206</v>
      </c>
      <c r="B1371" s="1">
        <f>DATE(2014,11,2) + TIME(11,17,5)</f>
        <v>41945.470196759263</v>
      </c>
      <c r="C1371">
        <v>0</v>
      </c>
      <c r="D1371">
        <v>550</v>
      </c>
      <c r="E1371">
        <v>550</v>
      </c>
      <c r="F1371">
        <v>0</v>
      </c>
      <c r="G1371">
        <v>1327.6441649999999</v>
      </c>
      <c r="H1371">
        <v>1325.4031981999999</v>
      </c>
      <c r="I1371">
        <v>1344.5620117000001</v>
      </c>
      <c r="J1371">
        <v>1339.8311768000001</v>
      </c>
      <c r="K1371">
        <v>80</v>
      </c>
      <c r="L1371">
        <v>79.711006165000001</v>
      </c>
      <c r="M1371">
        <v>60</v>
      </c>
      <c r="N1371">
        <v>58.731224060000002</v>
      </c>
    </row>
    <row r="1372" spans="1:14" x14ac:dyDescent="0.25">
      <c r="A1372">
        <v>1646.6967979999999</v>
      </c>
      <c r="B1372" s="1">
        <f>DATE(2014,11,2) + TIME(16,43,23)</f>
        <v>41945.696793981479</v>
      </c>
      <c r="C1372">
        <v>0</v>
      </c>
      <c r="D1372">
        <v>550</v>
      </c>
      <c r="E1372">
        <v>550</v>
      </c>
      <c r="F1372">
        <v>0</v>
      </c>
      <c r="G1372">
        <v>1327.6390381000001</v>
      </c>
      <c r="H1372">
        <v>1325.3961182</v>
      </c>
      <c r="I1372">
        <v>1344.5406493999999</v>
      </c>
      <c r="J1372">
        <v>1339.8190918</v>
      </c>
      <c r="K1372">
        <v>80</v>
      </c>
      <c r="L1372">
        <v>79.686782836999996</v>
      </c>
      <c r="M1372">
        <v>60</v>
      </c>
      <c r="N1372">
        <v>58.815414429</v>
      </c>
    </row>
    <row r="1373" spans="1:14" x14ac:dyDescent="0.25">
      <c r="A1373">
        <v>1646.9325409999999</v>
      </c>
      <c r="B1373" s="1">
        <f>DATE(2014,11,2) + TIME(22,22,51)</f>
        <v>41945.932534722226</v>
      </c>
      <c r="C1373">
        <v>0</v>
      </c>
      <c r="D1373">
        <v>550</v>
      </c>
      <c r="E1373">
        <v>550</v>
      </c>
      <c r="F1373">
        <v>0</v>
      </c>
      <c r="G1373">
        <v>1327.6337891000001</v>
      </c>
      <c r="H1373">
        <v>1325.3889160000001</v>
      </c>
      <c r="I1373">
        <v>1344.5202637</v>
      </c>
      <c r="J1373">
        <v>1339.8073730000001</v>
      </c>
      <c r="K1373">
        <v>80</v>
      </c>
      <c r="L1373">
        <v>79.661918639999996</v>
      </c>
      <c r="M1373">
        <v>60</v>
      </c>
      <c r="N1373">
        <v>58.896305083999998</v>
      </c>
    </row>
    <row r="1374" spans="1:14" x14ac:dyDescent="0.25">
      <c r="A1374">
        <v>1647.178281</v>
      </c>
      <c r="B1374" s="1">
        <f>DATE(2014,11,3) + TIME(4,16,43)</f>
        <v>41946.17827546296</v>
      </c>
      <c r="C1374">
        <v>0</v>
      </c>
      <c r="D1374">
        <v>550</v>
      </c>
      <c r="E1374">
        <v>550</v>
      </c>
      <c r="F1374">
        <v>0</v>
      </c>
      <c r="G1374">
        <v>1327.6281738</v>
      </c>
      <c r="H1374">
        <v>1325.3812256000001</v>
      </c>
      <c r="I1374">
        <v>1344.5007324000001</v>
      </c>
      <c r="J1374">
        <v>1339.7962646000001</v>
      </c>
      <c r="K1374">
        <v>80</v>
      </c>
      <c r="L1374">
        <v>79.636360167999996</v>
      </c>
      <c r="M1374">
        <v>60</v>
      </c>
      <c r="N1374">
        <v>58.973941803000002</v>
      </c>
    </row>
    <row r="1375" spans="1:14" x14ac:dyDescent="0.25">
      <c r="A1375">
        <v>1647.434972</v>
      </c>
      <c r="B1375" s="1">
        <f>DATE(2014,11,3) + TIME(10,26,21)</f>
        <v>41946.434965277775</v>
      </c>
      <c r="C1375">
        <v>0</v>
      </c>
      <c r="D1375">
        <v>550</v>
      </c>
      <c r="E1375">
        <v>550</v>
      </c>
      <c r="F1375">
        <v>0</v>
      </c>
      <c r="G1375">
        <v>1327.6223144999999</v>
      </c>
      <c r="H1375">
        <v>1325.3732910000001</v>
      </c>
      <c r="I1375">
        <v>1344.4821777</v>
      </c>
      <c r="J1375">
        <v>1339.7856445</v>
      </c>
      <c r="K1375">
        <v>80</v>
      </c>
      <c r="L1375">
        <v>79.610046386999997</v>
      </c>
      <c r="M1375">
        <v>60</v>
      </c>
      <c r="N1375">
        <v>59.048351287999999</v>
      </c>
    </row>
    <row r="1376" spans="1:14" x14ac:dyDescent="0.25">
      <c r="A1376">
        <v>1647.703696</v>
      </c>
      <c r="B1376" s="1">
        <f>DATE(2014,11,3) + TIME(16,53,19)</f>
        <v>41946.703692129631</v>
      </c>
      <c r="C1376">
        <v>0</v>
      </c>
      <c r="D1376">
        <v>550</v>
      </c>
      <c r="E1376">
        <v>550</v>
      </c>
      <c r="F1376">
        <v>0</v>
      </c>
      <c r="G1376">
        <v>1327.6163329999999</v>
      </c>
      <c r="H1376">
        <v>1325.3648682</v>
      </c>
      <c r="I1376">
        <v>1344.4643555</v>
      </c>
      <c r="J1376">
        <v>1339.7753906</v>
      </c>
      <c r="K1376">
        <v>80</v>
      </c>
      <c r="L1376">
        <v>79.582885742000002</v>
      </c>
      <c r="M1376">
        <v>60</v>
      </c>
      <c r="N1376">
        <v>59.119564056000002</v>
      </c>
    </row>
    <row r="1377" spans="1:14" x14ac:dyDescent="0.25">
      <c r="A1377">
        <v>1647.9856580000001</v>
      </c>
      <c r="B1377" s="1">
        <f>DATE(2014,11,3) + TIME(23,39,20)</f>
        <v>41946.985648148147</v>
      </c>
      <c r="C1377">
        <v>0</v>
      </c>
      <c r="D1377">
        <v>550</v>
      </c>
      <c r="E1377">
        <v>550</v>
      </c>
      <c r="F1377">
        <v>0</v>
      </c>
      <c r="G1377">
        <v>1327.6098632999999</v>
      </c>
      <c r="H1377">
        <v>1325.3560791</v>
      </c>
      <c r="I1377">
        <v>1344.4472656</v>
      </c>
      <c r="J1377">
        <v>1339.765625</v>
      </c>
      <c r="K1377">
        <v>80</v>
      </c>
      <c r="L1377">
        <v>79.554809570000003</v>
      </c>
      <c r="M1377">
        <v>60</v>
      </c>
      <c r="N1377">
        <v>59.187591552999997</v>
      </c>
    </row>
    <row r="1378" spans="1:14" x14ac:dyDescent="0.25">
      <c r="A1378">
        <v>1648.282271</v>
      </c>
      <c r="B1378" s="1">
        <f>DATE(2014,11,4) + TIME(6,46,28)</f>
        <v>41947.282268518517</v>
      </c>
      <c r="C1378">
        <v>0</v>
      </c>
      <c r="D1378">
        <v>550</v>
      </c>
      <c r="E1378">
        <v>550</v>
      </c>
      <c r="F1378">
        <v>0</v>
      </c>
      <c r="G1378">
        <v>1327.6031493999999</v>
      </c>
      <c r="H1378">
        <v>1325.3466797000001</v>
      </c>
      <c r="I1378">
        <v>1344.4310303</v>
      </c>
      <c r="J1378">
        <v>1339.7562256000001</v>
      </c>
      <c r="K1378">
        <v>80</v>
      </c>
      <c r="L1378">
        <v>79.525718689000001</v>
      </c>
      <c r="M1378">
        <v>60</v>
      </c>
      <c r="N1378">
        <v>59.252456664999997</v>
      </c>
    </row>
    <row r="1379" spans="1:14" x14ac:dyDescent="0.25">
      <c r="A1379">
        <v>1648.595208</v>
      </c>
      <c r="B1379" s="1">
        <f>DATE(2014,11,4) + TIME(14,17,6)</f>
        <v>41947.595208333332</v>
      </c>
      <c r="C1379">
        <v>0</v>
      </c>
      <c r="D1379">
        <v>550</v>
      </c>
      <c r="E1379">
        <v>550</v>
      </c>
      <c r="F1379">
        <v>0</v>
      </c>
      <c r="G1379">
        <v>1327.5960693</v>
      </c>
      <c r="H1379">
        <v>1325.3369141000001</v>
      </c>
      <c r="I1379">
        <v>1344.4154053</v>
      </c>
      <c r="J1379">
        <v>1339.7470702999999</v>
      </c>
      <c r="K1379">
        <v>80</v>
      </c>
      <c r="L1379">
        <v>79.495498656999999</v>
      </c>
      <c r="M1379">
        <v>60</v>
      </c>
      <c r="N1379">
        <v>59.314174651999998</v>
      </c>
    </row>
    <row r="1380" spans="1:14" x14ac:dyDescent="0.25">
      <c r="A1380">
        <v>1648.9263840000001</v>
      </c>
      <c r="B1380" s="1">
        <f>DATE(2014,11,4) + TIME(22,13,59)</f>
        <v>41947.926377314812</v>
      </c>
      <c r="C1380">
        <v>0</v>
      </c>
      <c r="D1380">
        <v>550</v>
      </c>
      <c r="E1380">
        <v>550</v>
      </c>
      <c r="F1380">
        <v>0</v>
      </c>
      <c r="G1380">
        <v>1327.588501</v>
      </c>
      <c r="H1380">
        <v>1325.3265381000001</v>
      </c>
      <c r="I1380">
        <v>1344.4002685999999</v>
      </c>
      <c r="J1380">
        <v>1339.7381591999999</v>
      </c>
      <c r="K1380">
        <v>80</v>
      </c>
      <c r="L1380">
        <v>79.464019774999997</v>
      </c>
      <c r="M1380">
        <v>60</v>
      </c>
      <c r="N1380">
        <v>59.372753142999997</v>
      </c>
    </row>
    <row r="1381" spans="1:14" x14ac:dyDescent="0.25">
      <c r="A1381">
        <v>1649.278045</v>
      </c>
      <c r="B1381" s="1">
        <f>DATE(2014,11,5) + TIME(6,40,23)</f>
        <v>41948.278043981481</v>
      </c>
      <c r="C1381">
        <v>0</v>
      </c>
      <c r="D1381">
        <v>550</v>
      </c>
      <c r="E1381">
        <v>550</v>
      </c>
      <c r="F1381">
        <v>0</v>
      </c>
      <c r="G1381">
        <v>1327.5805664</v>
      </c>
      <c r="H1381">
        <v>1325.3154297000001</v>
      </c>
      <c r="I1381">
        <v>1344.3858643000001</v>
      </c>
      <c r="J1381">
        <v>1339.7296143000001</v>
      </c>
      <c r="K1381">
        <v>80</v>
      </c>
      <c r="L1381">
        <v>79.431137085000003</v>
      </c>
      <c r="M1381">
        <v>60</v>
      </c>
      <c r="N1381">
        <v>59.428195952999999</v>
      </c>
    </row>
    <row r="1382" spans="1:14" x14ac:dyDescent="0.25">
      <c r="A1382">
        <v>1649.6528579999999</v>
      </c>
      <c r="B1382" s="1">
        <f>DATE(2014,11,5) + TIME(15,40,6)</f>
        <v>41948.65284722222</v>
      </c>
      <c r="C1382">
        <v>0</v>
      </c>
      <c r="D1382">
        <v>550</v>
      </c>
      <c r="E1382">
        <v>550</v>
      </c>
      <c r="F1382">
        <v>0</v>
      </c>
      <c r="G1382">
        <v>1327.5721435999999</v>
      </c>
      <c r="H1382">
        <v>1325.3037108999999</v>
      </c>
      <c r="I1382">
        <v>1344.3718262</v>
      </c>
      <c r="J1382">
        <v>1339.7213135</v>
      </c>
      <c r="K1382">
        <v>80</v>
      </c>
      <c r="L1382">
        <v>79.396675110000004</v>
      </c>
      <c r="M1382">
        <v>60</v>
      </c>
      <c r="N1382">
        <v>59.480503081999998</v>
      </c>
    </row>
    <row r="1383" spans="1:14" x14ac:dyDescent="0.25">
      <c r="A1383">
        <v>1650.0540120000001</v>
      </c>
      <c r="B1383" s="1">
        <f>DATE(2014,11,6) + TIME(1,17,46)</f>
        <v>41949.05400462963</v>
      </c>
      <c r="C1383">
        <v>0</v>
      </c>
      <c r="D1383">
        <v>550</v>
      </c>
      <c r="E1383">
        <v>550</v>
      </c>
      <c r="F1383">
        <v>0</v>
      </c>
      <c r="G1383">
        <v>1327.5631103999999</v>
      </c>
      <c r="H1383">
        <v>1325.2911377</v>
      </c>
      <c r="I1383">
        <v>1344.3582764</v>
      </c>
      <c r="J1383">
        <v>1339.7131348</v>
      </c>
      <c r="K1383">
        <v>80</v>
      </c>
      <c r="L1383">
        <v>79.360427856000001</v>
      </c>
      <c r="M1383">
        <v>60</v>
      </c>
      <c r="N1383">
        <v>59.529674530000001</v>
      </c>
    </row>
    <row r="1384" spans="1:14" x14ac:dyDescent="0.25">
      <c r="A1384">
        <v>1650.485365</v>
      </c>
      <c r="B1384" s="1">
        <f>DATE(2014,11,6) + TIME(11,38,55)</f>
        <v>41949.485358796293</v>
      </c>
      <c r="C1384">
        <v>0</v>
      </c>
      <c r="D1384">
        <v>550</v>
      </c>
      <c r="E1384">
        <v>550</v>
      </c>
      <c r="F1384">
        <v>0</v>
      </c>
      <c r="G1384">
        <v>1327.5534668</v>
      </c>
      <c r="H1384">
        <v>1325.2775879000001</v>
      </c>
      <c r="I1384">
        <v>1344.3452147999999</v>
      </c>
      <c r="J1384">
        <v>1339.7050781</v>
      </c>
      <c r="K1384">
        <v>80</v>
      </c>
      <c r="L1384">
        <v>79.322151184000006</v>
      </c>
      <c r="M1384">
        <v>60</v>
      </c>
      <c r="N1384">
        <v>59.575702667000002</v>
      </c>
    </row>
    <row r="1385" spans="1:14" x14ac:dyDescent="0.25">
      <c r="A1385">
        <v>1650.9516450000001</v>
      </c>
      <c r="B1385" s="1">
        <f>DATE(2014,11,6) + TIME(22,50,22)</f>
        <v>41949.951643518521</v>
      </c>
      <c r="C1385">
        <v>0</v>
      </c>
      <c r="D1385">
        <v>550</v>
      </c>
      <c r="E1385">
        <v>550</v>
      </c>
      <c r="F1385">
        <v>0</v>
      </c>
      <c r="G1385">
        <v>1327.5429687999999</v>
      </c>
      <c r="H1385">
        <v>1325.2630615</v>
      </c>
      <c r="I1385">
        <v>1344.3323975000001</v>
      </c>
      <c r="J1385">
        <v>1339.6971435999999</v>
      </c>
      <c r="K1385">
        <v>80</v>
      </c>
      <c r="L1385">
        <v>79.281547545999999</v>
      </c>
      <c r="M1385">
        <v>60</v>
      </c>
      <c r="N1385">
        <v>59.618579865000001</v>
      </c>
    </row>
    <row r="1386" spans="1:14" x14ac:dyDescent="0.25">
      <c r="A1386">
        <v>1651.4587260000001</v>
      </c>
      <c r="B1386" s="1">
        <f>DATE(2014,11,7) + TIME(11,0,33)</f>
        <v>41950.458715277775</v>
      </c>
      <c r="C1386">
        <v>0</v>
      </c>
      <c r="D1386">
        <v>550</v>
      </c>
      <c r="E1386">
        <v>550</v>
      </c>
      <c r="F1386">
        <v>0</v>
      </c>
      <c r="G1386">
        <v>1327.5317382999999</v>
      </c>
      <c r="H1386">
        <v>1325.2473144999999</v>
      </c>
      <c r="I1386">
        <v>1344.3198242000001</v>
      </c>
      <c r="J1386">
        <v>1339.6893310999999</v>
      </c>
      <c r="K1386">
        <v>80</v>
      </c>
      <c r="L1386">
        <v>79.238258361999996</v>
      </c>
      <c r="M1386">
        <v>60</v>
      </c>
      <c r="N1386">
        <v>59.658298492</v>
      </c>
    </row>
    <row r="1387" spans="1:14" x14ac:dyDescent="0.25">
      <c r="A1387">
        <v>1652.0140180000001</v>
      </c>
      <c r="B1387" s="1">
        <f>DATE(2014,11,8) + TIME(0,20,11)</f>
        <v>41951.014016203706</v>
      </c>
      <c r="C1387">
        <v>0</v>
      </c>
      <c r="D1387">
        <v>550</v>
      </c>
      <c r="E1387">
        <v>550</v>
      </c>
      <c r="F1387">
        <v>0</v>
      </c>
      <c r="G1387">
        <v>1327.5194091999999</v>
      </c>
      <c r="H1387">
        <v>1325.2302245999999</v>
      </c>
      <c r="I1387">
        <v>1344.3073730000001</v>
      </c>
      <c r="J1387">
        <v>1339.6813964999999</v>
      </c>
      <c r="K1387">
        <v>80</v>
      </c>
      <c r="L1387">
        <v>79.191833496000001</v>
      </c>
      <c r="M1387">
        <v>60</v>
      </c>
      <c r="N1387">
        <v>59.694843292000002</v>
      </c>
    </row>
    <row r="1388" spans="1:14" x14ac:dyDescent="0.25">
      <c r="A1388">
        <v>1652.624278</v>
      </c>
      <c r="B1388" s="1">
        <f>DATE(2014,11,8) + TIME(14,58,57)</f>
        <v>41951.62427083333</v>
      </c>
      <c r="C1388">
        <v>0</v>
      </c>
      <c r="D1388">
        <v>550</v>
      </c>
      <c r="E1388">
        <v>550</v>
      </c>
      <c r="F1388">
        <v>0</v>
      </c>
      <c r="G1388">
        <v>1327.5059814000001</v>
      </c>
      <c r="H1388">
        <v>1325.2114257999999</v>
      </c>
      <c r="I1388">
        <v>1344.2951660000001</v>
      </c>
      <c r="J1388">
        <v>1339.6735839999999</v>
      </c>
      <c r="K1388">
        <v>80</v>
      </c>
      <c r="L1388">
        <v>79.141914368000002</v>
      </c>
      <c r="M1388">
        <v>60</v>
      </c>
      <c r="N1388">
        <v>59.728088378999999</v>
      </c>
    </row>
    <row r="1389" spans="1:14" x14ac:dyDescent="0.25">
      <c r="A1389">
        <v>1653.2601440000001</v>
      </c>
      <c r="B1389" s="1">
        <f>DATE(2014,11,9) + TIME(6,14,36)</f>
        <v>41952.260138888887</v>
      </c>
      <c r="C1389">
        <v>0</v>
      </c>
      <c r="D1389">
        <v>550</v>
      </c>
      <c r="E1389">
        <v>550</v>
      </c>
      <c r="F1389">
        <v>0</v>
      </c>
      <c r="G1389">
        <v>1327.4913329999999</v>
      </c>
      <c r="H1389">
        <v>1325.1910399999999</v>
      </c>
      <c r="I1389">
        <v>1344.2841797000001</v>
      </c>
      <c r="J1389">
        <v>1339.6662598</v>
      </c>
      <c r="K1389">
        <v>80</v>
      </c>
      <c r="L1389">
        <v>79.090682982999994</v>
      </c>
      <c r="M1389">
        <v>60</v>
      </c>
      <c r="N1389">
        <v>59.756576537999997</v>
      </c>
    </row>
    <row r="1390" spans="1:14" x14ac:dyDescent="0.25">
      <c r="A1390">
        <v>1653.924704</v>
      </c>
      <c r="B1390" s="1">
        <f>DATE(2014,11,9) + TIME(22,11,34)</f>
        <v>41952.924699074072</v>
      </c>
      <c r="C1390">
        <v>0</v>
      </c>
      <c r="D1390">
        <v>550</v>
      </c>
      <c r="E1390">
        <v>550</v>
      </c>
      <c r="F1390">
        <v>0</v>
      </c>
      <c r="G1390">
        <v>1327.4759521000001</v>
      </c>
      <c r="H1390">
        <v>1325.1696777</v>
      </c>
      <c r="I1390">
        <v>1344.2736815999999</v>
      </c>
      <c r="J1390">
        <v>1339.6591797000001</v>
      </c>
      <c r="K1390">
        <v>80</v>
      </c>
      <c r="L1390">
        <v>79.037956238000007</v>
      </c>
      <c r="M1390">
        <v>60</v>
      </c>
      <c r="N1390">
        <v>59.780883789000001</v>
      </c>
    </row>
    <row r="1391" spans="1:14" x14ac:dyDescent="0.25">
      <c r="A1391">
        <v>1654.6200060000001</v>
      </c>
      <c r="B1391" s="1">
        <f>DATE(2014,11,10) + TIME(14,52,48)</f>
        <v>41953.62</v>
      </c>
      <c r="C1391">
        <v>0</v>
      </c>
      <c r="D1391">
        <v>550</v>
      </c>
      <c r="E1391">
        <v>550</v>
      </c>
      <c r="F1391">
        <v>0</v>
      </c>
      <c r="G1391">
        <v>1327.4599608999999</v>
      </c>
      <c r="H1391">
        <v>1325.1472168</v>
      </c>
      <c r="I1391">
        <v>1344.2635498</v>
      </c>
      <c r="J1391">
        <v>1339.6520995999999</v>
      </c>
      <c r="K1391">
        <v>80</v>
      </c>
      <c r="L1391">
        <v>78.983619689999998</v>
      </c>
      <c r="M1391">
        <v>60</v>
      </c>
      <c r="N1391">
        <v>59.801494597999998</v>
      </c>
    </row>
    <row r="1392" spans="1:14" x14ac:dyDescent="0.25">
      <c r="A1392">
        <v>1655.348262</v>
      </c>
      <c r="B1392" s="1">
        <f>DATE(2014,11,11) + TIME(8,21,29)</f>
        <v>41954.348252314812</v>
      </c>
      <c r="C1392">
        <v>0</v>
      </c>
      <c r="D1392">
        <v>550</v>
      </c>
      <c r="E1392">
        <v>550</v>
      </c>
      <c r="F1392">
        <v>0</v>
      </c>
      <c r="G1392">
        <v>1327.4431152</v>
      </c>
      <c r="H1392">
        <v>1325.1237793</v>
      </c>
      <c r="I1392">
        <v>1344.2536620999999</v>
      </c>
      <c r="J1392">
        <v>1339.6452637</v>
      </c>
      <c r="K1392">
        <v>80</v>
      </c>
      <c r="L1392">
        <v>78.927558899000005</v>
      </c>
      <c r="M1392">
        <v>60</v>
      </c>
      <c r="N1392">
        <v>59.818851471000002</v>
      </c>
    </row>
    <row r="1393" spans="1:14" x14ac:dyDescent="0.25">
      <c r="A1393">
        <v>1656.1118550000001</v>
      </c>
      <c r="B1393" s="1">
        <f>DATE(2014,11,12) + TIME(2,41,4)</f>
        <v>41955.111851851849</v>
      </c>
      <c r="C1393">
        <v>0</v>
      </c>
      <c r="D1393">
        <v>550</v>
      </c>
      <c r="E1393">
        <v>550</v>
      </c>
      <c r="F1393">
        <v>0</v>
      </c>
      <c r="G1393">
        <v>1327.4254149999999</v>
      </c>
      <c r="H1393">
        <v>1325.098999</v>
      </c>
      <c r="I1393">
        <v>1344.2440185999999</v>
      </c>
      <c r="J1393">
        <v>1339.6384277</v>
      </c>
      <c r="K1393">
        <v>80</v>
      </c>
      <c r="L1393">
        <v>78.869659424000005</v>
      </c>
      <c r="M1393">
        <v>60</v>
      </c>
      <c r="N1393">
        <v>59.833370209000002</v>
      </c>
    </row>
    <row r="1394" spans="1:14" x14ac:dyDescent="0.25">
      <c r="A1394">
        <v>1656.9138310000001</v>
      </c>
      <c r="B1394" s="1">
        <f>DATE(2014,11,12) + TIME(21,55,55)</f>
        <v>41955.913831018515</v>
      </c>
      <c r="C1394">
        <v>0</v>
      </c>
      <c r="D1394">
        <v>550</v>
      </c>
      <c r="E1394">
        <v>550</v>
      </c>
      <c r="F1394">
        <v>0</v>
      </c>
      <c r="G1394">
        <v>1327.4067382999999</v>
      </c>
      <c r="H1394">
        <v>1325.0731201000001</v>
      </c>
      <c r="I1394">
        <v>1344.2344971</v>
      </c>
      <c r="J1394">
        <v>1339.6315918</v>
      </c>
      <c r="K1394">
        <v>80</v>
      </c>
      <c r="L1394">
        <v>78.809753418</v>
      </c>
      <c r="M1394">
        <v>60</v>
      </c>
      <c r="N1394">
        <v>59.845428466999998</v>
      </c>
    </row>
    <row r="1395" spans="1:14" x14ac:dyDescent="0.25">
      <c r="A1395">
        <v>1657.7573199999999</v>
      </c>
      <c r="B1395" s="1">
        <f>DATE(2014,11,13) + TIME(18,10,32)</f>
        <v>41956.757314814815</v>
      </c>
      <c r="C1395">
        <v>0</v>
      </c>
      <c r="D1395">
        <v>550</v>
      </c>
      <c r="E1395">
        <v>550</v>
      </c>
      <c r="F1395">
        <v>0</v>
      </c>
      <c r="G1395">
        <v>1327.387207</v>
      </c>
      <c r="H1395">
        <v>1325.0457764</v>
      </c>
      <c r="I1395">
        <v>1344.2252197</v>
      </c>
      <c r="J1395">
        <v>1339.6248779</v>
      </c>
      <c r="K1395">
        <v>80</v>
      </c>
      <c r="L1395">
        <v>78.747688292999996</v>
      </c>
      <c r="M1395">
        <v>60</v>
      </c>
      <c r="N1395">
        <v>59.855373383</v>
      </c>
    </row>
    <row r="1396" spans="1:14" x14ac:dyDescent="0.25">
      <c r="A1396">
        <v>1658.6458210000001</v>
      </c>
      <c r="B1396" s="1">
        <f>DATE(2014,11,14) + TIME(15,29,58)</f>
        <v>41957.645810185182</v>
      </c>
      <c r="C1396">
        <v>0</v>
      </c>
      <c r="D1396">
        <v>550</v>
      </c>
      <c r="E1396">
        <v>550</v>
      </c>
      <c r="F1396">
        <v>0</v>
      </c>
      <c r="G1396">
        <v>1327.3665771000001</v>
      </c>
      <c r="H1396">
        <v>1325.0170897999999</v>
      </c>
      <c r="I1396">
        <v>1344.2159423999999</v>
      </c>
      <c r="J1396">
        <v>1339.6180420000001</v>
      </c>
      <c r="K1396">
        <v>80</v>
      </c>
      <c r="L1396">
        <v>78.683296204000001</v>
      </c>
      <c r="M1396">
        <v>60</v>
      </c>
      <c r="N1396">
        <v>59.863517760999997</v>
      </c>
    </row>
    <row r="1397" spans="1:14" x14ac:dyDescent="0.25">
      <c r="A1397">
        <v>1659.565165</v>
      </c>
      <c r="B1397" s="1">
        <f>DATE(2014,11,15) + TIME(13,33,50)</f>
        <v>41958.565162037034</v>
      </c>
      <c r="C1397">
        <v>0</v>
      </c>
      <c r="D1397">
        <v>550</v>
      </c>
      <c r="E1397">
        <v>550</v>
      </c>
      <c r="F1397">
        <v>0</v>
      </c>
      <c r="G1397">
        <v>1327.3449707</v>
      </c>
      <c r="H1397">
        <v>1324.9868164</v>
      </c>
      <c r="I1397">
        <v>1344.2069091999999</v>
      </c>
      <c r="J1397">
        <v>1339.6113281</v>
      </c>
      <c r="K1397">
        <v>80</v>
      </c>
      <c r="L1397">
        <v>78.617454529</v>
      </c>
      <c r="M1397">
        <v>60</v>
      </c>
      <c r="N1397">
        <v>59.870040893999999</v>
      </c>
    </row>
    <row r="1398" spans="1:14" x14ac:dyDescent="0.25">
      <c r="A1398">
        <v>1660.517329</v>
      </c>
      <c r="B1398" s="1">
        <f>DATE(2014,11,16) + TIME(12,24,57)</f>
        <v>41959.517326388886</v>
      </c>
      <c r="C1398">
        <v>0</v>
      </c>
      <c r="D1398">
        <v>550</v>
      </c>
      <c r="E1398">
        <v>550</v>
      </c>
      <c r="F1398">
        <v>0</v>
      </c>
      <c r="G1398">
        <v>1327.3225098</v>
      </c>
      <c r="H1398">
        <v>1324.9554443</v>
      </c>
      <c r="I1398">
        <v>1344.1979980000001</v>
      </c>
      <c r="J1398">
        <v>1339.6046143000001</v>
      </c>
      <c r="K1398">
        <v>80</v>
      </c>
      <c r="L1398">
        <v>78.550079346000004</v>
      </c>
      <c r="M1398">
        <v>60</v>
      </c>
      <c r="N1398">
        <v>59.875247954999999</v>
      </c>
    </row>
    <row r="1399" spans="1:14" x14ac:dyDescent="0.25">
      <c r="A1399">
        <v>1661.507711</v>
      </c>
      <c r="B1399" s="1">
        <f>DATE(2014,11,17) + TIME(12,11,6)</f>
        <v>41960.507708333331</v>
      </c>
      <c r="C1399">
        <v>0</v>
      </c>
      <c r="D1399">
        <v>550</v>
      </c>
      <c r="E1399">
        <v>550</v>
      </c>
      <c r="F1399">
        <v>0</v>
      </c>
      <c r="G1399">
        <v>1327.2990723</v>
      </c>
      <c r="H1399">
        <v>1324.9228516000001</v>
      </c>
      <c r="I1399">
        <v>1344.1892089999999</v>
      </c>
      <c r="J1399">
        <v>1339.5980225000001</v>
      </c>
      <c r="K1399">
        <v>80</v>
      </c>
      <c r="L1399">
        <v>78.480903624999996</v>
      </c>
      <c r="M1399">
        <v>60</v>
      </c>
      <c r="N1399">
        <v>59.879402161000002</v>
      </c>
    </row>
    <row r="1400" spans="1:14" x14ac:dyDescent="0.25">
      <c r="A1400">
        <v>1662.5420220000001</v>
      </c>
      <c r="B1400" s="1">
        <f>DATE(2014,11,18) + TIME(13,0,30)</f>
        <v>41961.542013888888</v>
      </c>
      <c r="C1400">
        <v>0</v>
      </c>
      <c r="D1400">
        <v>550</v>
      </c>
      <c r="E1400">
        <v>550</v>
      </c>
      <c r="F1400">
        <v>0</v>
      </c>
      <c r="G1400">
        <v>1327.2747803</v>
      </c>
      <c r="H1400">
        <v>1324.8889160000001</v>
      </c>
      <c r="I1400">
        <v>1344.1806641000001</v>
      </c>
      <c r="J1400">
        <v>1339.5914307</v>
      </c>
      <c r="K1400">
        <v>80</v>
      </c>
      <c r="L1400">
        <v>78.409652710000003</v>
      </c>
      <c r="M1400">
        <v>60</v>
      </c>
      <c r="N1400">
        <v>59.882720947000003</v>
      </c>
    </row>
    <row r="1401" spans="1:14" x14ac:dyDescent="0.25">
      <c r="A1401">
        <v>1663.6268439999999</v>
      </c>
      <c r="B1401" s="1">
        <f>DATE(2014,11,19) + TIME(15,2,39)</f>
        <v>41962.626840277779</v>
      </c>
      <c r="C1401">
        <v>0</v>
      </c>
      <c r="D1401">
        <v>550</v>
      </c>
      <c r="E1401">
        <v>550</v>
      </c>
      <c r="F1401">
        <v>0</v>
      </c>
      <c r="G1401">
        <v>1327.2493896000001</v>
      </c>
      <c r="H1401">
        <v>1324.8533935999999</v>
      </c>
      <c r="I1401">
        <v>1344.1719971</v>
      </c>
      <c r="J1401">
        <v>1339.5849608999999</v>
      </c>
      <c r="K1401">
        <v>80</v>
      </c>
      <c r="L1401">
        <v>78.335998535000002</v>
      </c>
      <c r="M1401">
        <v>60</v>
      </c>
      <c r="N1401">
        <v>59.885372162000003</v>
      </c>
    </row>
    <row r="1402" spans="1:14" x14ac:dyDescent="0.25">
      <c r="A1402">
        <v>1664.7444760000001</v>
      </c>
      <c r="B1402" s="1">
        <f>DATE(2014,11,20) + TIME(17,52,2)</f>
        <v>41963.744467592594</v>
      </c>
      <c r="C1402">
        <v>0</v>
      </c>
      <c r="D1402">
        <v>550</v>
      </c>
      <c r="E1402">
        <v>550</v>
      </c>
      <c r="F1402">
        <v>0</v>
      </c>
      <c r="G1402">
        <v>1327.2227783000001</v>
      </c>
      <c r="H1402">
        <v>1324.8161620999999</v>
      </c>
      <c r="I1402">
        <v>1344.1635742000001</v>
      </c>
      <c r="J1402">
        <v>1339.5783690999999</v>
      </c>
      <c r="K1402">
        <v>80</v>
      </c>
      <c r="L1402">
        <v>78.260932921999995</v>
      </c>
      <c r="M1402">
        <v>60</v>
      </c>
      <c r="N1402">
        <v>59.887454986999998</v>
      </c>
    </row>
    <row r="1403" spans="1:14" x14ac:dyDescent="0.25">
      <c r="A1403">
        <v>1665.897866</v>
      </c>
      <c r="B1403" s="1">
        <f>DATE(2014,11,21) + TIME(21,32,55)</f>
        <v>41964.897858796299</v>
      </c>
      <c r="C1403">
        <v>0</v>
      </c>
      <c r="D1403">
        <v>550</v>
      </c>
      <c r="E1403">
        <v>550</v>
      </c>
      <c r="F1403">
        <v>0</v>
      </c>
      <c r="G1403">
        <v>1327.1953125</v>
      </c>
      <c r="H1403">
        <v>1324.777832</v>
      </c>
      <c r="I1403">
        <v>1344.1552733999999</v>
      </c>
      <c r="J1403">
        <v>1339.5720214999999</v>
      </c>
      <c r="K1403">
        <v>80</v>
      </c>
      <c r="L1403">
        <v>78.184356688999998</v>
      </c>
      <c r="M1403">
        <v>60</v>
      </c>
      <c r="N1403">
        <v>59.889099121000001</v>
      </c>
    </row>
    <row r="1404" spans="1:14" x14ac:dyDescent="0.25">
      <c r="A1404">
        <v>1667.089643</v>
      </c>
      <c r="B1404" s="1">
        <f>DATE(2014,11,23) + TIME(2,9,5)</f>
        <v>41966.089641203704</v>
      </c>
      <c r="C1404">
        <v>0</v>
      </c>
      <c r="D1404">
        <v>550</v>
      </c>
      <c r="E1404">
        <v>550</v>
      </c>
      <c r="F1404">
        <v>0</v>
      </c>
      <c r="G1404">
        <v>1327.1668701000001</v>
      </c>
      <c r="H1404">
        <v>1324.7380370999999</v>
      </c>
      <c r="I1404">
        <v>1344.1470947</v>
      </c>
      <c r="J1404">
        <v>1339.5656738</v>
      </c>
      <c r="K1404">
        <v>80</v>
      </c>
      <c r="L1404">
        <v>78.106178283999995</v>
      </c>
      <c r="M1404">
        <v>60</v>
      </c>
      <c r="N1404">
        <v>59.890403747999997</v>
      </c>
    </row>
    <row r="1405" spans="1:14" x14ac:dyDescent="0.25">
      <c r="A1405">
        <v>1668.3226540000001</v>
      </c>
      <c r="B1405" s="1">
        <f>DATE(2014,11,24) + TIME(7,44,37)</f>
        <v>41967.322650462964</v>
      </c>
      <c r="C1405">
        <v>0</v>
      </c>
      <c r="D1405">
        <v>550</v>
      </c>
      <c r="E1405">
        <v>550</v>
      </c>
      <c r="F1405">
        <v>0</v>
      </c>
      <c r="G1405">
        <v>1327.1375731999999</v>
      </c>
      <c r="H1405">
        <v>1324.6970214999999</v>
      </c>
      <c r="I1405">
        <v>1344.1391602000001</v>
      </c>
      <c r="J1405">
        <v>1339.5594481999999</v>
      </c>
      <c r="K1405">
        <v>80</v>
      </c>
      <c r="L1405">
        <v>78.026306152000004</v>
      </c>
      <c r="M1405">
        <v>60</v>
      </c>
      <c r="N1405">
        <v>59.891445160000004</v>
      </c>
    </row>
    <row r="1406" spans="1:14" x14ac:dyDescent="0.25">
      <c r="A1406">
        <v>1669.5999730000001</v>
      </c>
      <c r="B1406" s="1">
        <f>DATE(2014,11,25) + TIME(14,23,57)</f>
        <v>41968.599965277775</v>
      </c>
      <c r="C1406">
        <v>0</v>
      </c>
      <c r="D1406">
        <v>550</v>
      </c>
      <c r="E1406">
        <v>550</v>
      </c>
      <c r="F1406">
        <v>0</v>
      </c>
      <c r="G1406">
        <v>1327.1071777</v>
      </c>
      <c r="H1406">
        <v>1324.6544189000001</v>
      </c>
      <c r="I1406">
        <v>1344.1313477000001</v>
      </c>
      <c r="J1406">
        <v>1339.5533447</v>
      </c>
      <c r="K1406">
        <v>80</v>
      </c>
      <c r="L1406">
        <v>77.944641113000003</v>
      </c>
      <c r="M1406">
        <v>60</v>
      </c>
      <c r="N1406">
        <v>59.892288207999997</v>
      </c>
    </row>
    <row r="1407" spans="1:14" x14ac:dyDescent="0.25">
      <c r="A1407">
        <v>1670.9249359999999</v>
      </c>
      <c r="B1407" s="1">
        <f>DATE(2014,11,26) + TIME(22,11,54)</f>
        <v>41969.924930555557</v>
      </c>
      <c r="C1407">
        <v>0</v>
      </c>
      <c r="D1407">
        <v>550</v>
      </c>
      <c r="E1407">
        <v>550</v>
      </c>
      <c r="F1407">
        <v>0</v>
      </c>
      <c r="G1407">
        <v>1327.0756836</v>
      </c>
      <c r="H1407">
        <v>1324.6103516000001</v>
      </c>
      <c r="I1407">
        <v>1344.1236572</v>
      </c>
      <c r="J1407">
        <v>1339.5473632999999</v>
      </c>
      <c r="K1407">
        <v>80</v>
      </c>
      <c r="L1407">
        <v>77.861061096</v>
      </c>
      <c r="M1407">
        <v>60</v>
      </c>
      <c r="N1407">
        <v>59.892971039000003</v>
      </c>
    </row>
    <row r="1408" spans="1:14" x14ac:dyDescent="0.25">
      <c r="A1408">
        <v>1672.3011730000001</v>
      </c>
      <c r="B1408" s="1">
        <f>DATE(2014,11,28) + TIME(7,13,41)</f>
        <v>41971.301168981481</v>
      </c>
      <c r="C1408">
        <v>0</v>
      </c>
      <c r="D1408">
        <v>550</v>
      </c>
      <c r="E1408">
        <v>550</v>
      </c>
      <c r="F1408">
        <v>0</v>
      </c>
      <c r="G1408">
        <v>1327.0429687999999</v>
      </c>
      <c r="H1408">
        <v>1324.5645752</v>
      </c>
      <c r="I1408">
        <v>1344.1160889</v>
      </c>
      <c r="J1408">
        <v>1339.5413818</v>
      </c>
      <c r="K1408">
        <v>80</v>
      </c>
      <c r="L1408">
        <v>77.775436400999993</v>
      </c>
      <c r="M1408">
        <v>60</v>
      </c>
      <c r="N1408">
        <v>59.893539429</v>
      </c>
    </row>
    <row r="1409" spans="1:14" x14ac:dyDescent="0.25">
      <c r="A1409">
        <v>1673.732319</v>
      </c>
      <c r="B1409" s="1">
        <f>DATE(2014,11,29) + TIME(17,34,32)</f>
        <v>41972.732314814813</v>
      </c>
      <c r="C1409">
        <v>0</v>
      </c>
      <c r="D1409">
        <v>550</v>
      </c>
      <c r="E1409">
        <v>550</v>
      </c>
      <c r="F1409">
        <v>0</v>
      </c>
      <c r="G1409">
        <v>1327.0091553</v>
      </c>
      <c r="H1409">
        <v>1324.5169678</v>
      </c>
      <c r="I1409">
        <v>1344.1085204999999</v>
      </c>
      <c r="J1409">
        <v>1339.5354004000001</v>
      </c>
      <c r="K1409">
        <v>80</v>
      </c>
      <c r="L1409">
        <v>77.687644958000007</v>
      </c>
      <c r="M1409">
        <v>60</v>
      </c>
      <c r="N1409">
        <v>59.894012451000002</v>
      </c>
    </row>
    <row r="1410" spans="1:14" x14ac:dyDescent="0.25">
      <c r="A1410">
        <v>1675</v>
      </c>
      <c r="B1410" s="1">
        <f>DATE(2014,12,1) + TIME(0,0,0)</f>
        <v>41974</v>
      </c>
      <c r="C1410">
        <v>0</v>
      </c>
      <c r="D1410">
        <v>550</v>
      </c>
      <c r="E1410">
        <v>550</v>
      </c>
      <c r="F1410">
        <v>0</v>
      </c>
      <c r="G1410">
        <v>1326.9746094</v>
      </c>
      <c r="H1410">
        <v>1324.4688721</v>
      </c>
      <c r="I1410">
        <v>1344.1011963000001</v>
      </c>
      <c r="J1410">
        <v>1339.5295410000001</v>
      </c>
      <c r="K1410">
        <v>80</v>
      </c>
      <c r="L1410">
        <v>77.607872009000005</v>
      </c>
      <c r="M1410">
        <v>60</v>
      </c>
      <c r="N1410">
        <v>59.894359588999997</v>
      </c>
    </row>
    <row r="1411" spans="1:14" x14ac:dyDescent="0.25">
      <c r="A1411">
        <v>1676.4902950000001</v>
      </c>
      <c r="B1411" s="1">
        <f>DATE(2014,12,2) + TIME(11,46,1)</f>
        <v>41975.490289351852</v>
      </c>
      <c r="C1411">
        <v>0</v>
      </c>
      <c r="D1411">
        <v>550</v>
      </c>
      <c r="E1411">
        <v>550</v>
      </c>
      <c r="F1411">
        <v>0</v>
      </c>
      <c r="G1411">
        <v>1326.9422606999999</v>
      </c>
      <c r="H1411">
        <v>1324.4229736</v>
      </c>
      <c r="I1411">
        <v>1344.0949707</v>
      </c>
      <c r="J1411">
        <v>1339.5246582</v>
      </c>
      <c r="K1411">
        <v>80</v>
      </c>
      <c r="L1411">
        <v>77.518836974999999</v>
      </c>
      <c r="M1411">
        <v>60</v>
      </c>
      <c r="N1411">
        <v>59.894699097</v>
      </c>
    </row>
    <row r="1412" spans="1:14" x14ac:dyDescent="0.25">
      <c r="A1412">
        <v>1678.103566</v>
      </c>
      <c r="B1412" s="1">
        <f>DATE(2014,12,4) + TIME(2,29,8)</f>
        <v>41977.103564814817</v>
      </c>
      <c r="C1412">
        <v>0</v>
      </c>
      <c r="D1412">
        <v>550</v>
      </c>
      <c r="E1412">
        <v>550</v>
      </c>
      <c r="F1412">
        <v>0</v>
      </c>
      <c r="G1412">
        <v>1326.9053954999999</v>
      </c>
      <c r="H1412">
        <v>1324.3712158000001</v>
      </c>
      <c r="I1412">
        <v>1344.0880127</v>
      </c>
      <c r="J1412">
        <v>1339.5191649999999</v>
      </c>
      <c r="K1412">
        <v>80</v>
      </c>
      <c r="L1412">
        <v>77.424789429</v>
      </c>
      <c r="M1412">
        <v>60</v>
      </c>
      <c r="N1412">
        <v>59.895008087000001</v>
      </c>
    </row>
    <row r="1413" spans="1:14" x14ac:dyDescent="0.25">
      <c r="A1413">
        <v>1679.7887619999999</v>
      </c>
      <c r="B1413" s="1">
        <f>DATE(2014,12,5) + TIME(18,55,49)</f>
        <v>41978.788761574076</v>
      </c>
      <c r="C1413">
        <v>0</v>
      </c>
      <c r="D1413">
        <v>550</v>
      </c>
      <c r="E1413">
        <v>550</v>
      </c>
      <c r="F1413">
        <v>0</v>
      </c>
      <c r="G1413">
        <v>1326.8659668</v>
      </c>
      <c r="H1413">
        <v>1324.315918</v>
      </c>
      <c r="I1413">
        <v>1344.0808105000001</v>
      </c>
      <c r="J1413">
        <v>1339.5134277</v>
      </c>
      <c r="K1413">
        <v>80</v>
      </c>
      <c r="L1413">
        <v>77.327728270999998</v>
      </c>
      <c r="M1413">
        <v>60</v>
      </c>
      <c r="N1413">
        <v>59.895278931</v>
      </c>
    </row>
    <row r="1414" spans="1:14" x14ac:dyDescent="0.25">
      <c r="A1414">
        <v>1681.5544709999999</v>
      </c>
      <c r="B1414" s="1">
        <f>DATE(2014,12,7) + TIME(13,18,26)</f>
        <v>41980.554467592592</v>
      </c>
      <c r="C1414">
        <v>0</v>
      </c>
      <c r="D1414">
        <v>550</v>
      </c>
      <c r="E1414">
        <v>550</v>
      </c>
      <c r="F1414">
        <v>0</v>
      </c>
      <c r="G1414">
        <v>1326.8248291</v>
      </c>
      <c r="H1414">
        <v>1324.2579346</v>
      </c>
      <c r="I1414">
        <v>1344.0736084</v>
      </c>
      <c r="J1414">
        <v>1339.5076904</v>
      </c>
      <c r="K1414">
        <v>80</v>
      </c>
      <c r="L1414">
        <v>77.227394103999998</v>
      </c>
      <c r="M1414">
        <v>60</v>
      </c>
      <c r="N1414">
        <v>59.895519256999997</v>
      </c>
    </row>
    <row r="1415" spans="1:14" x14ac:dyDescent="0.25">
      <c r="A1415">
        <v>1683.3686909999999</v>
      </c>
      <c r="B1415" s="1">
        <f>DATE(2014,12,9) + TIME(8,50,54)</f>
        <v>41982.368680555555</v>
      </c>
      <c r="C1415">
        <v>0</v>
      </c>
      <c r="D1415">
        <v>550</v>
      </c>
      <c r="E1415">
        <v>550</v>
      </c>
      <c r="F1415">
        <v>0</v>
      </c>
      <c r="G1415">
        <v>1326.7817382999999</v>
      </c>
      <c r="H1415">
        <v>1324.1975098</v>
      </c>
      <c r="I1415">
        <v>1344.0665283000001</v>
      </c>
      <c r="J1415">
        <v>1339.5020752</v>
      </c>
      <c r="K1415">
        <v>80</v>
      </c>
      <c r="L1415">
        <v>77.125083923000005</v>
      </c>
      <c r="M1415">
        <v>60</v>
      </c>
      <c r="N1415">
        <v>59.895736694</v>
      </c>
    </row>
    <row r="1416" spans="1:14" x14ac:dyDescent="0.25">
      <c r="A1416">
        <v>1685.2364620000001</v>
      </c>
      <c r="B1416" s="1">
        <f>DATE(2014,12,11) + TIME(5,40,30)</f>
        <v>41984.236458333333</v>
      </c>
      <c r="C1416">
        <v>0</v>
      </c>
      <c r="D1416">
        <v>550</v>
      </c>
      <c r="E1416">
        <v>550</v>
      </c>
      <c r="F1416">
        <v>0</v>
      </c>
      <c r="G1416">
        <v>1326.7375488</v>
      </c>
      <c r="H1416">
        <v>1324.1352539</v>
      </c>
      <c r="I1416">
        <v>1344.0596923999999</v>
      </c>
      <c r="J1416">
        <v>1339.4964600000001</v>
      </c>
      <c r="K1416">
        <v>80</v>
      </c>
      <c r="L1416">
        <v>77.020774841000005</v>
      </c>
      <c r="M1416">
        <v>60</v>
      </c>
      <c r="N1416">
        <v>59.895931244000003</v>
      </c>
    </row>
    <row r="1417" spans="1:14" x14ac:dyDescent="0.25">
      <c r="A1417">
        <v>1687.1622070000001</v>
      </c>
      <c r="B1417" s="1">
        <f>DATE(2014,12,13) + TIME(3,53,34)</f>
        <v>41986.162199074075</v>
      </c>
      <c r="C1417">
        <v>0</v>
      </c>
      <c r="D1417">
        <v>550</v>
      </c>
      <c r="E1417">
        <v>550</v>
      </c>
      <c r="F1417">
        <v>0</v>
      </c>
      <c r="G1417">
        <v>1326.6918945</v>
      </c>
      <c r="H1417">
        <v>1324.0709228999999</v>
      </c>
      <c r="I1417">
        <v>1344.0529785000001</v>
      </c>
      <c r="J1417">
        <v>1339.4910889</v>
      </c>
      <c r="K1417">
        <v>80</v>
      </c>
      <c r="L1417">
        <v>76.914405822999996</v>
      </c>
      <c r="M1417">
        <v>60</v>
      </c>
      <c r="N1417">
        <v>59.896110534999998</v>
      </c>
    </row>
    <row r="1418" spans="1:14" x14ac:dyDescent="0.25">
      <c r="A1418">
        <v>1689.150731</v>
      </c>
      <c r="B1418" s="1">
        <f>DATE(2014,12,15) + TIME(3,37,3)</f>
        <v>41988.150729166664</v>
      </c>
      <c r="C1418">
        <v>0</v>
      </c>
      <c r="D1418">
        <v>550</v>
      </c>
      <c r="E1418">
        <v>550</v>
      </c>
      <c r="F1418">
        <v>0</v>
      </c>
      <c r="G1418">
        <v>1326.6447754000001</v>
      </c>
      <c r="H1418">
        <v>1324.0046387</v>
      </c>
      <c r="I1418">
        <v>1344.0463867000001</v>
      </c>
      <c r="J1418">
        <v>1339.4857178</v>
      </c>
      <c r="K1418">
        <v>80</v>
      </c>
      <c r="L1418">
        <v>76.805870056000003</v>
      </c>
      <c r="M1418">
        <v>60</v>
      </c>
      <c r="N1418">
        <v>59.896274566999999</v>
      </c>
    </row>
    <row r="1419" spans="1:14" x14ac:dyDescent="0.25">
      <c r="A1419">
        <v>1691.2071759999999</v>
      </c>
      <c r="B1419" s="1">
        <f>DATE(2014,12,17) + TIME(4,58,19)</f>
        <v>41990.20716435185</v>
      </c>
      <c r="C1419">
        <v>0</v>
      </c>
      <c r="D1419">
        <v>550</v>
      </c>
      <c r="E1419">
        <v>550</v>
      </c>
      <c r="F1419">
        <v>0</v>
      </c>
      <c r="G1419">
        <v>1326.5963135</v>
      </c>
      <c r="H1419">
        <v>1323.9362793</v>
      </c>
      <c r="I1419">
        <v>1344.0397949000001</v>
      </c>
      <c r="J1419">
        <v>1339.4805908000001</v>
      </c>
      <c r="K1419">
        <v>80</v>
      </c>
      <c r="L1419">
        <v>76.694999695000007</v>
      </c>
      <c r="M1419">
        <v>60</v>
      </c>
      <c r="N1419">
        <v>59.896427154999998</v>
      </c>
    </row>
    <row r="1420" spans="1:14" x14ac:dyDescent="0.25">
      <c r="A1420">
        <v>1693.337072</v>
      </c>
      <c r="B1420" s="1">
        <f>DATE(2014,12,19) + TIME(8,5,22)</f>
        <v>41992.337060185186</v>
      </c>
      <c r="C1420">
        <v>0</v>
      </c>
      <c r="D1420">
        <v>550</v>
      </c>
      <c r="E1420">
        <v>550</v>
      </c>
      <c r="F1420">
        <v>0</v>
      </c>
      <c r="G1420">
        <v>1326.5462646000001</v>
      </c>
      <c r="H1420">
        <v>1323.8656006000001</v>
      </c>
      <c r="I1420">
        <v>1344.0334473</v>
      </c>
      <c r="J1420">
        <v>1339.4754639</v>
      </c>
      <c r="K1420">
        <v>80</v>
      </c>
      <c r="L1420">
        <v>76.581596375000004</v>
      </c>
      <c r="M1420">
        <v>60</v>
      </c>
      <c r="N1420">
        <v>59.896575927999997</v>
      </c>
    </row>
    <row r="1421" spans="1:14" x14ac:dyDescent="0.25">
      <c r="A1421">
        <v>1695.5464280000001</v>
      </c>
      <c r="B1421" s="1">
        <f>DATE(2014,12,21) + TIME(13,6,51)</f>
        <v>41994.546423611115</v>
      </c>
      <c r="C1421">
        <v>0</v>
      </c>
      <c r="D1421">
        <v>550</v>
      </c>
      <c r="E1421">
        <v>550</v>
      </c>
      <c r="F1421">
        <v>0</v>
      </c>
      <c r="G1421">
        <v>1326.4945068</v>
      </c>
      <c r="H1421">
        <v>1323.7924805</v>
      </c>
      <c r="I1421">
        <v>1344.0272216999999</v>
      </c>
      <c r="J1421">
        <v>1339.4703368999999</v>
      </c>
      <c r="K1421">
        <v>80</v>
      </c>
      <c r="L1421">
        <v>76.465408324999999</v>
      </c>
      <c r="M1421">
        <v>60</v>
      </c>
      <c r="N1421">
        <v>59.896717072000001</v>
      </c>
    </row>
    <row r="1422" spans="1:14" x14ac:dyDescent="0.25">
      <c r="A1422">
        <v>1697.841177</v>
      </c>
      <c r="B1422" s="1">
        <f>DATE(2014,12,23) + TIME(20,11,17)</f>
        <v>41996.841168981482</v>
      </c>
      <c r="C1422">
        <v>0</v>
      </c>
      <c r="D1422">
        <v>550</v>
      </c>
      <c r="E1422">
        <v>550</v>
      </c>
      <c r="F1422">
        <v>0</v>
      </c>
      <c r="G1422">
        <v>1326.440918</v>
      </c>
      <c r="H1422">
        <v>1323.7167969</v>
      </c>
      <c r="I1422">
        <v>1344.0209961</v>
      </c>
      <c r="J1422">
        <v>1339.465332</v>
      </c>
      <c r="K1422">
        <v>80</v>
      </c>
      <c r="L1422">
        <v>76.346168517999999</v>
      </c>
      <c r="M1422">
        <v>60</v>
      </c>
      <c r="N1422">
        <v>59.896854400999999</v>
      </c>
    </row>
    <row r="1423" spans="1:14" x14ac:dyDescent="0.25">
      <c r="A1423">
        <v>1700.228558</v>
      </c>
      <c r="B1423" s="1">
        <f>DATE(2014,12,26) + TIME(5,29,7)</f>
        <v>41999.22855324074</v>
      </c>
      <c r="C1423">
        <v>0</v>
      </c>
      <c r="D1423">
        <v>550</v>
      </c>
      <c r="E1423">
        <v>550</v>
      </c>
      <c r="F1423">
        <v>0</v>
      </c>
      <c r="G1423">
        <v>1326.3854980000001</v>
      </c>
      <c r="H1423">
        <v>1323.6384277</v>
      </c>
      <c r="I1423">
        <v>1344.0147704999999</v>
      </c>
      <c r="J1423">
        <v>1339.4604492000001</v>
      </c>
      <c r="K1423">
        <v>80</v>
      </c>
      <c r="L1423">
        <v>76.223533630000006</v>
      </c>
      <c r="M1423">
        <v>60</v>
      </c>
      <c r="N1423">
        <v>59.896991730000003</v>
      </c>
    </row>
    <row r="1424" spans="1:14" x14ac:dyDescent="0.25">
      <c r="A1424">
        <v>1702.7167870000001</v>
      </c>
      <c r="B1424" s="1">
        <f>DATE(2014,12,28) + TIME(17,12,10)</f>
        <v>42001.716782407406</v>
      </c>
      <c r="C1424">
        <v>0</v>
      </c>
      <c r="D1424">
        <v>550</v>
      </c>
      <c r="E1424">
        <v>550</v>
      </c>
      <c r="F1424">
        <v>0</v>
      </c>
      <c r="G1424">
        <v>1326.3280029</v>
      </c>
      <c r="H1424">
        <v>1323.5570068</v>
      </c>
      <c r="I1424">
        <v>1344.0086670000001</v>
      </c>
      <c r="J1424">
        <v>1339.4555664</v>
      </c>
      <c r="K1424">
        <v>80</v>
      </c>
      <c r="L1424">
        <v>76.097114563000005</v>
      </c>
      <c r="M1424">
        <v>60</v>
      </c>
      <c r="N1424">
        <v>59.897125244000001</v>
      </c>
    </row>
    <row r="1425" spans="1:14" x14ac:dyDescent="0.25">
      <c r="A1425">
        <v>1705.31456</v>
      </c>
      <c r="B1425" s="1">
        <f>DATE(2014,12,31) + TIME(7,32,58)</f>
        <v>42004.314560185187</v>
      </c>
      <c r="C1425">
        <v>0</v>
      </c>
      <c r="D1425">
        <v>550</v>
      </c>
      <c r="E1425">
        <v>550</v>
      </c>
      <c r="F1425">
        <v>0</v>
      </c>
      <c r="G1425">
        <v>1326.2683105000001</v>
      </c>
      <c r="H1425">
        <v>1323.4725341999999</v>
      </c>
      <c r="I1425">
        <v>1344.0025635</v>
      </c>
      <c r="J1425">
        <v>1339.4506836</v>
      </c>
      <c r="K1425">
        <v>80</v>
      </c>
      <c r="L1425">
        <v>75.966461182000003</v>
      </c>
      <c r="M1425">
        <v>60</v>
      </c>
      <c r="N1425">
        <v>59.897258759000003</v>
      </c>
    </row>
    <row r="1426" spans="1:14" x14ac:dyDescent="0.25">
      <c r="A1426">
        <v>1706</v>
      </c>
      <c r="B1426" s="1">
        <f>DATE(2015,1,1) + TIME(0,0,0)</f>
        <v>42005</v>
      </c>
      <c r="C1426">
        <v>0</v>
      </c>
      <c r="D1426">
        <v>550</v>
      </c>
      <c r="E1426">
        <v>550</v>
      </c>
      <c r="F1426">
        <v>0</v>
      </c>
      <c r="G1426">
        <v>1326.2132568</v>
      </c>
      <c r="H1426">
        <v>1323.3985596</v>
      </c>
      <c r="I1426">
        <v>1343.9958495999999</v>
      </c>
      <c r="J1426">
        <v>1339.4454346</v>
      </c>
      <c r="K1426">
        <v>80</v>
      </c>
      <c r="L1426">
        <v>75.916976929</v>
      </c>
      <c r="M1426">
        <v>60</v>
      </c>
      <c r="N1426">
        <v>59.897285461000003</v>
      </c>
    </row>
    <row r="1427" spans="1:14" x14ac:dyDescent="0.25">
      <c r="A1427">
        <v>1708.698637</v>
      </c>
      <c r="B1427" s="1">
        <f>DATE(2015,1,3) + TIME(16,46,2)</f>
        <v>42007.698634259257</v>
      </c>
      <c r="C1427">
        <v>0</v>
      </c>
      <c r="D1427">
        <v>550</v>
      </c>
      <c r="E1427">
        <v>550</v>
      </c>
      <c r="F1427">
        <v>0</v>
      </c>
      <c r="G1427">
        <v>1326.1866454999999</v>
      </c>
      <c r="H1427">
        <v>1323.3558350000001</v>
      </c>
      <c r="I1427">
        <v>1343.9949951000001</v>
      </c>
      <c r="J1427">
        <v>1339.4447021000001</v>
      </c>
      <c r="K1427">
        <v>80</v>
      </c>
      <c r="L1427">
        <v>75.787994385000005</v>
      </c>
      <c r="M1427">
        <v>60</v>
      </c>
      <c r="N1427">
        <v>59.897422790999997</v>
      </c>
    </row>
    <row r="1428" spans="1:14" x14ac:dyDescent="0.25">
      <c r="A1428">
        <v>1711.497985</v>
      </c>
      <c r="B1428" s="1">
        <f>DATE(2015,1,6) + TIME(11,57,5)</f>
        <v>42010.497974537036</v>
      </c>
      <c r="C1428">
        <v>0</v>
      </c>
      <c r="D1428">
        <v>550</v>
      </c>
      <c r="E1428">
        <v>550</v>
      </c>
      <c r="F1428">
        <v>0</v>
      </c>
      <c r="G1428">
        <v>1326.1239014</v>
      </c>
      <c r="H1428">
        <v>1323.2672118999999</v>
      </c>
      <c r="I1428">
        <v>1343.9890137</v>
      </c>
      <c r="J1428">
        <v>1339.4399414</v>
      </c>
      <c r="K1428">
        <v>80</v>
      </c>
      <c r="L1428">
        <v>75.652305603000002</v>
      </c>
      <c r="M1428">
        <v>60</v>
      </c>
      <c r="N1428">
        <v>59.897556305000002</v>
      </c>
    </row>
    <row r="1429" spans="1:14" x14ac:dyDescent="0.25">
      <c r="A1429">
        <v>1714.386166</v>
      </c>
      <c r="B1429" s="1">
        <f>DATE(2015,1,9) + TIME(9,16,4)</f>
        <v>42013.386157407411</v>
      </c>
      <c r="C1429">
        <v>0</v>
      </c>
      <c r="D1429">
        <v>550</v>
      </c>
      <c r="E1429">
        <v>550</v>
      </c>
      <c r="F1429">
        <v>0</v>
      </c>
      <c r="G1429">
        <v>1326.0584716999999</v>
      </c>
      <c r="H1429">
        <v>1323.1744385</v>
      </c>
      <c r="I1429">
        <v>1343.9830322</v>
      </c>
      <c r="J1429">
        <v>1339.4353027</v>
      </c>
      <c r="K1429">
        <v>80</v>
      </c>
      <c r="L1429">
        <v>75.510940551999994</v>
      </c>
      <c r="M1429">
        <v>60</v>
      </c>
      <c r="N1429">
        <v>59.897689819</v>
      </c>
    </row>
    <row r="1430" spans="1:14" x14ac:dyDescent="0.25">
      <c r="A1430">
        <v>1717.3717389999999</v>
      </c>
      <c r="B1430" s="1">
        <f>DATE(2015,1,12) + TIME(8,55,18)</f>
        <v>42016.371736111112</v>
      </c>
      <c r="C1430">
        <v>0</v>
      </c>
      <c r="D1430">
        <v>550</v>
      </c>
      <c r="E1430">
        <v>550</v>
      </c>
      <c r="F1430">
        <v>0</v>
      </c>
      <c r="G1430">
        <v>1325.9907227000001</v>
      </c>
      <c r="H1430">
        <v>1323.0783690999999</v>
      </c>
      <c r="I1430">
        <v>1343.9771728999999</v>
      </c>
      <c r="J1430">
        <v>1339.4307861</v>
      </c>
      <c r="K1430">
        <v>80</v>
      </c>
      <c r="L1430">
        <v>75.364128113000007</v>
      </c>
      <c r="M1430">
        <v>60</v>
      </c>
      <c r="N1430">
        <v>59.897827147999998</v>
      </c>
    </row>
    <row r="1431" spans="1:14" x14ac:dyDescent="0.25">
      <c r="A1431">
        <v>1720.463258</v>
      </c>
      <c r="B1431" s="1">
        <f>DATE(2015,1,15) + TIME(11,7,5)</f>
        <v>42019.463252314818</v>
      </c>
      <c r="C1431">
        <v>0</v>
      </c>
      <c r="D1431">
        <v>550</v>
      </c>
      <c r="E1431">
        <v>550</v>
      </c>
      <c r="F1431">
        <v>0</v>
      </c>
      <c r="G1431">
        <v>1325.9208983999999</v>
      </c>
      <c r="H1431">
        <v>1322.9788818</v>
      </c>
      <c r="I1431">
        <v>1343.9711914</v>
      </c>
      <c r="J1431">
        <v>1339.4262695</v>
      </c>
      <c r="K1431">
        <v>80</v>
      </c>
      <c r="L1431">
        <v>75.211723328000005</v>
      </c>
      <c r="M1431">
        <v>60</v>
      </c>
      <c r="N1431">
        <v>59.897960662999999</v>
      </c>
    </row>
    <row r="1432" spans="1:14" x14ac:dyDescent="0.25">
      <c r="A1432">
        <v>1723.6702210000001</v>
      </c>
      <c r="B1432" s="1">
        <f>DATE(2015,1,18) + TIME(16,5,7)</f>
        <v>42022.670219907406</v>
      </c>
      <c r="C1432">
        <v>0</v>
      </c>
      <c r="D1432">
        <v>550</v>
      </c>
      <c r="E1432">
        <v>550</v>
      </c>
      <c r="F1432">
        <v>0</v>
      </c>
      <c r="G1432">
        <v>1325.8487548999999</v>
      </c>
      <c r="H1432">
        <v>1322.8762207</v>
      </c>
      <c r="I1432">
        <v>1343.965332</v>
      </c>
      <c r="J1432">
        <v>1339.421875</v>
      </c>
      <c r="K1432">
        <v>80</v>
      </c>
      <c r="L1432">
        <v>75.053283691000004</v>
      </c>
      <c r="M1432">
        <v>60</v>
      </c>
      <c r="N1432">
        <v>59.898101807000003</v>
      </c>
    </row>
    <row r="1433" spans="1:14" x14ac:dyDescent="0.25">
      <c r="A1433">
        <v>1727.002806</v>
      </c>
      <c r="B1433" s="1">
        <f>DATE(2015,1,22) + TIME(0,4,2)</f>
        <v>42026.002800925926</v>
      </c>
      <c r="C1433">
        <v>0</v>
      </c>
      <c r="D1433">
        <v>550</v>
      </c>
      <c r="E1433">
        <v>550</v>
      </c>
      <c r="F1433">
        <v>0</v>
      </c>
      <c r="G1433">
        <v>1325.7745361</v>
      </c>
      <c r="H1433">
        <v>1322.7701416</v>
      </c>
      <c r="I1433">
        <v>1343.9594727000001</v>
      </c>
      <c r="J1433">
        <v>1339.4174805</v>
      </c>
      <c r="K1433">
        <v>80</v>
      </c>
      <c r="L1433">
        <v>74.888015746999997</v>
      </c>
      <c r="M1433">
        <v>60</v>
      </c>
      <c r="N1433">
        <v>59.898242949999997</v>
      </c>
    </row>
    <row r="1434" spans="1:14" x14ac:dyDescent="0.25">
      <c r="A1434">
        <v>1730.4709089999999</v>
      </c>
      <c r="B1434" s="1">
        <f>DATE(2015,1,25) + TIME(11,18,6)</f>
        <v>42029.470902777779</v>
      </c>
      <c r="C1434">
        <v>0</v>
      </c>
      <c r="D1434">
        <v>550</v>
      </c>
      <c r="E1434">
        <v>550</v>
      </c>
      <c r="F1434">
        <v>0</v>
      </c>
      <c r="G1434">
        <v>1325.6977539</v>
      </c>
      <c r="H1434">
        <v>1322.6605225000001</v>
      </c>
      <c r="I1434">
        <v>1343.9534911999999</v>
      </c>
      <c r="J1434">
        <v>1339.4130858999999</v>
      </c>
      <c r="K1434">
        <v>80</v>
      </c>
      <c r="L1434">
        <v>74.715118407999995</v>
      </c>
      <c r="M1434">
        <v>60</v>
      </c>
      <c r="N1434">
        <v>59.898387909</v>
      </c>
    </row>
    <row r="1435" spans="1:14" x14ac:dyDescent="0.25">
      <c r="A1435">
        <v>1734.056331</v>
      </c>
      <c r="B1435" s="1">
        <f>DATE(2015,1,29) + TIME(1,21,6)</f>
        <v>42033.056319444448</v>
      </c>
      <c r="C1435">
        <v>0</v>
      </c>
      <c r="D1435">
        <v>550</v>
      </c>
      <c r="E1435">
        <v>550</v>
      </c>
      <c r="F1435">
        <v>0</v>
      </c>
      <c r="G1435">
        <v>1325.6185303</v>
      </c>
      <c r="H1435">
        <v>1322.5473632999999</v>
      </c>
      <c r="I1435">
        <v>1343.9475098</v>
      </c>
      <c r="J1435">
        <v>1339.4088135</v>
      </c>
      <c r="K1435">
        <v>80</v>
      </c>
      <c r="L1435">
        <v>74.534393311000002</v>
      </c>
      <c r="M1435">
        <v>60</v>
      </c>
      <c r="N1435">
        <v>59.898532867</v>
      </c>
    </row>
    <row r="1436" spans="1:14" x14ac:dyDescent="0.25">
      <c r="A1436">
        <v>1737</v>
      </c>
      <c r="B1436" s="1">
        <f>DATE(2015,2,1) + TIME(0,0,0)</f>
        <v>42036</v>
      </c>
      <c r="C1436">
        <v>0</v>
      </c>
      <c r="D1436">
        <v>550</v>
      </c>
      <c r="E1436">
        <v>550</v>
      </c>
      <c r="F1436">
        <v>0</v>
      </c>
      <c r="G1436">
        <v>1325.5388184000001</v>
      </c>
      <c r="H1436">
        <v>1322.4342041</v>
      </c>
      <c r="I1436">
        <v>1343.9412841999999</v>
      </c>
      <c r="J1436">
        <v>1339.4042969</v>
      </c>
      <c r="K1436">
        <v>80</v>
      </c>
      <c r="L1436">
        <v>74.366729735999996</v>
      </c>
      <c r="M1436">
        <v>60</v>
      </c>
      <c r="N1436">
        <v>59.898647308000001</v>
      </c>
    </row>
    <row r="1437" spans="1:14" x14ac:dyDescent="0.25">
      <c r="A1437">
        <v>1740.679901</v>
      </c>
      <c r="B1437" s="1">
        <f>DATE(2015,2,4) + TIME(16,19,3)</f>
        <v>42039.679895833331</v>
      </c>
      <c r="C1437">
        <v>0</v>
      </c>
      <c r="D1437">
        <v>550</v>
      </c>
      <c r="E1437">
        <v>550</v>
      </c>
      <c r="F1437">
        <v>0</v>
      </c>
      <c r="G1437">
        <v>1325.4680175999999</v>
      </c>
      <c r="H1437">
        <v>1322.3304443</v>
      </c>
      <c r="I1437">
        <v>1343.9366454999999</v>
      </c>
      <c r="J1437">
        <v>1339.401001</v>
      </c>
      <c r="K1437">
        <v>80</v>
      </c>
      <c r="L1437">
        <v>74.182495117000002</v>
      </c>
      <c r="M1437">
        <v>60</v>
      </c>
      <c r="N1437">
        <v>59.898796081999997</v>
      </c>
    </row>
    <row r="1438" spans="1:14" x14ac:dyDescent="0.25">
      <c r="A1438">
        <v>1744.588583</v>
      </c>
      <c r="B1438" s="1">
        <f>DATE(2015,2,8) + TIME(14,7,33)</f>
        <v>42043.588576388887</v>
      </c>
      <c r="C1438">
        <v>0</v>
      </c>
      <c r="D1438">
        <v>550</v>
      </c>
      <c r="E1438">
        <v>550</v>
      </c>
      <c r="F1438">
        <v>0</v>
      </c>
      <c r="G1438">
        <v>1325.3868408000001</v>
      </c>
      <c r="H1438">
        <v>1322.2141113</v>
      </c>
      <c r="I1438">
        <v>1343.9307861</v>
      </c>
      <c r="J1438">
        <v>1339.3969727000001</v>
      </c>
      <c r="K1438">
        <v>80</v>
      </c>
      <c r="L1438">
        <v>73.983497619999994</v>
      </c>
      <c r="M1438">
        <v>60</v>
      </c>
      <c r="N1438">
        <v>59.898948668999999</v>
      </c>
    </row>
    <row r="1439" spans="1:14" x14ac:dyDescent="0.25">
      <c r="A1439">
        <v>1748.6558259999999</v>
      </c>
      <c r="B1439" s="1">
        <f>DATE(2015,2,12) + TIME(15,44,23)</f>
        <v>42047.655821759261</v>
      </c>
      <c r="C1439">
        <v>0</v>
      </c>
      <c r="D1439">
        <v>550</v>
      </c>
      <c r="E1439">
        <v>550</v>
      </c>
      <c r="F1439">
        <v>0</v>
      </c>
      <c r="G1439">
        <v>1325.3016356999999</v>
      </c>
      <c r="H1439">
        <v>1322.0915527</v>
      </c>
      <c r="I1439">
        <v>1343.9245605000001</v>
      </c>
      <c r="J1439">
        <v>1339.3927002</v>
      </c>
      <c r="K1439">
        <v>80</v>
      </c>
      <c r="L1439">
        <v>73.770393372000001</v>
      </c>
      <c r="M1439">
        <v>60</v>
      </c>
      <c r="N1439">
        <v>59.899105071999998</v>
      </c>
    </row>
    <row r="1440" spans="1:14" x14ac:dyDescent="0.25">
      <c r="A1440">
        <v>1752.8846100000001</v>
      </c>
      <c r="B1440" s="1">
        <f>DATE(2015,2,16) + TIME(21,13,50)</f>
        <v>42051.884606481479</v>
      </c>
      <c r="C1440">
        <v>0</v>
      </c>
      <c r="D1440">
        <v>550</v>
      </c>
      <c r="E1440">
        <v>550</v>
      </c>
      <c r="F1440">
        <v>0</v>
      </c>
      <c r="G1440">
        <v>1325.213501</v>
      </c>
      <c r="H1440">
        <v>1321.9645995999999</v>
      </c>
      <c r="I1440">
        <v>1343.9182129000001</v>
      </c>
      <c r="J1440">
        <v>1339.3885498</v>
      </c>
      <c r="K1440">
        <v>80</v>
      </c>
      <c r="L1440">
        <v>73.543243407999995</v>
      </c>
      <c r="M1440">
        <v>60</v>
      </c>
      <c r="N1440">
        <v>59.899265288999999</v>
      </c>
    </row>
    <row r="1441" spans="1:14" x14ac:dyDescent="0.25">
      <c r="A1441">
        <v>1757.285997</v>
      </c>
      <c r="B1441" s="1">
        <f>DATE(2015,2,21) + TIME(6,51,50)</f>
        <v>42056.285995370374</v>
      </c>
      <c r="C1441">
        <v>0</v>
      </c>
      <c r="D1441">
        <v>550</v>
      </c>
      <c r="E1441">
        <v>550</v>
      </c>
      <c r="F1441">
        <v>0</v>
      </c>
      <c r="G1441">
        <v>1325.1228027</v>
      </c>
      <c r="H1441">
        <v>1321.8334961</v>
      </c>
      <c r="I1441">
        <v>1343.9116211</v>
      </c>
      <c r="J1441">
        <v>1339.3842772999999</v>
      </c>
      <c r="K1441">
        <v>80</v>
      </c>
      <c r="L1441">
        <v>73.301322936999995</v>
      </c>
      <c r="M1441">
        <v>60</v>
      </c>
      <c r="N1441">
        <v>59.899425506999997</v>
      </c>
    </row>
    <row r="1442" spans="1:14" x14ac:dyDescent="0.25">
      <c r="A1442">
        <v>1761.8389219999999</v>
      </c>
      <c r="B1442" s="1">
        <f>DATE(2015,2,25) + TIME(20,8,2)</f>
        <v>42060.838912037034</v>
      </c>
      <c r="C1442">
        <v>0</v>
      </c>
      <c r="D1442">
        <v>550</v>
      </c>
      <c r="E1442">
        <v>550</v>
      </c>
      <c r="F1442">
        <v>0</v>
      </c>
      <c r="G1442">
        <v>1325.0297852000001</v>
      </c>
      <c r="H1442">
        <v>1321.6987305</v>
      </c>
      <c r="I1442">
        <v>1343.9049072</v>
      </c>
      <c r="J1442">
        <v>1339.3800048999999</v>
      </c>
      <c r="K1442">
        <v>80</v>
      </c>
      <c r="L1442">
        <v>73.044204711999996</v>
      </c>
      <c r="M1442">
        <v>60</v>
      </c>
      <c r="N1442">
        <v>59.899589538999997</v>
      </c>
    </row>
    <row r="1443" spans="1:14" x14ac:dyDescent="0.25">
      <c r="A1443">
        <v>1765</v>
      </c>
      <c r="B1443" s="1">
        <f>DATE(2015,3,1) + TIME(0,0,0)</f>
        <v>42064</v>
      </c>
      <c r="C1443">
        <v>0</v>
      </c>
      <c r="D1443">
        <v>550</v>
      </c>
      <c r="E1443">
        <v>550</v>
      </c>
      <c r="F1443">
        <v>0</v>
      </c>
      <c r="G1443">
        <v>1324.9375</v>
      </c>
      <c r="H1443">
        <v>1321.5670166</v>
      </c>
      <c r="I1443">
        <v>1343.8978271000001</v>
      </c>
      <c r="J1443">
        <v>1339.3754882999999</v>
      </c>
      <c r="K1443">
        <v>80</v>
      </c>
      <c r="L1443">
        <v>72.817741393999995</v>
      </c>
      <c r="M1443">
        <v>60</v>
      </c>
      <c r="N1443">
        <v>59.899688720999997</v>
      </c>
    </row>
    <row r="1444" spans="1:14" x14ac:dyDescent="0.25">
      <c r="A1444">
        <v>1769.7174359999999</v>
      </c>
      <c r="B1444" s="1">
        <f>DATE(2015,3,5) + TIME(17,13,6)</f>
        <v>42068.717430555553</v>
      </c>
      <c r="C1444">
        <v>0</v>
      </c>
      <c r="D1444">
        <v>550</v>
      </c>
      <c r="E1444">
        <v>550</v>
      </c>
      <c r="F1444">
        <v>0</v>
      </c>
      <c r="G1444">
        <v>1324.8638916</v>
      </c>
      <c r="H1444">
        <v>1321.4552002</v>
      </c>
      <c r="I1444">
        <v>1343.8934326000001</v>
      </c>
      <c r="J1444">
        <v>1339.3726807</v>
      </c>
      <c r="K1444">
        <v>80</v>
      </c>
      <c r="L1444">
        <v>72.561187743999994</v>
      </c>
      <c r="M1444">
        <v>60</v>
      </c>
      <c r="N1444">
        <v>59.899860382</v>
      </c>
    </row>
    <row r="1445" spans="1:14" x14ac:dyDescent="0.25">
      <c r="A1445">
        <v>1774.7223409999999</v>
      </c>
      <c r="B1445" s="1">
        <f>DATE(2015,3,10) + TIME(17,20,10)</f>
        <v>42073.722337962965</v>
      </c>
      <c r="C1445">
        <v>0</v>
      </c>
      <c r="D1445">
        <v>550</v>
      </c>
      <c r="E1445">
        <v>550</v>
      </c>
      <c r="F1445">
        <v>0</v>
      </c>
      <c r="G1445">
        <v>1324.7717285000001</v>
      </c>
      <c r="H1445">
        <v>1321.3215332</v>
      </c>
      <c r="I1445">
        <v>1343.8863524999999</v>
      </c>
      <c r="J1445">
        <v>1339.3684082</v>
      </c>
      <c r="K1445">
        <v>80</v>
      </c>
      <c r="L1445">
        <v>72.272003174000005</v>
      </c>
      <c r="M1445">
        <v>60</v>
      </c>
      <c r="N1445">
        <v>59.900032043000003</v>
      </c>
    </row>
    <row r="1446" spans="1:14" x14ac:dyDescent="0.25">
      <c r="A1446">
        <v>1779.8289870000001</v>
      </c>
      <c r="B1446" s="1">
        <f>DATE(2015,3,15) + TIME(19,53,44)</f>
        <v>42078.828981481478</v>
      </c>
      <c r="C1446">
        <v>0</v>
      </c>
      <c r="D1446">
        <v>550</v>
      </c>
      <c r="E1446">
        <v>550</v>
      </c>
      <c r="F1446">
        <v>0</v>
      </c>
      <c r="G1446">
        <v>1324.6748047000001</v>
      </c>
      <c r="H1446">
        <v>1321.1802978999999</v>
      </c>
      <c r="I1446">
        <v>1343.8789062000001</v>
      </c>
      <c r="J1446">
        <v>1339.3640137</v>
      </c>
      <c r="K1446">
        <v>80</v>
      </c>
      <c r="L1446">
        <v>71.957870482999994</v>
      </c>
      <c r="M1446">
        <v>60</v>
      </c>
      <c r="N1446">
        <v>59.900199890000003</v>
      </c>
    </row>
    <row r="1447" spans="1:14" x14ac:dyDescent="0.25">
      <c r="A1447">
        <v>1785.0695780000001</v>
      </c>
      <c r="B1447" s="1">
        <f>DATE(2015,3,21) + TIME(1,40,11)</f>
        <v>42084.069571759261</v>
      </c>
      <c r="C1447">
        <v>0</v>
      </c>
      <c r="D1447">
        <v>550</v>
      </c>
      <c r="E1447">
        <v>550</v>
      </c>
      <c r="F1447">
        <v>0</v>
      </c>
      <c r="G1447">
        <v>1324.5766602000001</v>
      </c>
      <c r="H1447">
        <v>1321.0362548999999</v>
      </c>
      <c r="I1447">
        <v>1343.8712158000001</v>
      </c>
      <c r="J1447">
        <v>1339.3594971</v>
      </c>
      <c r="K1447">
        <v>80</v>
      </c>
      <c r="L1447">
        <v>71.623847960999996</v>
      </c>
      <c r="M1447">
        <v>60</v>
      </c>
      <c r="N1447">
        <v>59.900367737000003</v>
      </c>
    </row>
    <row r="1448" spans="1:14" x14ac:dyDescent="0.25">
      <c r="A1448">
        <v>1790.4757360000001</v>
      </c>
      <c r="B1448" s="1">
        <f>DATE(2015,3,26) + TIME(11,25,3)</f>
        <v>42089.475729166668</v>
      </c>
      <c r="C1448">
        <v>0</v>
      </c>
      <c r="D1448">
        <v>550</v>
      </c>
      <c r="E1448">
        <v>550</v>
      </c>
      <c r="F1448">
        <v>0</v>
      </c>
      <c r="G1448">
        <v>1324.4781493999999</v>
      </c>
      <c r="H1448">
        <v>1320.8909911999999</v>
      </c>
      <c r="I1448">
        <v>1343.8634033000001</v>
      </c>
      <c r="J1448">
        <v>1339.3549805</v>
      </c>
      <c r="K1448">
        <v>80</v>
      </c>
      <c r="L1448">
        <v>71.270675659000005</v>
      </c>
      <c r="M1448">
        <v>60</v>
      </c>
      <c r="N1448">
        <v>59.900539397999999</v>
      </c>
    </row>
    <row r="1449" spans="1:14" x14ac:dyDescent="0.25">
      <c r="A1449">
        <v>1796</v>
      </c>
      <c r="B1449" s="1">
        <f>DATE(2015,4,1) + TIME(0,0,0)</f>
        <v>42095</v>
      </c>
      <c r="C1449">
        <v>0</v>
      </c>
      <c r="D1449">
        <v>550</v>
      </c>
      <c r="E1449">
        <v>550</v>
      </c>
      <c r="F1449">
        <v>0</v>
      </c>
      <c r="G1449">
        <v>1324.3793945</v>
      </c>
      <c r="H1449">
        <v>1320.744751</v>
      </c>
      <c r="I1449">
        <v>1343.8553466999999</v>
      </c>
      <c r="J1449">
        <v>1339.3503418</v>
      </c>
      <c r="K1449">
        <v>80</v>
      </c>
      <c r="L1449">
        <v>70.899353027000004</v>
      </c>
      <c r="M1449">
        <v>60</v>
      </c>
      <c r="N1449">
        <v>59.900707245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2022-06-27T07:03:25Z</dcterms:created>
  <dcterms:modified xsi:type="dcterms:W3CDTF">2022-06-27T07:03:56Z</dcterms:modified>
</cp:coreProperties>
</file>