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EEF0526E-6706-4D55-8686-1369019BB842}" xr6:coauthVersionLast="47" xr6:coauthVersionMax="47" xr10:uidLastSave="{00000000-0000-0000-0000-000000000000}"/>
  <bookViews>
    <workbookView xWindow="1950" yWindow="1950" windowWidth="21600" windowHeight="11385" xr2:uid="{7CF5BE6B-0978-4A87-97E7-08C659607EE7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12" i="1" l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<sst xmlns="http://schemas.openxmlformats.org/spreadsheetml/2006/main" count="15" uniqueCount="15">
  <si>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MODEL\SCENARIOS\2022\Parameterstudy_perm_storV_dT\perm10_V200_dt30.sr3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</si>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</sst>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59D88-730F-4F20-A740-470EA90263D0}" name="Table1" displayName="Table1" ref="A3:N1412" totalsRowShown="0">
  <autoFilter ref="A3:N1412" xr:uid="{B6459D88-730F-4F20-A740-470EA90263D0}"/>
  <tableColumns count="14">
    <tableColumn id="1" xr3:uid="{96E4BAD4-50DA-4FF6-98AD-E5E9129F19F8}" name="Time (day)"/>
    <tableColumn id="2" xr3:uid="{FB7BF703-CE67-4472-84D3-B1B7E419D60D}" name="Date" dataDxfId="0"/>
    <tableColumn id="3" xr3:uid="{E9668DD0-A2B4-4459-A3A0-C2E8768FDDE8}" name="Hot well INJ-Well bottom hole temperature (C)"/>
    <tableColumn id="4" xr3:uid="{D488FD6D-6D3B-4C83-9540-C655267288B3}" name="Hot well PROD-Well bottom hole temperature (C)"/>
    <tableColumn id="5" xr3:uid="{46612EBD-5EED-4BD8-BB4E-9E7F9C947FA0}" name="Warm well INJ-Well bottom hole temperature (C)"/>
    <tableColumn id="6" xr3:uid="{701A7EE4-BDCA-476B-A62D-9847A6B64AD4}" name="Warm well PROD-Well bottom hole temperature (C)"/>
    <tableColumn id="7" xr3:uid="{4C8745EF-785F-426C-A7F4-85CF28F010EF}" name="Hot well INJ-Well Bottom-hole Pressure (kPa)"/>
    <tableColumn id="8" xr3:uid="{B76CAF55-E000-4B3A-B0AC-AABF9EC336D0}" name="Hot well PROD-Well Bottom-hole Pressure (kPa)"/>
    <tableColumn id="9" xr3:uid="{07DFBC9E-C7F6-4BBA-BB07-6AE23041D0E5}" name="Warm well INJ-Well Bottom-hole Pressure (kPa)"/>
    <tableColumn id="10" xr3:uid="{1F8814A2-EEB4-4123-9148-D5D9F336DDB2}" name="Warm well PROD-Well Bottom-hole Pressure (kPa)"/>
    <tableColumn id="11" xr3:uid="{55EDACF2-2CDE-4E2E-AC15-9C7121B65A3F}" name="Hot well INJ-Fluid Rate SC (m³/day)"/>
    <tableColumn id="12" xr3:uid="{0931C687-99E2-4A0A-BCEE-E29F90FD1704}" name="Hot well PROD-Fluid Rate SC (m³/day)"/>
    <tableColumn id="13" xr3:uid="{63C3E28B-6522-4EDE-8B45-73A4E5371EDF}" name="Warm well INJ-Fluid Rate SC (m³/day)"/>
    <tableColumn id="14" xr3:uid="{9ADC6070-DE3E-4831-9DDA-56CD25524617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BE62-3477-4760-84F4-1B0FCD490D99}">
  <dimension ref="A1:N1412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15.000026703</v>
      </c>
      <c r="E4">
        <v>50</v>
      </c>
      <c r="F4">
        <v>14.999989510000001</v>
      </c>
      <c r="G4">
        <v>1338.5447998</v>
      </c>
      <c r="H4">
        <v>1329.5102539</v>
      </c>
      <c r="I4">
        <v>1329.3094481999999</v>
      </c>
      <c r="J4">
        <v>1320.2741699000001</v>
      </c>
      <c r="K4">
        <v>550</v>
      </c>
      <c r="L4">
        <v>0</v>
      </c>
      <c r="M4">
        <v>0</v>
      </c>
      <c r="N4">
        <v>550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15.000106812</v>
      </c>
      <c r="E5">
        <v>50</v>
      </c>
      <c r="F5">
        <v>14.999960899</v>
      </c>
      <c r="G5">
        <v>1338.8294678</v>
      </c>
      <c r="H5">
        <v>1329.7949219</v>
      </c>
      <c r="I5">
        <v>1329.026001</v>
      </c>
      <c r="J5">
        <v>1319.9908447</v>
      </c>
      <c r="K5">
        <v>550</v>
      </c>
      <c r="L5">
        <v>0</v>
      </c>
      <c r="M5">
        <v>0</v>
      </c>
      <c r="N5">
        <v>550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15.000332832</v>
      </c>
      <c r="E6">
        <v>50</v>
      </c>
      <c r="F6">
        <v>14.999885559000001</v>
      </c>
      <c r="G6">
        <v>1339.557251</v>
      </c>
      <c r="H6">
        <v>1330.5227050999999</v>
      </c>
      <c r="I6">
        <v>1328.3013916</v>
      </c>
      <c r="J6">
        <v>1319.2661132999999</v>
      </c>
      <c r="K6">
        <v>550</v>
      </c>
      <c r="L6">
        <v>0</v>
      </c>
      <c r="M6">
        <v>0</v>
      </c>
      <c r="N6">
        <v>550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15.000941277000001</v>
      </c>
      <c r="E7">
        <v>50</v>
      </c>
      <c r="F7">
        <v>14.999732018</v>
      </c>
      <c r="G7">
        <v>1341.0604248</v>
      </c>
      <c r="H7">
        <v>1332.0258789</v>
      </c>
      <c r="I7">
        <v>1326.8046875</v>
      </c>
      <c r="J7">
        <v>1317.7694091999999</v>
      </c>
      <c r="K7">
        <v>550</v>
      </c>
      <c r="L7">
        <v>0</v>
      </c>
      <c r="M7">
        <v>0</v>
      </c>
      <c r="N7">
        <v>550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15.002534866</v>
      </c>
      <c r="E8">
        <v>50</v>
      </c>
      <c r="F8">
        <v>14.999501228</v>
      </c>
      <c r="G8">
        <v>1343.3186035000001</v>
      </c>
      <c r="H8">
        <v>1334.2844238</v>
      </c>
      <c r="I8">
        <v>1324.5559082</v>
      </c>
      <c r="J8">
        <v>1315.5205077999999</v>
      </c>
      <c r="K8">
        <v>550</v>
      </c>
      <c r="L8">
        <v>0</v>
      </c>
      <c r="M8">
        <v>0</v>
      </c>
      <c r="N8">
        <v>550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15.006881714</v>
      </c>
      <c r="E9">
        <v>50</v>
      </c>
      <c r="F9">
        <v>14.999238968</v>
      </c>
      <c r="G9">
        <v>1345.8796387</v>
      </c>
      <c r="H9">
        <v>1336.8465576000001</v>
      </c>
      <c r="I9">
        <v>1322.0045166</v>
      </c>
      <c r="J9">
        <v>1312.9691161999999</v>
      </c>
      <c r="K9">
        <v>550</v>
      </c>
      <c r="L9">
        <v>0</v>
      </c>
      <c r="M9">
        <v>0</v>
      </c>
      <c r="N9">
        <v>550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15.019393921000001</v>
      </c>
      <c r="E10">
        <v>50</v>
      </c>
      <c r="F10">
        <v>14.998975754</v>
      </c>
      <c r="G10">
        <v>1348.4440918</v>
      </c>
      <c r="H10">
        <v>1339.4138184000001</v>
      </c>
      <c r="I10">
        <v>1319.4471435999999</v>
      </c>
      <c r="J10">
        <v>1310.4117432</v>
      </c>
      <c r="K10">
        <v>550</v>
      </c>
      <c r="L10">
        <v>0</v>
      </c>
      <c r="M10">
        <v>0</v>
      </c>
      <c r="N10">
        <v>550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15.056358337000001</v>
      </c>
      <c r="E11">
        <v>50</v>
      </c>
      <c r="F11">
        <v>14.998735428</v>
      </c>
      <c r="G11">
        <v>1350.7821045000001</v>
      </c>
      <c r="H11">
        <v>1341.7604980000001</v>
      </c>
      <c r="I11">
        <v>1317.1081543</v>
      </c>
      <c r="J11">
        <v>1308.0727539</v>
      </c>
      <c r="K11">
        <v>550</v>
      </c>
      <c r="L11">
        <v>0</v>
      </c>
      <c r="M11">
        <v>0</v>
      </c>
      <c r="N11">
        <v>550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15.166532516</v>
      </c>
      <c r="E12">
        <v>50</v>
      </c>
      <c r="F12">
        <v>14.998561859</v>
      </c>
      <c r="G12">
        <v>1352.458374</v>
      </c>
      <c r="H12">
        <v>1343.4624022999999</v>
      </c>
      <c r="I12">
        <v>1315.4079589999999</v>
      </c>
      <c r="J12">
        <v>1306.3725586</v>
      </c>
      <c r="K12">
        <v>550</v>
      </c>
      <c r="L12">
        <v>0</v>
      </c>
      <c r="M12">
        <v>0</v>
      </c>
      <c r="N12">
        <v>550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15.495047569</v>
      </c>
      <c r="E13">
        <v>50</v>
      </c>
      <c r="F13">
        <v>14.998472214</v>
      </c>
      <c r="G13">
        <v>1353.2675781</v>
      </c>
      <c r="H13">
        <v>1344.3475341999999</v>
      </c>
      <c r="I13">
        <v>1314.5083007999999</v>
      </c>
      <c r="J13">
        <v>1305.4729004000001</v>
      </c>
      <c r="K13">
        <v>550</v>
      </c>
      <c r="L13">
        <v>0</v>
      </c>
      <c r="M13">
        <v>0</v>
      </c>
      <c r="N13">
        <v>550</v>
      </c>
    </row>
    <row r="14" spans="1:14" x14ac:dyDescent="0.25">
      <c r="A14">
        <v>8.8572999999999999E-2</v>
      </c>
      <c r="B14" s="1">
        <f>DATE(2010,5,1) + TIME(2,7,32)</f>
        <v>40299.088564814818</v>
      </c>
      <c r="C14">
        <v>80</v>
      </c>
      <c r="D14">
        <v>16.467594147</v>
      </c>
      <c r="E14">
        <v>50</v>
      </c>
      <c r="F14">
        <v>14.998448372</v>
      </c>
      <c r="G14">
        <v>1353.3138428</v>
      </c>
      <c r="H14">
        <v>1344.6120605000001</v>
      </c>
      <c r="I14">
        <v>1314.1925048999999</v>
      </c>
      <c r="J14">
        <v>1305.1569824000001</v>
      </c>
      <c r="K14">
        <v>550</v>
      </c>
      <c r="L14">
        <v>0</v>
      </c>
      <c r="M14">
        <v>0</v>
      </c>
      <c r="N14">
        <v>550</v>
      </c>
    </row>
    <row r="15" spans="1:14" x14ac:dyDescent="0.25">
      <c r="A15">
        <v>0.14928900000000001</v>
      </c>
      <c r="B15" s="1">
        <f>DATE(2010,5,1) + TIME(3,34,58)</f>
        <v>40299.149282407408</v>
      </c>
      <c r="C15">
        <v>80</v>
      </c>
      <c r="D15">
        <v>17.455448150999999</v>
      </c>
      <c r="E15">
        <v>50</v>
      </c>
      <c r="F15">
        <v>14.998452187</v>
      </c>
      <c r="G15">
        <v>1353.1014404</v>
      </c>
      <c r="H15">
        <v>1344.6024170000001</v>
      </c>
      <c r="I15">
        <v>1314.1488036999999</v>
      </c>
      <c r="J15">
        <v>1305.1129149999999</v>
      </c>
      <c r="K15">
        <v>550</v>
      </c>
      <c r="L15">
        <v>0</v>
      </c>
      <c r="M15">
        <v>0</v>
      </c>
      <c r="N15">
        <v>550</v>
      </c>
    </row>
    <row r="16" spans="1:14" x14ac:dyDescent="0.25">
      <c r="A16">
        <v>0.21075099999999999</v>
      </c>
      <c r="B16" s="1">
        <f>DATE(2010,5,1) + TIME(5,3,28)</f>
        <v>40299.210740740738</v>
      </c>
      <c r="C16">
        <v>80</v>
      </c>
      <c r="D16">
        <v>18.443370818999998</v>
      </c>
      <c r="E16">
        <v>50</v>
      </c>
      <c r="F16">
        <v>14.998459816</v>
      </c>
      <c r="G16">
        <v>1352.8466797000001</v>
      </c>
      <c r="H16">
        <v>1344.5407714999999</v>
      </c>
      <c r="I16">
        <v>1314.1470947</v>
      </c>
      <c r="J16">
        <v>1305.1107178</v>
      </c>
      <c r="K16">
        <v>550</v>
      </c>
      <c r="L16">
        <v>0</v>
      </c>
      <c r="M16">
        <v>0</v>
      </c>
      <c r="N16">
        <v>550</v>
      </c>
    </row>
    <row r="17" spans="1:14" x14ac:dyDescent="0.25">
      <c r="A17">
        <v>0.27296500000000001</v>
      </c>
      <c r="B17" s="1">
        <f>DATE(2010,5,1) + TIME(6,33,4)</f>
        <v>40299.272962962961</v>
      </c>
      <c r="C17">
        <v>80</v>
      </c>
      <c r="D17">
        <v>19.431171417000002</v>
      </c>
      <c r="E17">
        <v>50</v>
      </c>
      <c r="F17">
        <v>14.998468399</v>
      </c>
      <c r="G17">
        <v>1352.5911865</v>
      </c>
      <c r="H17">
        <v>1344.4692382999999</v>
      </c>
      <c r="I17">
        <v>1314.1508789</v>
      </c>
      <c r="J17">
        <v>1305.1141356999999</v>
      </c>
      <c r="K17">
        <v>550</v>
      </c>
      <c r="L17">
        <v>0</v>
      </c>
      <c r="M17">
        <v>0</v>
      </c>
      <c r="N17">
        <v>550</v>
      </c>
    </row>
    <row r="18" spans="1:14" x14ac:dyDescent="0.25">
      <c r="A18">
        <v>0.335947</v>
      </c>
      <c r="B18" s="1">
        <f>DATE(2010,5,1) + TIME(8,3,45)</f>
        <v>40299.3359375</v>
      </c>
      <c r="C18">
        <v>80</v>
      </c>
      <c r="D18">
        <v>20.419212341000001</v>
      </c>
      <c r="E18">
        <v>50</v>
      </c>
      <c r="F18">
        <v>14.998476028000001</v>
      </c>
      <c r="G18">
        <v>1352.3449707</v>
      </c>
      <c r="H18">
        <v>1344.3985596</v>
      </c>
      <c r="I18">
        <v>1314.1545410000001</v>
      </c>
      <c r="J18">
        <v>1305.1173096</v>
      </c>
      <c r="K18">
        <v>550</v>
      </c>
      <c r="L18">
        <v>0</v>
      </c>
      <c r="M18">
        <v>0</v>
      </c>
      <c r="N18">
        <v>550</v>
      </c>
    </row>
    <row r="19" spans="1:14" x14ac:dyDescent="0.25">
      <c r="A19">
        <v>0.39969199999999999</v>
      </c>
      <c r="B19" s="1">
        <f>DATE(2010,5,1) + TIME(9,35,33)</f>
        <v>40299.399687500001</v>
      </c>
      <c r="C19">
        <v>80</v>
      </c>
      <c r="D19">
        <v>21.407260895</v>
      </c>
      <c r="E19">
        <v>50</v>
      </c>
      <c r="F19">
        <v>14.998484612</v>
      </c>
      <c r="G19">
        <v>1352.1105957</v>
      </c>
      <c r="H19">
        <v>1344.331543</v>
      </c>
      <c r="I19">
        <v>1314.1577147999999</v>
      </c>
      <c r="J19">
        <v>1305.1199951000001</v>
      </c>
      <c r="K19">
        <v>550</v>
      </c>
      <c r="L19">
        <v>0</v>
      </c>
      <c r="M19">
        <v>0</v>
      </c>
      <c r="N19">
        <v>550</v>
      </c>
    </row>
    <row r="20" spans="1:14" x14ac:dyDescent="0.25">
      <c r="A20">
        <v>0.46420699999999998</v>
      </c>
      <c r="B20" s="1">
        <f>DATE(2010,5,1) + TIME(11,8,27)</f>
        <v>40299.464201388888</v>
      </c>
      <c r="C20">
        <v>80</v>
      </c>
      <c r="D20">
        <v>22.394674300999998</v>
      </c>
      <c r="E20">
        <v>50</v>
      </c>
      <c r="F20">
        <v>14.998492240999999</v>
      </c>
      <c r="G20">
        <v>1351.8885498</v>
      </c>
      <c r="H20">
        <v>1344.2689209</v>
      </c>
      <c r="I20">
        <v>1314.1605225000001</v>
      </c>
      <c r="J20">
        <v>1305.1220702999999</v>
      </c>
      <c r="K20">
        <v>550</v>
      </c>
      <c r="L20">
        <v>0</v>
      </c>
      <c r="M20">
        <v>0</v>
      </c>
      <c r="N20">
        <v>550</v>
      </c>
    </row>
    <row r="21" spans="1:14" x14ac:dyDescent="0.25">
      <c r="A21">
        <v>0.52954500000000004</v>
      </c>
      <c r="B21" s="1">
        <f>DATE(2010,5,1) + TIME(12,42,32)</f>
        <v>40299.529537037037</v>
      </c>
      <c r="C21">
        <v>80</v>
      </c>
      <c r="D21">
        <v>23.381929398</v>
      </c>
      <c r="E21">
        <v>50</v>
      </c>
      <c r="F21">
        <v>14.998500824000001</v>
      </c>
      <c r="G21">
        <v>1351.6783447</v>
      </c>
      <c r="H21">
        <v>1344.2110596</v>
      </c>
      <c r="I21">
        <v>1314.1630858999999</v>
      </c>
      <c r="J21">
        <v>1305.1240233999999</v>
      </c>
      <c r="K21">
        <v>550</v>
      </c>
      <c r="L21">
        <v>0</v>
      </c>
      <c r="M21">
        <v>0</v>
      </c>
      <c r="N21">
        <v>550</v>
      </c>
    </row>
    <row r="22" spans="1:14" x14ac:dyDescent="0.25">
      <c r="A22">
        <v>0.59572599999999998</v>
      </c>
      <c r="B22" s="1">
        <f>DATE(2010,5,1) + TIME(14,17,50)</f>
        <v>40299.595717592594</v>
      </c>
      <c r="C22">
        <v>80</v>
      </c>
      <c r="D22">
        <v>24.369014740000001</v>
      </c>
      <c r="E22">
        <v>50</v>
      </c>
      <c r="F22">
        <v>14.998508452999999</v>
      </c>
      <c r="G22">
        <v>1351.4797363</v>
      </c>
      <c r="H22">
        <v>1344.1578368999999</v>
      </c>
      <c r="I22">
        <v>1314.1655272999999</v>
      </c>
      <c r="J22">
        <v>1305.1258545000001</v>
      </c>
      <c r="K22">
        <v>550</v>
      </c>
      <c r="L22">
        <v>0</v>
      </c>
      <c r="M22">
        <v>0</v>
      </c>
      <c r="N22">
        <v>550</v>
      </c>
    </row>
    <row r="23" spans="1:14" x14ac:dyDescent="0.25">
      <c r="A23">
        <v>0.66277399999999997</v>
      </c>
      <c r="B23" s="1">
        <f>DATE(2010,5,1) + TIME(15,54,23)</f>
        <v>40299.662766203706</v>
      </c>
      <c r="C23">
        <v>80</v>
      </c>
      <c r="D23">
        <v>25.356163025000001</v>
      </c>
      <c r="E23">
        <v>50</v>
      </c>
      <c r="F23">
        <v>14.998517036000001</v>
      </c>
      <c r="G23">
        <v>1351.2921143000001</v>
      </c>
      <c r="H23">
        <v>1344.1090088000001</v>
      </c>
      <c r="I23">
        <v>1314.1679687999999</v>
      </c>
      <c r="J23">
        <v>1305.1275635</v>
      </c>
      <c r="K23">
        <v>550</v>
      </c>
      <c r="L23">
        <v>0</v>
      </c>
      <c r="M23">
        <v>0</v>
      </c>
      <c r="N23">
        <v>550</v>
      </c>
    </row>
    <row r="24" spans="1:14" x14ac:dyDescent="0.25">
      <c r="A24">
        <v>0.73069399999999995</v>
      </c>
      <c r="B24" s="1">
        <f>DATE(2010,5,1) + TIME(17,32,11)</f>
        <v>40299.730682870373</v>
      </c>
      <c r="C24">
        <v>80</v>
      </c>
      <c r="D24">
        <v>26.343317032000002</v>
      </c>
      <c r="E24">
        <v>50</v>
      </c>
      <c r="F24">
        <v>14.998524666</v>
      </c>
      <c r="G24">
        <v>1351.1148682</v>
      </c>
      <c r="H24">
        <v>1344.0644531</v>
      </c>
      <c r="I24">
        <v>1314.1702881000001</v>
      </c>
      <c r="J24">
        <v>1305.1291504000001</v>
      </c>
      <c r="K24">
        <v>550</v>
      </c>
      <c r="L24">
        <v>0</v>
      </c>
      <c r="M24">
        <v>0</v>
      </c>
      <c r="N24">
        <v>550</v>
      </c>
    </row>
    <row r="25" spans="1:14" x14ac:dyDescent="0.25">
      <c r="A25">
        <v>0.79949800000000004</v>
      </c>
      <c r="B25" s="1">
        <f>DATE(2010,5,1) + TIME(19,11,16)</f>
        <v>40299.799490740741</v>
      </c>
      <c r="C25">
        <v>80</v>
      </c>
      <c r="D25">
        <v>27.329858779999999</v>
      </c>
      <c r="E25">
        <v>50</v>
      </c>
      <c r="F25">
        <v>14.998533248999999</v>
      </c>
      <c r="G25">
        <v>1350.947876</v>
      </c>
      <c r="H25">
        <v>1344.0240478999999</v>
      </c>
      <c r="I25">
        <v>1314.1726074000001</v>
      </c>
      <c r="J25">
        <v>1305.1307373</v>
      </c>
      <c r="K25">
        <v>550</v>
      </c>
      <c r="L25">
        <v>0</v>
      </c>
      <c r="M25">
        <v>0</v>
      </c>
      <c r="N25">
        <v>550</v>
      </c>
    </row>
    <row r="26" spans="1:14" x14ac:dyDescent="0.25">
      <c r="A26">
        <v>0.86924000000000001</v>
      </c>
      <c r="B26" s="1">
        <f>DATE(2010,5,1) + TIME(20,51,42)</f>
        <v>40299.86923611111</v>
      </c>
      <c r="C26">
        <v>80</v>
      </c>
      <c r="D26">
        <v>28.316183089999999</v>
      </c>
      <c r="E26">
        <v>50</v>
      </c>
      <c r="F26">
        <v>14.998540878</v>
      </c>
      <c r="G26">
        <v>1350.7902832</v>
      </c>
      <c r="H26">
        <v>1343.9875488</v>
      </c>
      <c r="I26">
        <v>1314.1749268000001</v>
      </c>
      <c r="J26">
        <v>1305.1322021000001</v>
      </c>
      <c r="K26">
        <v>550</v>
      </c>
      <c r="L26">
        <v>0</v>
      </c>
      <c r="M26">
        <v>0</v>
      </c>
      <c r="N26">
        <v>550</v>
      </c>
    </row>
    <row r="27" spans="1:14" x14ac:dyDescent="0.25">
      <c r="A27">
        <v>0.93994999999999995</v>
      </c>
      <c r="B27" s="1">
        <f>DATE(2010,5,1) + TIME(22,33,31)</f>
        <v>40299.939942129633</v>
      </c>
      <c r="C27">
        <v>80</v>
      </c>
      <c r="D27">
        <v>29.302276611</v>
      </c>
      <c r="E27">
        <v>50</v>
      </c>
      <c r="F27">
        <v>14.998549461</v>
      </c>
      <c r="G27">
        <v>1350.6418457</v>
      </c>
      <c r="H27">
        <v>1343.9548339999999</v>
      </c>
      <c r="I27">
        <v>1314.1772461</v>
      </c>
      <c r="J27">
        <v>1305.1335449000001</v>
      </c>
      <c r="K27">
        <v>550</v>
      </c>
      <c r="L27">
        <v>0</v>
      </c>
      <c r="M27">
        <v>0</v>
      </c>
      <c r="N27">
        <v>550</v>
      </c>
    </row>
    <row r="28" spans="1:14" x14ac:dyDescent="0.25">
      <c r="A28">
        <v>1.011657</v>
      </c>
      <c r="B28" s="1">
        <f>DATE(2010,5,2) + TIME(0,16,47)</f>
        <v>40300.011655092596</v>
      </c>
      <c r="C28">
        <v>80</v>
      </c>
      <c r="D28">
        <v>30.288190841999999</v>
      </c>
      <c r="E28">
        <v>50</v>
      </c>
      <c r="F28">
        <v>14.998557091</v>
      </c>
      <c r="G28">
        <v>1350.5019531</v>
      </c>
      <c r="H28">
        <v>1343.9256591999999</v>
      </c>
      <c r="I28">
        <v>1314.1795654</v>
      </c>
      <c r="J28">
        <v>1305.1348877</v>
      </c>
      <c r="K28">
        <v>550</v>
      </c>
      <c r="L28">
        <v>0</v>
      </c>
      <c r="M28">
        <v>0</v>
      </c>
      <c r="N28">
        <v>550</v>
      </c>
    </row>
    <row r="29" spans="1:14" x14ac:dyDescent="0.25">
      <c r="A29">
        <v>1.0843879999999999</v>
      </c>
      <c r="B29" s="1">
        <f>DATE(2010,5,2) + TIME(2,1,31)</f>
        <v>40300.084386574075</v>
      </c>
      <c r="C29">
        <v>80</v>
      </c>
      <c r="D29">
        <v>31.273937225000001</v>
      </c>
      <c r="E29">
        <v>50</v>
      </c>
      <c r="F29">
        <v>14.998565674</v>
      </c>
      <c r="G29">
        <v>1350.3704834</v>
      </c>
      <c r="H29">
        <v>1343.9000243999999</v>
      </c>
      <c r="I29">
        <v>1314.1818848</v>
      </c>
      <c r="J29">
        <v>1305.1362305</v>
      </c>
      <c r="K29">
        <v>550</v>
      </c>
      <c r="L29">
        <v>0</v>
      </c>
      <c r="M29">
        <v>0</v>
      </c>
      <c r="N29">
        <v>550</v>
      </c>
    </row>
    <row r="30" spans="1:14" x14ac:dyDescent="0.25">
      <c r="A30">
        <v>1.1581710000000001</v>
      </c>
      <c r="B30" s="1">
        <f>DATE(2010,5,2) + TIME(3,47,45)</f>
        <v>40300.158159722225</v>
      </c>
      <c r="C30">
        <v>80</v>
      </c>
      <c r="D30">
        <v>32.259250641000001</v>
      </c>
      <c r="E30">
        <v>50</v>
      </c>
      <c r="F30">
        <v>14.998573303000001</v>
      </c>
      <c r="G30">
        <v>1350.2468262</v>
      </c>
      <c r="H30">
        <v>1343.8775635</v>
      </c>
      <c r="I30">
        <v>1314.184082</v>
      </c>
      <c r="J30">
        <v>1305.1374512</v>
      </c>
      <c r="K30">
        <v>550</v>
      </c>
      <c r="L30">
        <v>0</v>
      </c>
      <c r="M30">
        <v>0</v>
      </c>
      <c r="N30">
        <v>550</v>
      </c>
    </row>
    <row r="31" spans="1:14" x14ac:dyDescent="0.25">
      <c r="A31">
        <v>1.2330540000000001</v>
      </c>
      <c r="B31" s="1">
        <f>DATE(2010,5,2) + TIME(5,35,35)</f>
        <v>40300.233043981483</v>
      </c>
      <c r="C31">
        <v>80</v>
      </c>
      <c r="D31">
        <v>33.244266510000003</v>
      </c>
      <c r="E31">
        <v>50</v>
      </c>
      <c r="F31">
        <v>14.998581886</v>
      </c>
      <c r="G31">
        <v>1350.1306152</v>
      </c>
      <c r="H31">
        <v>1343.8583983999999</v>
      </c>
      <c r="I31">
        <v>1314.1862793</v>
      </c>
      <c r="J31">
        <v>1305.1386719</v>
      </c>
      <c r="K31">
        <v>550</v>
      </c>
      <c r="L31">
        <v>0</v>
      </c>
      <c r="M31">
        <v>0</v>
      </c>
      <c r="N31">
        <v>550</v>
      </c>
    </row>
    <row r="32" spans="1:14" x14ac:dyDescent="0.25">
      <c r="A32">
        <v>1.3090759999999999</v>
      </c>
      <c r="B32" s="1">
        <f>DATE(2010,5,2) + TIME(7,25,4)</f>
        <v>40300.309074074074</v>
      </c>
      <c r="C32">
        <v>80</v>
      </c>
      <c r="D32">
        <v>34.228961945000002</v>
      </c>
      <c r="E32">
        <v>50</v>
      </c>
      <c r="F32">
        <v>14.998589515999999</v>
      </c>
      <c r="G32">
        <v>1350.0217285000001</v>
      </c>
      <c r="H32">
        <v>1343.8421631000001</v>
      </c>
      <c r="I32">
        <v>1314.1885986</v>
      </c>
      <c r="J32">
        <v>1305.1397704999999</v>
      </c>
      <c r="K32">
        <v>550</v>
      </c>
      <c r="L32">
        <v>0</v>
      </c>
      <c r="M32">
        <v>0</v>
      </c>
      <c r="N32">
        <v>550</v>
      </c>
    </row>
    <row r="33" spans="1:14" x14ac:dyDescent="0.25">
      <c r="A33">
        <v>1.386279</v>
      </c>
      <c r="B33" s="1">
        <f>DATE(2010,5,2) + TIME(9,16,14)</f>
        <v>40300.386273148149</v>
      </c>
      <c r="C33">
        <v>80</v>
      </c>
      <c r="D33">
        <v>35.213317871000001</v>
      </c>
      <c r="E33">
        <v>50</v>
      </c>
      <c r="F33">
        <v>14.998597145</v>
      </c>
      <c r="G33">
        <v>1349.9195557</v>
      </c>
      <c r="H33">
        <v>1343.8288574000001</v>
      </c>
      <c r="I33">
        <v>1314.1907959</v>
      </c>
      <c r="J33">
        <v>1305.1408690999999</v>
      </c>
      <c r="K33">
        <v>550</v>
      </c>
      <c r="L33">
        <v>0</v>
      </c>
      <c r="M33">
        <v>0</v>
      </c>
      <c r="N33">
        <v>550</v>
      </c>
    </row>
    <row r="34" spans="1:14" x14ac:dyDescent="0.25">
      <c r="A34">
        <v>1.464709</v>
      </c>
      <c r="B34" s="1">
        <f>DATE(2010,5,2) + TIME(11,9,10)</f>
        <v>40300.464699074073</v>
      </c>
      <c r="C34">
        <v>80</v>
      </c>
      <c r="D34">
        <v>36.197311401</v>
      </c>
      <c r="E34">
        <v>50</v>
      </c>
      <c r="F34">
        <v>14.998605727999999</v>
      </c>
      <c r="G34">
        <v>1349.8238524999999</v>
      </c>
      <c r="H34">
        <v>1343.8183594</v>
      </c>
      <c r="I34">
        <v>1314.1929932</v>
      </c>
      <c r="J34">
        <v>1305.1419678</v>
      </c>
      <c r="K34">
        <v>550</v>
      </c>
      <c r="L34">
        <v>0</v>
      </c>
      <c r="M34">
        <v>0</v>
      </c>
      <c r="N34">
        <v>550</v>
      </c>
    </row>
    <row r="35" spans="1:14" x14ac:dyDescent="0.25">
      <c r="A35">
        <v>1.544416</v>
      </c>
      <c r="B35" s="1">
        <f>DATE(2010,5,2) + TIME(13,3,57)</f>
        <v>40300.544409722221</v>
      </c>
      <c r="C35">
        <v>80</v>
      </c>
      <c r="D35">
        <v>37.180919647000003</v>
      </c>
      <c r="E35">
        <v>50</v>
      </c>
      <c r="F35">
        <v>14.998613358</v>
      </c>
      <c r="G35">
        <v>1349.7344971</v>
      </c>
      <c r="H35">
        <v>1343.8104248</v>
      </c>
      <c r="I35">
        <v>1314.1951904</v>
      </c>
      <c r="J35">
        <v>1305.1429443</v>
      </c>
      <c r="K35">
        <v>550</v>
      </c>
      <c r="L35">
        <v>0</v>
      </c>
      <c r="M35">
        <v>0</v>
      </c>
      <c r="N35">
        <v>550</v>
      </c>
    </row>
    <row r="36" spans="1:14" x14ac:dyDescent="0.25">
      <c r="A36">
        <v>1.6254500000000001</v>
      </c>
      <c r="B36" s="1">
        <f>DATE(2010,5,2) + TIME(15,0,38)</f>
        <v>40300.625439814816</v>
      </c>
      <c r="C36">
        <v>80</v>
      </c>
      <c r="D36">
        <v>38.164119720000002</v>
      </c>
      <c r="E36">
        <v>50</v>
      </c>
      <c r="F36">
        <v>14.998621941</v>
      </c>
      <c r="G36">
        <v>1349.651001</v>
      </c>
      <c r="H36">
        <v>1343.8050536999999</v>
      </c>
      <c r="I36">
        <v>1314.1975098</v>
      </c>
      <c r="J36">
        <v>1305.144043</v>
      </c>
      <c r="K36">
        <v>550</v>
      </c>
      <c r="L36">
        <v>0</v>
      </c>
      <c r="M36">
        <v>0</v>
      </c>
      <c r="N36">
        <v>550</v>
      </c>
    </row>
    <row r="37" spans="1:14" x14ac:dyDescent="0.25">
      <c r="A37">
        <v>1.7078690000000001</v>
      </c>
      <c r="B37" s="1">
        <f>DATE(2010,5,2) + TIME(16,59,19)</f>
        <v>40300.707858796297</v>
      </c>
      <c r="C37">
        <v>80</v>
      </c>
      <c r="D37">
        <v>39.146877289000003</v>
      </c>
      <c r="E37">
        <v>50</v>
      </c>
      <c r="F37">
        <v>14.99862957</v>
      </c>
      <c r="G37">
        <v>1349.5732422000001</v>
      </c>
      <c r="H37">
        <v>1343.802124</v>
      </c>
      <c r="I37">
        <v>1314.199707</v>
      </c>
      <c r="J37">
        <v>1305.1448975000001</v>
      </c>
      <c r="K37">
        <v>550</v>
      </c>
      <c r="L37">
        <v>0</v>
      </c>
      <c r="M37">
        <v>0</v>
      </c>
      <c r="N37">
        <v>550</v>
      </c>
    </row>
    <row r="38" spans="1:14" x14ac:dyDescent="0.25">
      <c r="A38">
        <v>1.7917339999999999</v>
      </c>
      <c r="B38" s="1">
        <f>DATE(2010,5,2) + TIME(19,0,5)</f>
        <v>40300.791724537034</v>
      </c>
      <c r="C38">
        <v>80</v>
      </c>
      <c r="D38">
        <v>40.129203795999999</v>
      </c>
      <c r="E38">
        <v>50</v>
      </c>
      <c r="F38">
        <v>14.998637198999999</v>
      </c>
      <c r="G38">
        <v>1349.5007324000001</v>
      </c>
      <c r="H38">
        <v>1343.8013916</v>
      </c>
      <c r="I38">
        <v>1314.2019043</v>
      </c>
      <c r="J38">
        <v>1305.145874</v>
      </c>
      <c r="K38">
        <v>550</v>
      </c>
      <c r="L38">
        <v>0</v>
      </c>
      <c r="M38">
        <v>0</v>
      </c>
      <c r="N38">
        <v>550</v>
      </c>
    </row>
    <row r="39" spans="1:14" x14ac:dyDescent="0.25">
      <c r="A39">
        <v>1.877108</v>
      </c>
      <c r="B39" s="1">
        <f>DATE(2010,5,2) + TIME(21,3,2)</f>
        <v>40300.877106481479</v>
      </c>
      <c r="C39">
        <v>80</v>
      </c>
      <c r="D39">
        <v>41.111206054999997</v>
      </c>
      <c r="E39">
        <v>50</v>
      </c>
      <c r="F39">
        <v>14.998645782000001</v>
      </c>
      <c r="G39">
        <v>1349.4334716999999</v>
      </c>
      <c r="H39">
        <v>1343.8028564000001</v>
      </c>
      <c r="I39">
        <v>1314.2042236</v>
      </c>
      <c r="J39">
        <v>1305.1467285000001</v>
      </c>
      <c r="K39">
        <v>550</v>
      </c>
      <c r="L39">
        <v>0</v>
      </c>
      <c r="M39">
        <v>0</v>
      </c>
      <c r="N39">
        <v>550</v>
      </c>
    </row>
    <row r="40" spans="1:14" x14ac:dyDescent="0.25">
      <c r="A40">
        <v>1.9640470000000001</v>
      </c>
      <c r="B40" s="1">
        <f>DATE(2010,5,2) + TIME(23,8,13)</f>
        <v>40300.964039351849</v>
      </c>
      <c r="C40">
        <v>80</v>
      </c>
      <c r="D40">
        <v>42.092491150000001</v>
      </c>
      <c r="E40">
        <v>50</v>
      </c>
      <c r="F40">
        <v>14.998653411999999</v>
      </c>
      <c r="G40">
        <v>1349.3712158000001</v>
      </c>
      <c r="H40">
        <v>1343.8063964999999</v>
      </c>
      <c r="I40">
        <v>1314.2064209</v>
      </c>
      <c r="J40">
        <v>1305.1475829999999</v>
      </c>
      <c r="K40">
        <v>550</v>
      </c>
      <c r="L40">
        <v>0</v>
      </c>
      <c r="M40">
        <v>0</v>
      </c>
      <c r="N40">
        <v>550</v>
      </c>
    </row>
    <row r="41" spans="1:14" x14ac:dyDescent="0.25">
      <c r="A41">
        <v>2.0526439999999999</v>
      </c>
      <c r="B41" s="1">
        <f>DATE(2010,5,3) + TIME(1,15,48)</f>
        <v>40301.05263888889</v>
      </c>
      <c r="C41">
        <v>80</v>
      </c>
      <c r="D41">
        <v>43.073211669999999</v>
      </c>
      <c r="E41">
        <v>50</v>
      </c>
      <c r="F41">
        <v>14.998661995000001</v>
      </c>
      <c r="G41">
        <v>1349.3135986</v>
      </c>
      <c r="H41">
        <v>1343.8120117000001</v>
      </c>
      <c r="I41">
        <v>1314.2087402</v>
      </c>
      <c r="J41">
        <v>1305.1484375</v>
      </c>
      <c r="K41">
        <v>550</v>
      </c>
      <c r="L41">
        <v>0</v>
      </c>
      <c r="M41">
        <v>0</v>
      </c>
      <c r="N41">
        <v>550</v>
      </c>
    </row>
    <row r="42" spans="1:14" x14ac:dyDescent="0.25">
      <c r="A42">
        <v>2.1429819999999999</v>
      </c>
      <c r="B42" s="1">
        <f>DATE(2010,5,3) + TIME(3,25,53)</f>
        <v>40301.142974537041</v>
      </c>
      <c r="C42">
        <v>80</v>
      </c>
      <c r="D42">
        <v>44.053337096999996</v>
      </c>
      <c r="E42">
        <v>50</v>
      </c>
      <c r="F42">
        <v>14.998669624</v>
      </c>
      <c r="G42">
        <v>1349.260376</v>
      </c>
      <c r="H42">
        <v>1343.8193358999999</v>
      </c>
      <c r="I42">
        <v>1314.2109375</v>
      </c>
      <c r="J42">
        <v>1305.1492920000001</v>
      </c>
      <c r="K42">
        <v>550</v>
      </c>
      <c r="L42">
        <v>0</v>
      </c>
      <c r="M42">
        <v>0</v>
      </c>
      <c r="N42">
        <v>550</v>
      </c>
    </row>
    <row r="43" spans="1:14" x14ac:dyDescent="0.25">
      <c r="A43">
        <v>2.2351529999999999</v>
      </c>
      <c r="B43" s="1">
        <f>DATE(2010,5,3) + TIME(5,38,37)</f>
        <v>40301.235150462962</v>
      </c>
      <c r="C43">
        <v>80</v>
      </c>
      <c r="D43">
        <v>45.032825469999999</v>
      </c>
      <c r="E43">
        <v>50</v>
      </c>
      <c r="F43">
        <v>14.998678206999999</v>
      </c>
      <c r="G43">
        <v>1349.2115478999999</v>
      </c>
      <c r="H43">
        <v>1343.8286132999999</v>
      </c>
      <c r="I43">
        <v>1314.2132568</v>
      </c>
      <c r="J43">
        <v>1305.1500243999999</v>
      </c>
      <c r="K43">
        <v>550</v>
      </c>
      <c r="L43">
        <v>0</v>
      </c>
      <c r="M43">
        <v>0</v>
      </c>
      <c r="N43">
        <v>550</v>
      </c>
    </row>
    <row r="44" spans="1:14" x14ac:dyDescent="0.25">
      <c r="A44">
        <v>2.329253</v>
      </c>
      <c r="B44" s="1">
        <f>DATE(2010,5,3) + TIME(7,54,7)</f>
        <v>40301.329247685186</v>
      </c>
      <c r="C44">
        <v>80</v>
      </c>
      <c r="D44">
        <v>46.011634827000002</v>
      </c>
      <c r="E44">
        <v>50</v>
      </c>
      <c r="F44">
        <v>14.998685837</v>
      </c>
      <c r="G44">
        <v>1349.1667480000001</v>
      </c>
      <c r="H44">
        <v>1343.8393555</v>
      </c>
      <c r="I44">
        <v>1314.2155762</v>
      </c>
      <c r="J44">
        <v>1305.1508789</v>
      </c>
      <c r="K44">
        <v>550</v>
      </c>
      <c r="L44">
        <v>0</v>
      </c>
      <c r="M44">
        <v>0</v>
      </c>
      <c r="N44">
        <v>550</v>
      </c>
    </row>
    <row r="45" spans="1:14" x14ac:dyDescent="0.25">
      <c r="A45">
        <v>2.4253909999999999</v>
      </c>
      <c r="B45" s="1">
        <f>DATE(2010,5,3) + TIME(10,12,33)</f>
        <v>40301.425381944442</v>
      </c>
      <c r="C45">
        <v>80</v>
      </c>
      <c r="D45">
        <v>46.989715576000002</v>
      </c>
      <c r="E45">
        <v>50</v>
      </c>
      <c r="F45">
        <v>14.99869442</v>
      </c>
      <c r="G45">
        <v>1349.1258545000001</v>
      </c>
      <c r="H45">
        <v>1343.8518065999999</v>
      </c>
      <c r="I45">
        <v>1314.2178954999999</v>
      </c>
      <c r="J45">
        <v>1305.1516113</v>
      </c>
      <c r="K45">
        <v>550</v>
      </c>
      <c r="L45">
        <v>0</v>
      </c>
      <c r="M45">
        <v>0</v>
      </c>
      <c r="N45">
        <v>550</v>
      </c>
    </row>
    <row r="46" spans="1:14" x14ac:dyDescent="0.25">
      <c r="A46">
        <v>2.5236830000000001</v>
      </c>
      <c r="B46" s="1">
        <f>DATE(2010,5,3) + TIME(12,34,6)</f>
        <v>40301.523680555554</v>
      </c>
      <c r="C46">
        <v>80</v>
      </c>
      <c r="D46">
        <v>47.967025757000002</v>
      </c>
      <c r="E46">
        <v>50</v>
      </c>
      <c r="F46">
        <v>14.998702049</v>
      </c>
      <c r="G46">
        <v>1349.0886230000001</v>
      </c>
      <c r="H46">
        <v>1343.8658447</v>
      </c>
      <c r="I46">
        <v>1314.2202147999999</v>
      </c>
      <c r="J46">
        <v>1305.1523437999999</v>
      </c>
      <c r="K46">
        <v>550</v>
      </c>
      <c r="L46">
        <v>0</v>
      </c>
      <c r="M46">
        <v>0</v>
      </c>
      <c r="N46">
        <v>550</v>
      </c>
    </row>
    <row r="47" spans="1:14" x14ac:dyDescent="0.25">
      <c r="A47">
        <v>2.6242570000000001</v>
      </c>
      <c r="B47" s="1">
        <f>DATE(2010,5,3) + TIME(14,58,55)</f>
        <v>40301.624247685184</v>
      </c>
      <c r="C47">
        <v>80</v>
      </c>
      <c r="D47">
        <v>48.943508147999999</v>
      </c>
      <c r="E47">
        <v>50</v>
      </c>
      <c r="F47">
        <v>14.998710632</v>
      </c>
      <c r="G47">
        <v>1349.0549315999999</v>
      </c>
      <c r="H47">
        <v>1343.8812256000001</v>
      </c>
      <c r="I47">
        <v>1314.2226562000001</v>
      </c>
      <c r="J47">
        <v>1305.1530762</v>
      </c>
      <c r="K47">
        <v>550</v>
      </c>
      <c r="L47">
        <v>0</v>
      </c>
      <c r="M47">
        <v>0</v>
      </c>
      <c r="N47">
        <v>550</v>
      </c>
    </row>
    <row r="48" spans="1:14" x14ac:dyDescent="0.25">
      <c r="A48">
        <v>2.7272539999999998</v>
      </c>
      <c r="B48" s="1">
        <f>DATE(2010,5,3) + TIME(17,27,14)</f>
        <v>40301.72724537037</v>
      </c>
      <c r="C48">
        <v>80</v>
      </c>
      <c r="D48">
        <v>49.919105530000003</v>
      </c>
      <c r="E48">
        <v>50</v>
      </c>
      <c r="F48">
        <v>14.998718262000001</v>
      </c>
      <c r="G48">
        <v>1349.0246582</v>
      </c>
      <c r="H48">
        <v>1343.8978271000001</v>
      </c>
      <c r="I48">
        <v>1314.2250977000001</v>
      </c>
      <c r="J48">
        <v>1305.1538086</v>
      </c>
      <c r="K48">
        <v>550</v>
      </c>
      <c r="L48">
        <v>0</v>
      </c>
      <c r="M48">
        <v>0</v>
      </c>
      <c r="N48">
        <v>550</v>
      </c>
    </row>
    <row r="49" spans="1:14" x14ac:dyDescent="0.25">
      <c r="A49">
        <v>2.8328259999999998</v>
      </c>
      <c r="B49" s="1">
        <f>DATE(2010,5,3) + TIME(19,59,16)</f>
        <v>40301.832824074074</v>
      </c>
      <c r="C49">
        <v>80</v>
      </c>
      <c r="D49">
        <v>50.893329620000003</v>
      </c>
      <c r="E49">
        <v>50</v>
      </c>
      <c r="F49">
        <v>14.998726845</v>
      </c>
      <c r="G49">
        <v>1348.9975586</v>
      </c>
      <c r="H49">
        <v>1343.9157714999999</v>
      </c>
      <c r="I49">
        <v>1314.2275391000001</v>
      </c>
      <c r="J49">
        <v>1305.1545410000001</v>
      </c>
      <c r="K49">
        <v>550</v>
      </c>
      <c r="L49">
        <v>0</v>
      </c>
      <c r="M49">
        <v>0</v>
      </c>
      <c r="N49">
        <v>550</v>
      </c>
    </row>
    <row r="50" spans="1:14" x14ac:dyDescent="0.25">
      <c r="A50">
        <v>2.941192</v>
      </c>
      <c r="B50" s="1">
        <f>DATE(2010,5,3) + TIME(22,35,19)</f>
        <v>40301.941192129627</v>
      </c>
      <c r="C50">
        <v>80</v>
      </c>
      <c r="D50">
        <v>51.866897582999997</v>
      </c>
      <c r="E50">
        <v>50</v>
      </c>
      <c r="F50">
        <v>14.998735428</v>
      </c>
      <c r="G50">
        <v>1348.9735106999999</v>
      </c>
      <c r="H50">
        <v>1343.9348144999999</v>
      </c>
      <c r="I50">
        <v>1314.2299805</v>
      </c>
      <c r="J50">
        <v>1305.1552733999999</v>
      </c>
      <c r="K50">
        <v>550</v>
      </c>
      <c r="L50">
        <v>0</v>
      </c>
      <c r="M50">
        <v>0</v>
      </c>
      <c r="N50">
        <v>550</v>
      </c>
    </row>
    <row r="51" spans="1:14" x14ac:dyDescent="0.25">
      <c r="A51">
        <v>3.0525000000000002</v>
      </c>
      <c r="B51" s="1">
        <f>DATE(2010,5,4) + TIME(1,15,36)</f>
        <v>40302.052499999998</v>
      </c>
      <c r="C51">
        <v>80</v>
      </c>
      <c r="D51">
        <v>52.839408874999997</v>
      </c>
      <c r="E51">
        <v>50</v>
      </c>
      <c r="F51">
        <v>14.998744010999999</v>
      </c>
      <c r="G51">
        <v>1348.9522704999999</v>
      </c>
      <c r="H51">
        <v>1343.9550781</v>
      </c>
      <c r="I51">
        <v>1314.2325439000001</v>
      </c>
      <c r="J51">
        <v>1305.1560059000001</v>
      </c>
      <c r="K51">
        <v>550</v>
      </c>
      <c r="L51">
        <v>0</v>
      </c>
      <c r="M51">
        <v>0</v>
      </c>
      <c r="N51">
        <v>550</v>
      </c>
    </row>
    <row r="52" spans="1:14" x14ac:dyDescent="0.25">
      <c r="A52">
        <v>3.1669550000000002</v>
      </c>
      <c r="B52" s="1">
        <f>DATE(2010,5,4) + TIME(4,0,24)</f>
        <v>40302.166944444441</v>
      </c>
      <c r="C52">
        <v>80</v>
      </c>
      <c r="D52">
        <v>53.810745238999999</v>
      </c>
      <c r="E52">
        <v>50</v>
      </c>
      <c r="F52">
        <v>14.99875164</v>
      </c>
      <c r="G52">
        <v>1348.9339600000001</v>
      </c>
      <c r="H52">
        <v>1343.9761963000001</v>
      </c>
      <c r="I52">
        <v>1314.2349853999999</v>
      </c>
      <c r="J52">
        <v>1305.1567382999999</v>
      </c>
      <c r="K52">
        <v>550</v>
      </c>
      <c r="L52">
        <v>0</v>
      </c>
      <c r="M52">
        <v>0</v>
      </c>
      <c r="N52">
        <v>550</v>
      </c>
    </row>
    <row r="53" spans="1:14" x14ac:dyDescent="0.25">
      <c r="A53">
        <v>3.2847870000000001</v>
      </c>
      <c r="B53" s="1">
        <f>DATE(2010,5,4) + TIME(6,50,5)</f>
        <v>40302.284780092596</v>
      </c>
      <c r="C53">
        <v>80</v>
      </c>
      <c r="D53">
        <v>54.780815124999997</v>
      </c>
      <c r="E53">
        <v>50</v>
      </c>
      <c r="F53">
        <v>14.998760223</v>
      </c>
      <c r="G53">
        <v>1348.9182129000001</v>
      </c>
      <c r="H53">
        <v>1343.9982910000001</v>
      </c>
      <c r="I53">
        <v>1314.2376709</v>
      </c>
      <c r="J53">
        <v>1305.1574707</v>
      </c>
      <c r="K53">
        <v>550</v>
      </c>
      <c r="L53">
        <v>0</v>
      </c>
      <c r="M53">
        <v>0</v>
      </c>
      <c r="N53">
        <v>550</v>
      </c>
    </row>
    <row r="54" spans="1:14" x14ac:dyDescent="0.25">
      <c r="A54">
        <v>3.4062540000000001</v>
      </c>
      <c r="B54" s="1">
        <f>DATE(2010,5,4) + TIME(9,45,0)</f>
        <v>40302.40625</v>
      </c>
      <c r="C54">
        <v>80</v>
      </c>
      <c r="D54">
        <v>55.749523162999999</v>
      </c>
      <c r="E54">
        <v>50</v>
      </c>
      <c r="F54">
        <v>14.998768805999999</v>
      </c>
      <c r="G54">
        <v>1348.9049072</v>
      </c>
      <c r="H54">
        <v>1344.0211182</v>
      </c>
      <c r="I54">
        <v>1314.2402344</v>
      </c>
      <c r="J54">
        <v>1305.1583252</v>
      </c>
      <c r="K54">
        <v>550</v>
      </c>
      <c r="L54">
        <v>0</v>
      </c>
      <c r="M54">
        <v>0</v>
      </c>
      <c r="N54">
        <v>550</v>
      </c>
    </row>
    <row r="55" spans="1:14" x14ac:dyDescent="0.25">
      <c r="A55">
        <v>3.531644</v>
      </c>
      <c r="B55" s="1">
        <f>DATE(2010,5,4) + TIME(12,45,34)</f>
        <v>40302.531643518516</v>
      </c>
      <c r="C55">
        <v>80</v>
      </c>
      <c r="D55">
        <v>56.716754913000003</v>
      </c>
      <c r="E55">
        <v>50</v>
      </c>
      <c r="F55">
        <v>14.998777390000001</v>
      </c>
      <c r="G55">
        <v>1348.894043</v>
      </c>
      <c r="H55">
        <v>1344.0447998</v>
      </c>
      <c r="I55">
        <v>1314.2429199000001</v>
      </c>
      <c r="J55">
        <v>1305.1590576000001</v>
      </c>
      <c r="K55">
        <v>550</v>
      </c>
      <c r="L55">
        <v>0</v>
      </c>
      <c r="M55">
        <v>0</v>
      </c>
      <c r="N55">
        <v>550</v>
      </c>
    </row>
    <row r="56" spans="1:14" x14ac:dyDescent="0.25">
      <c r="A56">
        <v>3.6612840000000002</v>
      </c>
      <c r="B56" s="1">
        <f>DATE(2010,5,4) + TIME(15,52,14)</f>
        <v>40302.661273148151</v>
      </c>
      <c r="C56">
        <v>80</v>
      </c>
      <c r="D56">
        <v>57.682384491000001</v>
      </c>
      <c r="E56">
        <v>50</v>
      </c>
      <c r="F56">
        <v>14.998785973</v>
      </c>
      <c r="G56">
        <v>1348.885376</v>
      </c>
      <c r="H56">
        <v>1344.0690918</v>
      </c>
      <c r="I56">
        <v>1314.2457274999999</v>
      </c>
      <c r="J56">
        <v>1305.1597899999999</v>
      </c>
      <c r="K56">
        <v>550</v>
      </c>
      <c r="L56">
        <v>0</v>
      </c>
      <c r="M56">
        <v>0</v>
      </c>
      <c r="N56">
        <v>550</v>
      </c>
    </row>
    <row r="57" spans="1:14" x14ac:dyDescent="0.25">
      <c r="A57">
        <v>3.7955369999999999</v>
      </c>
      <c r="B57" s="1">
        <f>DATE(2010,5,4) + TIME(19,5,34)</f>
        <v>40302.795532407406</v>
      </c>
      <c r="C57">
        <v>80</v>
      </c>
      <c r="D57">
        <v>58.646274566999999</v>
      </c>
      <c r="E57">
        <v>50</v>
      </c>
      <c r="F57">
        <v>14.998795509000001</v>
      </c>
      <c r="G57">
        <v>1348.8787841999999</v>
      </c>
      <c r="H57">
        <v>1344.0939940999999</v>
      </c>
      <c r="I57">
        <v>1314.2485352000001</v>
      </c>
      <c r="J57">
        <v>1305.1606445</v>
      </c>
      <c r="K57">
        <v>550</v>
      </c>
      <c r="L57">
        <v>0</v>
      </c>
      <c r="M57">
        <v>0</v>
      </c>
      <c r="N57">
        <v>550</v>
      </c>
    </row>
    <row r="58" spans="1:14" x14ac:dyDescent="0.25">
      <c r="A58">
        <v>3.9348200000000002</v>
      </c>
      <c r="B58" s="1">
        <f>DATE(2010,5,4) + TIME(22,26,8)</f>
        <v>40302.934814814813</v>
      </c>
      <c r="C58">
        <v>80</v>
      </c>
      <c r="D58">
        <v>59.608268738</v>
      </c>
      <c r="E58">
        <v>50</v>
      </c>
      <c r="F58">
        <v>14.998804092</v>
      </c>
      <c r="G58">
        <v>1348.8742675999999</v>
      </c>
      <c r="H58">
        <v>1344.1193848</v>
      </c>
      <c r="I58">
        <v>1314.2513428</v>
      </c>
      <c r="J58">
        <v>1305.161499</v>
      </c>
      <c r="K58">
        <v>550</v>
      </c>
      <c r="L58">
        <v>0</v>
      </c>
      <c r="M58">
        <v>0</v>
      </c>
      <c r="N58">
        <v>550</v>
      </c>
    </row>
    <row r="59" spans="1:14" x14ac:dyDescent="0.25">
      <c r="A59">
        <v>4.0796049999999999</v>
      </c>
      <c r="B59" s="1">
        <f>DATE(2010,5,5) + TIME(1,54,37)</f>
        <v>40303.079594907409</v>
      </c>
      <c r="C59">
        <v>80</v>
      </c>
      <c r="D59">
        <v>60.567771911999998</v>
      </c>
      <c r="E59">
        <v>50</v>
      </c>
      <c r="F59">
        <v>14.998813629000001</v>
      </c>
      <c r="G59">
        <v>1348.871582</v>
      </c>
      <c r="H59">
        <v>1344.1451416</v>
      </c>
      <c r="I59">
        <v>1314.2542725000001</v>
      </c>
      <c r="J59">
        <v>1305.1623535000001</v>
      </c>
      <c r="K59">
        <v>550</v>
      </c>
      <c r="L59">
        <v>0</v>
      </c>
      <c r="M59">
        <v>0</v>
      </c>
      <c r="N59">
        <v>550</v>
      </c>
    </row>
    <row r="60" spans="1:14" x14ac:dyDescent="0.25">
      <c r="A60">
        <v>4.2305010000000003</v>
      </c>
      <c r="B60" s="1">
        <f>DATE(2010,5,5) + TIME(5,31,55)</f>
        <v>40303.230497685188</v>
      </c>
      <c r="C60">
        <v>80</v>
      </c>
      <c r="D60">
        <v>61.525089264000002</v>
      </c>
      <c r="E60">
        <v>50</v>
      </c>
      <c r="F60">
        <v>14.998822212</v>
      </c>
      <c r="G60">
        <v>1348.8704834</v>
      </c>
      <c r="H60">
        <v>1344.1712646000001</v>
      </c>
      <c r="I60">
        <v>1314.2573242000001</v>
      </c>
      <c r="J60">
        <v>1305.1632079999999</v>
      </c>
      <c r="K60">
        <v>550</v>
      </c>
      <c r="L60">
        <v>0</v>
      </c>
      <c r="M60">
        <v>0</v>
      </c>
      <c r="N60">
        <v>550</v>
      </c>
    </row>
    <row r="61" spans="1:14" x14ac:dyDescent="0.25">
      <c r="A61">
        <v>4.3881259999999997</v>
      </c>
      <c r="B61" s="1">
        <f>DATE(2010,5,5) + TIME(9,18,54)</f>
        <v>40303.388124999998</v>
      </c>
      <c r="C61">
        <v>80</v>
      </c>
      <c r="D61">
        <v>62.48015213</v>
      </c>
      <c r="E61">
        <v>50</v>
      </c>
      <c r="F61">
        <v>14.998831749000001</v>
      </c>
      <c r="G61">
        <v>1348.8710937999999</v>
      </c>
      <c r="H61">
        <v>1344.1975098</v>
      </c>
      <c r="I61">
        <v>1314.260376</v>
      </c>
      <c r="J61">
        <v>1305.1640625</v>
      </c>
      <c r="K61">
        <v>550</v>
      </c>
      <c r="L61">
        <v>0</v>
      </c>
      <c r="M61">
        <v>0</v>
      </c>
      <c r="N61">
        <v>550</v>
      </c>
    </row>
    <row r="62" spans="1:14" x14ac:dyDescent="0.25">
      <c r="A62">
        <v>4.553166</v>
      </c>
      <c r="B62" s="1">
        <f>DATE(2010,5,5) + TIME(13,16,33)</f>
        <v>40303.553159722222</v>
      </c>
      <c r="C62">
        <v>80</v>
      </c>
      <c r="D62">
        <v>63.432445526000002</v>
      </c>
      <c r="E62">
        <v>50</v>
      </c>
      <c r="F62">
        <v>14.998841285999999</v>
      </c>
      <c r="G62">
        <v>1348.8730469</v>
      </c>
      <c r="H62">
        <v>1344.2238769999999</v>
      </c>
      <c r="I62">
        <v>1314.2635498</v>
      </c>
      <c r="J62">
        <v>1305.1650391000001</v>
      </c>
      <c r="K62">
        <v>550</v>
      </c>
      <c r="L62">
        <v>0</v>
      </c>
      <c r="M62">
        <v>0</v>
      </c>
      <c r="N62">
        <v>550</v>
      </c>
    </row>
    <row r="63" spans="1:14" x14ac:dyDescent="0.25">
      <c r="A63">
        <v>4.7264749999999998</v>
      </c>
      <c r="B63" s="1">
        <f>DATE(2010,5,5) + TIME(17,26,7)</f>
        <v>40303.726469907408</v>
      </c>
      <c r="C63">
        <v>80</v>
      </c>
      <c r="D63">
        <v>64.381652832</v>
      </c>
      <c r="E63">
        <v>50</v>
      </c>
      <c r="F63">
        <v>14.998850822</v>
      </c>
      <c r="G63">
        <v>1348.8764647999999</v>
      </c>
      <c r="H63">
        <v>1344.2501221</v>
      </c>
      <c r="I63">
        <v>1314.2668457</v>
      </c>
      <c r="J63">
        <v>1305.1660156</v>
      </c>
      <c r="K63">
        <v>550</v>
      </c>
      <c r="L63">
        <v>0</v>
      </c>
      <c r="M63">
        <v>0</v>
      </c>
      <c r="N63">
        <v>550</v>
      </c>
    </row>
    <row r="64" spans="1:14" x14ac:dyDescent="0.25">
      <c r="A64">
        <v>4.9090579999999999</v>
      </c>
      <c r="B64" s="1">
        <f>DATE(2010,5,5) + TIME(21,49,2)</f>
        <v>40303.909050925926</v>
      </c>
      <c r="C64">
        <v>80</v>
      </c>
      <c r="D64">
        <v>65.32749939</v>
      </c>
      <c r="E64">
        <v>50</v>
      </c>
      <c r="F64">
        <v>14.998860359</v>
      </c>
      <c r="G64">
        <v>1348.8809814000001</v>
      </c>
      <c r="H64">
        <v>1344.2762451000001</v>
      </c>
      <c r="I64">
        <v>1314.2702637</v>
      </c>
      <c r="J64">
        <v>1305.1671143000001</v>
      </c>
      <c r="K64">
        <v>550</v>
      </c>
      <c r="L64">
        <v>0</v>
      </c>
      <c r="M64">
        <v>0</v>
      </c>
      <c r="N64">
        <v>550</v>
      </c>
    </row>
    <row r="65" spans="1:14" x14ac:dyDescent="0.25">
      <c r="A65">
        <v>5.1020940000000001</v>
      </c>
      <c r="B65" s="1">
        <f>DATE(2010,5,6) + TIME(2,27,0)</f>
        <v>40304.102083333331</v>
      </c>
      <c r="C65">
        <v>80</v>
      </c>
      <c r="D65">
        <v>66.269561768000003</v>
      </c>
      <c r="E65">
        <v>50</v>
      </c>
      <c r="F65">
        <v>14.998870849999999</v>
      </c>
      <c r="G65">
        <v>1348.8865966999999</v>
      </c>
      <c r="H65">
        <v>1344.3020019999999</v>
      </c>
      <c r="I65">
        <v>1314.2736815999999</v>
      </c>
      <c r="J65">
        <v>1305.1682129000001</v>
      </c>
      <c r="K65">
        <v>550</v>
      </c>
      <c r="L65">
        <v>0</v>
      </c>
      <c r="M65">
        <v>0</v>
      </c>
      <c r="N65">
        <v>550</v>
      </c>
    </row>
    <row r="66" spans="1:14" x14ac:dyDescent="0.25">
      <c r="A66">
        <v>5.2033649999999998</v>
      </c>
      <c r="B66" s="1">
        <f>DATE(2010,5,6) + TIME(4,52,50)</f>
        <v>40304.203356481485</v>
      </c>
      <c r="C66">
        <v>80</v>
      </c>
      <c r="D66">
        <v>66.750251770000006</v>
      </c>
      <c r="E66">
        <v>50</v>
      </c>
      <c r="F66">
        <v>14.998876572</v>
      </c>
      <c r="G66">
        <v>1348.9257812000001</v>
      </c>
      <c r="H66">
        <v>1344.3319091999999</v>
      </c>
      <c r="I66">
        <v>1314.2770995999999</v>
      </c>
      <c r="J66">
        <v>1305.1693115</v>
      </c>
      <c r="K66">
        <v>550</v>
      </c>
      <c r="L66">
        <v>0</v>
      </c>
      <c r="M66">
        <v>0</v>
      </c>
      <c r="N66">
        <v>550</v>
      </c>
    </row>
    <row r="67" spans="1:14" x14ac:dyDescent="0.25">
      <c r="A67">
        <v>5.3046350000000002</v>
      </c>
      <c r="B67" s="1">
        <f>DATE(2010,5,6) + TIME(7,18,40)</f>
        <v>40304.304629629631</v>
      </c>
      <c r="C67">
        <v>80</v>
      </c>
      <c r="D67">
        <v>67.215545653999996</v>
      </c>
      <c r="E67">
        <v>50</v>
      </c>
      <c r="F67">
        <v>14.998881340000001</v>
      </c>
      <c r="G67">
        <v>1348.9304199000001</v>
      </c>
      <c r="H67">
        <v>1344.3452147999999</v>
      </c>
      <c r="I67">
        <v>1314.2790527</v>
      </c>
      <c r="J67">
        <v>1305.1699219</v>
      </c>
      <c r="K67">
        <v>550</v>
      </c>
      <c r="L67">
        <v>0</v>
      </c>
      <c r="M67">
        <v>0</v>
      </c>
      <c r="N67">
        <v>550</v>
      </c>
    </row>
    <row r="68" spans="1:14" x14ac:dyDescent="0.25">
      <c r="A68">
        <v>5.4059059999999999</v>
      </c>
      <c r="B68" s="1">
        <f>DATE(2010,5,6) + TIME(9,44,30)</f>
        <v>40304.405902777777</v>
      </c>
      <c r="C68">
        <v>80</v>
      </c>
      <c r="D68">
        <v>67.665824889999996</v>
      </c>
      <c r="E68">
        <v>50</v>
      </c>
      <c r="F68">
        <v>14.998887062</v>
      </c>
      <c r="G68">
        <v>1348.9350586</v>
      </c>
      <c r="H68">
        <v>1344.3579102000001</v>
      </c>
      <c r="I68">
        <v>1314.2808838000001</v>
      </c>
      <c r="J68">
        <v>1305.1705322</v>
      </c>
      <c r="K68">
        <v>550</v>
      </c>
      <c r="L68">
        <v>0</v>
      </c>
      <c r="M68">
        <v>0</v>
      </c>
      <c r="N68">
        <v>550</v>
      </c>
    </row>
    <row r="69" spans="1:14" x14ac:dyDescent="0.25">
      <c r="A69">
        <v>5.5071760000000003</v>
      </c>
      <c r="B69" s="1">
        <f>DATE(2010,5,6) + TIME(12,10,20)</f>
        <v>40304.507175925923</v>
      </c>
      <c r="C69">
        <v>80</v>
      </c>
      <c r="D69">
        <v>68.101448059000006</v>
      </c>
      <c r="E69">
        <v>50</v>
      </c>
      <c r="F69">
        <v>14.99889183</v>
      </c>
      <c r="G69">
        <v>1348.9396973</v>
      </c>
      <c r="H69">
        <v>1344.3699951000001</v>
      </c>
      <c r="I69">
        <v>1314.2827147999999</v>
      </c>
      <c r="J69">
        <v>1305.1711425999999</v>
      </c>
      <c r="K69">
        <v>550</v>
      </c>
      <c r="L69">
        <v>0</v>
      </c>
      <c r="M69">
        <v>0</v>
      </c>
      <c r="N69">
        <v>550</v>
      </c>
    </row>
    <row r="70" spans="1:14" x14ac:dyDescent="0.25">
      <c r="A70">
        <v>5.608447</v>
      </c>
      <c r="B70" s="1">
        <f>DATE(2010,5,6) + TIME(14,36,9)</f>
        <v>40304.608437499999</v>
      </c>
      <c r="C70">
        <v>80</v>
      </c>
      <c r="D70">
        <v>68.522781371999997</v>
      </c>
      <c r="E70">
        <v>50</v>
      </c>
      <c r="F70">
        <v>14.998896599</v>
      </c>
      <c r="G70">
        <v>1348.9443358999999</v>
      </c>
      <c r="H70">
        <v>1344.3815918</v>
      </c>
      <c r="I70">
        <v>1314.2845459</v>
      </c>
      <c r="J70">
        <v>1305.1717529</v>
      </c>
      <c r="K70">
        <v>550</v>
      </c>
      <c r="L70">
        <v>0</v>
      </c>
      <c r="M70">
        <v>0</v>
      </c>
      <c r="N70">
        <v>550</v>
      </c>
    </row>
    <row r="71" spans="1:14" x14ac:dyDescent="0.25">
      <c r="A71">
        <v>5.7097170000000004</v>
      </c>
      <c r="B71" s="1">
        <f>DATE(2010,5,6) + TIME(17,1,59)</f>
        <v>40304.709710648145</v>
      </c>
      <c r="C71">
        <v>80</v>
      </c>
      <c r="D71">
        <v>68.930191039999997</v>
      </c>
      <c r="E71">
        <v>50</v>
      </c>
      <c r="F71">
        <v>14.998901367</v>
      </c>
      <c r="G71">
        <v>1348.9488524999999</v>
      </c>
      <c r="H71">
        <v>1344.3925781</v>
      </c>
      <c r="I71">
        <v>1314.2862548999999</v>
      </c>
      <c r="J71">
        <v>1305.1723632999999</v>
      </c>
      <c r="K71">
        <v>550</v>
      </c>
      <c r="L71">
        <v>0</v>
      </c>
      <c r="M71">
        <v>0</v>
      </c>
      <c r="N71">
        <v>550</v>
      </c>
    </row>
    <row r="72" spans="1:14" x14ac:dyDescent="0.25">
      <c r="A72">
        <v>5.8109869999999999</v>
      </c>
      <c r="B72" s="1">
        <f>DATE(2010,5,6) + TIME(19,27,49)</f>
        <v>40304.810983796298</v>
      </c>
      <c r="C72">
        <v>80</v>
      </c>
      <c r="D72">
        <v>69.324035644999995</v>
      </c>
      <c r="E72">
        <v>50</v>
      </c>
      <c r="F72">
        <v>14.998906136</v>
      </c>
      <c r="G72">
        <v>1348.9532471</v>
      </c>
      <c r="H72">
        <v>1344.4029541</v>
      </c>
      <c r="I72">
        <v>1314.2880858999999</v>
      </c>
      <c r="J72">
        <v>1305.1729736</v>
      </c>
      <c r="K72">
        <v>550</v>
      </c>
      <c r="L72">
        <v>0</v>
      </c>
      <c r="M72">
        <v>0</v>
      </c>
      <c r="N72">
        <v>550</v>
      </c>
    </row>
    <row r="73" spans="1:14" x14ac:dyDescent="0.25">
      <c r="A73">
        <v>5.9122579999999996</v>
      </c>
      <c r="B73" s="1">
        <f>DATE(2010,5,6) + TIME(21,53,39)</f>
        <v>40304.912256944444</v>
      </c>
      <c r="C73">
        <v>80</v>
      </c>
      <c r="D73">
        <v>69.704666137999993</v>
      </c>
      <c r="E73">
        <v>50</v>
      </c>
      <c r="F73">
        <v>14.998910904000001</v>
      </c>
      <c r="G73">
        <v>1348.9576416</v>
      </c>
      <c r="H73">
        <v>1344.4128418</v>
      </c>
      <c r="I73">
        <v>1314.2897949000001</v>
      </c>
      <c r="J73">
        <v>1305.1735839999999</v>
      </c>
      <c r="K73">
        <v>550</v>
      </c>
      <c r="L73">
        <v>0</v>
      </c>
      <c r="M73">
        <v>0</v>
      </c>
      <c r="N73">
        <v>550</v>
      </c>
    </row>
    <row r="74" spans="1:14" x14ac:dyDescent="0.25">
      <c r="A74">
        <v>6.0134720000000002</v>
      </c>
      <c r="B74" s="1">
        <f>DATE(2010,5,7) + TIME(0,19,23)</f>
        <v>40305.013460648152</v>
      </c>
      <c r="C74">
        <v>80</v>
      </c>
      <c r="D74">
        <v>70.072196959999999</v>
      </c>
      <c r="E74">
        <v>50</v>
      </c>
      <c r="F74">
        <v>14.998915672000001</v>
      </c>
      <c r="G74">
        <v>1348.9617920000001</v>
      </c>
      <c r="H74">
        <v>1344.4221190999999</v>
      </c>
      <c r="I74">
        <v>1314.2915039</v>
      </c>
      <c r="J74">
        <v>1305.1741943</v>
      </c>
      <c r="K74">
        <v>550</v>
      </c>
      <c r="L74">
        <v>0</v>
      </c>
      <c r="M74">
        <v>0</v>
      </c>
      <c r="N74">
        <v>550</v>
      </c>
    </row>
    <row r="75" spans="1:14" x14ac:dyDescent="0.25">
      <c r="A75">
        <v>6.1146669999999999</v>
      </c>
      <c r="B75" s="1">
        <f>DATE(2010,5,7) + TIME(2,45,7)</f>
        <v>40305.114664351851</v>
      </c>
      <c r="C75">
        <v>80</v>
      </c>
      <c r="D75">
        <v>70.426956176999994</v>
      </c>
      <c r="E75">
        <v>50</v>
      </c>
      <c r="F75">
        <v>14.998920440999999</v>
      </c>
      <c r="G75">
        <v>1348.9658202999999</v>
      </c>
      <c r="H75">
        <v>1344.4309082</v>
      </c>
      <c r="I75">
        <v>1314.2932129000001</v>
      </c>
      <c r="J75">
        <v>1305.1748047000001</v>
      </c>
      <c r="K75">
        <v>550</v>
      </c>
      <c r="L75">
        <v>0</v>
      </c>
      <c r="M75">
        <v>0</v>
      </c>
      <c r="N75">
        <v>550</v>
      </c>
    </row>
    <row r="76" spans="1:14" x14ac:dyDescent="0.25">
      <c r="A76">
        <v>6.2158620000000004</v>
      </c>
      <c r="B76" s="1">
        <f>DATE(2010,5,7) + TIME(5,10,50)</f>
        <v>40305.215856481482</v>
      </c>
      <c r="C76">
        <v>80</v>
      </c>
      <c r="D76">
        <v>70.769569396999998</v>
      </c>
      <c r="E76">
        <v>50</v>
      </c>
      <c r="F76">
        <v>14.998925208999999</v>
      </c>
      <c r="G76">
        <v>1348.9697266000001</v>
      </c>
      <c r="H76">
        <v>1344.4392089999999</v>
      </c>
      <c r="I76">
        <v>1314.2949219</v>
      </c>
      <c r="J76">
        <v>1305.1754149999999</v>
      </c>
      <c r="K76">
        <v>550</v>
      </c>
      <c r="L76">
        <v>0</v>
      </c>
      <c r="M76">
        <v>0</v>
      </c>
      <c r="N76">
        <v>550</v>
      </c>
    </row>
    <row r="77" spans="1:14" x14ac:dyDescent="0.25">
      <c r="A77">
        <v>6.3170570000000001</v>
      </c>
      <c r="B77" s="1">
        <f>DATE(2010,5,7) + TIME(7,36,33)</f>
        <v>40305.317048611112</v>
      </c>
      <c r="C77">
        <v>80</v>
      </c>
      <c r="D77">
        <v>71.100379943999997</v>
      </c>
      <c r="E77">
        <v>50</v>
      </c>
      <c r="F77">
        <v>14.998929024000001</v>
      </c>
      <c r="G77">
        <v>1348.9733887</v>
      </c>
      <c r="H77">
        <v>1344.4468993999999</v>
      </c>
      <c r="I77">
        <v>1314.2966309000001</v>
      </c>
      <c r="J77">
        <v>1305.1760254000001</v>
      </c>
      <c r="K77">
        <v>550</v>
      </c>
      <c r="L77">
        <v>0</v>
      </c>
      <c r="M77">
        <v>0</v>
      </c>
      <c r="N77">
        <v>550</v>
      </c>
    </row>
    <row r="78" spans="1:14" x14ac:dyDescent="0.25">
      <c r="A78">
        <v>6.4182519999999998</v>
      </c>
      <c r="B78" s="1">
        <f>DATE(2010,5,7) + TIME(10,2,16)</f>
        <v>40305.418240740742</v>
      </c>
      <c r="C78">
        <v>80</v>
      </c>
      <c r="D78">
        <v>71.419715881000002</v>
      </c>
      <c r="E78">
        <v>50</v>
      </c>
      <c r="F78">
        <v>14.998933792000001</v>
      </c>
      <c r="G78">
        <v>1348.9768065999999</v>
      </c>
      <c r="H78">
        <v>1344.4541016000001</v>
      </c>
      <c r="I78">
        <v>1314.2982178</v>
      </c>
      <c r="J78">
        <v>1305.1766356999999</v>
      </c>
      <c r="K78">
        <v>550</v>
      </c>
      <c r="L78">
        <v>0</v>
      </c>
      <c r="M78">
        <v>0</v>
      </c>
      <c r="N78">
        <v>550</v>
      </c>
    </row>
    <row r="79" spans="1:14" x14ac:dyDescent="0.25">
      <c r="A79">
        <v>6.5194470000000004</v>
      </c>
      <c r="B79" s="1">
        <f>DATE(2010,5,7) + TIME(12,28,0)</f>
        <v>40305.519444444442</v>
      </c>
      <c r="C79">
        <v>80</v>
      </c>
      <c r="D79">
        <v>71.727920531999999</v>
      </c>
      <c r="E79">
        <v>50</v>
      </c>
      <c r="F79">
        <v>14.998938559999999</v>
      </c>
      <c r="G79">
        <v>1348.9801024999999</v>
      </c>
      <c r="H79">
        <v>1344.4608154</v>
      </c>
      <c r="I79">
        <v>1314.2999268000001</v>
      </c>
      <c r="J79">
        <v>1305.1772461</v>
      </c>
      <c r="K79">
        <v>550</v>
      </c>
      <c r="L79">
        <v>0</v>
      </c>
      <c r="M79">
        <v>0</v>
      </c>
      <c r="N79">
        <v>550</v>
      </c>
    </row>
    <row r="80" spans="1:14" x14ac:dyDescent="0.25">
      <c r="A80">
        <v>6.6206420000000001</v>
      </c>
      <c r="B80" s="1">
        <f>DATE(2010,5,7) + TIME(14,53,43)</f>
        <v>40305.620636574073</v>
      </c>
      <c r="C80">
        <v>80</v>
      </c>
      <c r="D80">
        <v>72.025314331000004</v>
      </c>
      <c r="E80">
        <v>50</v>
      </c>
      <c r="F80">
        <v>14.998942375</v>
      </c>
      <c r="G80">
        <v>1348.9831543</v>
      </c>
      <c r="H80">
        <v>1344.4669189000001</v>
      </c>
      <c r="I80">
        <v>1314.3015137</v>
      </c>
      <c r="J80">
        <v>1305.1779785000001</v>
      </c>
      <c r="K80">
        <v>550</v>
      </c>
      <c r="L80">
        <v>0</v>
      </c>
      <c r="M80">
        <v>0</v>
      </c>
      <c r="N80">
        <v>550</v>
      </c>
    </row>
    <row r="81" spans="1:14" x14ac:dyDescent="0.25">
      <c r="A81">
        <v>6.7218369999999998</v>
      </c>
      <c r="B81" s="1">
        <f>DATE(2010,5,7) + TIME(17,19,26)</f>
        <v>40305.721828703703</v>
      </c>
      <c r="C81">
        <v>80</v>
      </c>
      <c r="D81">
        <v>72.312217712000006</v>
      </c>
      <c r="E81">
        <v>50</v>
      </c>
      <c r="F81">
        <v>14.99894619</v>
      </c>
      <c r="G81">
        <v>1348.9859618999999</v>
      </c>
      <c r="H81">
        <v>1344.4726562000001</v>
      </c>
      <c r="I81">
        <v>1314.3031006000001</v>
      </c>
      <c r="J81">
        <v>1305.1785889</v>
      </c>
      <c r="K81">
        <v>550</v>
      </c>
      <c r="L81">
        <v>0</v>
      </c>
      <c r="M81">
        <v>0</v>
      </c>
      <c r="N81">
        <v>550</v>
      </c>
    </row>
    <row r="82" spans="1:14" x14ac:dyDescent="0.25">
      <c r="A82">
        <v>6.8230320000000004</v>
      </c>
      <c r="B82" s="1">
        <f>DATE(2010,5,7) + TIME(19,45,9)</f>
        <v>40305.823020833333</v>
      </c>
      <c r="C82">
        <v>80</v>
      </c>
      <c r="D82">
        <v>72.588943481000001</v>
      </c>
      <c r="E82">
        <v>50</v>
      </c>
      <c r="F82">
        <v>14.998950958</v>
      </c>
      <c r="G82">
        <v>1348.9886475000001</v>
      </c>
      <c r="H82">
        <v>1344.4779053</v>
      </c>
      <c r="I82">
        <v>1314.3046875</v>
      </c>
      <c r="J82">
        <v>1305.1791992000001</v>
      </c>
      <c r="K82">
        <v>550</v>
      </c>
      <c r="L82">
        <v>0</v>
      </c>
      <c r="M82">
        <v>0</v>
      </c>
      <c r="N82">
        <v>550</v>
      </c>
    </row>
    <row r="83" spans="1:14" x14ac:dyDescent="0.25">
      <c r="A83">
        <v>6.9242270000000001</v>
      </c>
      <c r="B83" s="1">
        <f>DATE(2010,5,7) + TIME(22,10,53)</f>
        <v>40305.924224537041</v>
      </c>
      <c r="C83">
        <v>80</v>
      </c>
      <c r="D83">
        <v>72.855812072999996</v>
      </c>
      <c r="E83">
        <v>50</v>
      </c>
      <c r="F83">
        <v>14.998954772999999</v>
      </c>
      <c r="G83">
        <v>1348.9909668</v>
      </c>
      <c r="H83">
        <v>1344.4825439000001</v>
      </c>
      <c r="I83">
        <v>1314.3061522999999</v>
      </c>
      <c r="J83">
        <v>1305.1798096</v>
      </c>
      <c r="K83">
        <v>550</v>
      </c>
      <c r="L83">
        <v>0</v>
      </c>
      <c r="M83">
        <v>0</v>
      </c>
      <c r="N83">
        <v>550</v>
      </c>
    </row>
    <row r="84" spans="1:14" x14ac:dyDescent="0.25">
      <c r="A84">
        <v>7.1266170000000004</v>
      </c>
      <c r="B84" s="1">
        <f>DATE(2010,5,8) + TIME(3,2,19)</f>
        <v>40306.126608796294</v>
      </c>
      <c r="C84">
        <v>80</v>
      </c>
      <c r="D84">
        <v>73.351081848000007</v>
      </c>
      <c r="E84">
        <v>50</v>
      </c>
      <c r="F84">
        <v>14.998962402</v>
      </c>
      <c r="G84">
        <v>1348.9770507999999</v>
      </c>
      <c r="H84">
        <v>1344.4853516000001</v>
      </c>
      <c r="I84">
        <v>1314.3079834</v>
      </c>
      <c r="J84">
        <v>1305.1805420000001</v>
      </c>
      <c r="K84">
        <v>550</v>
      </c>
      <c r="L84">
        <v>0</v>
      </c>
      <c r="M84">
        <v>0</v>
      </c>
      <c r="N84">
        <v>550</v>
      </c>
    </row>
    <row r="85" spans="1:14" x14ac:dyDescent="0.25">
      <c r="A85">
        <v>7.3294699999999997</v>
      </c>
      <c r="B85" s="1">
        <f>DATE(2010,5,8) + TIME(7,54,26)</f>
        <v>40306.329467592594</v>
      </c>
      <c r="C85">
        <v>80</v>
      </c>
      <c r="D85">
        <v>73.812889099000003</v>
      </c>
      <c r="E85">
        <v>50</v>
      </c>
      <c r="F85">
        <v>14.998970032000001</v>
      </c>
      <c r="G85">
        <v>1348.9812012</v>
      </c>
      <c r="H85">
        <v>1344.4918213000001</v>
      </c>
      <c r="I85">
        <v>1314.3109131000001</v>
      </c>
      <c r="J85">
        <v>1305.1817627</v>
      </c>
      <c r="K85">
        <v>550</v>
      </c>
      <c r="L85">
        <v>0</v>
      </c>
      <c r="M85">
        <v>0</v>
      </c>
      <c r="N85">
        <v>550</v>
      </c>
    </row>
    <row r="86" spans="1:14" x14ac:dyDescent="0.25">
      <c r="A86">
        <v>7.534497</v>
      </c>
      <c r="B86" s="1">
        <f>DATE(2010,5,8) + TIME(12,49,40)</f>
        <v>40306.534490740742</v>
      </c>
      <c r="C86">
        <v>80</v>
      </c>
      <c r="D86">
        <v>74.246482849000003</v>
      </c>
      <c r="E86">
        <v>50</v>
      </c>
      <c r="F86">
        <v>14.998977661</v>
      </c>
      <c r="G86">
        <v>1348.9840088000001</v>
      </c>
      <c r="H86">
        <v>1344.4968262</v>
      </c>
      <c r="I86">
        <v>1314.3138428</v>
      </c>
      <c r="J86">
        <v>1305.1829834</v>
      </c>
      <c r="K86">
        <v>550</v>
      </c>
      <c r="L86">
        <v>0</v>
      </c>
      <c r="M86">
        <v>0</v>
      </c>
      <c r="N86">
        <v>550</v>
      </c>
    </row>
    <row r="87" spans="1:14" x14ac:dyDescent="0.25">
      <c r="A87">
        <v>7.7419979999999997</v>
      </c>
      <c r="B87" s="1">
        <f>DATE(2010,5,8) + TIME(17,48,28)</f>
        <v>40306.741990740738</v>
      </c>
      <c r="C87">
        <v>80</v>
      </c>
      <c r="D87">
        <v>74.653526306000003</v>
      </c>
      <c r="E87">
        <v>50</v>
      </c>
      <c r="F87">
        <v>14.998985291</v>
      </c>
      <c r="G87">
        <v>1348.9858397999999</v>
      </c>
      <c r="H87">
        <v>1344.5001221</v>
      </c>
      <c r="I87">
        <v>1314.3167725000001</v>
      </c>
      <c r="J87">
        <v>1305.1842041</v>
      </c>
      <c r="K87">
        <v>550</v>
      </c>
      <c r="L87">
        <v>0</v>
      </c>
      <c r="M87">
        <v>0</v>
      </c>
      <c r="N87">
        <v>550</v>
      </c>
    </row>
    <row r="88" spans="1:14" x14ac:dyDescent="0.25">
      <c r="A88">
        <v>7.9523010000000003</v>
      </c>
      <c r="B88" s="1">
        <f>DATE(2010,5,8) + TIME(22,51,18)</f>
        <v>40306.952291666668</v>
      </c>
      <c r="C88">
        <v>80</v>
      </c>
      <c r="D88">
        <v>75.035568237000007</v>
      </c>
      <c r="E88">
        <v>50</v>
      </c>
      <c r="F88">
        <v>14.998991966</v>
      </c>
      <c r="G88">
        <v>1348.9866943</v>
      </c>
      <c r="H88">
        <v>1344.5019531</v>
      </c>
      <c r="I88">
        <v>1314.3197021000001</v>
      </c>
      <c r="J88">
        <v>1305.1855469</v>
      </c>
      <c r="K88">
        <v>550</v>
      </c>
      <c r="L88">
        <v>0</v>
      </c>
      <c r="M88">
        <v>0</v>
      </c>
      <c r="N88">
        <v>550</v>
      </c>
    </row>
    <row r="89" spans="1:14" x14ac:dyDescent="0.25">
      <c r="A89">
        <v>8.1657430000000009</v>
      </c>
      <c r="B89" s="1">
        <f>DATE(2010,5,9) + TIME(3,58,40)</f>
        <v>40307.16574074074</v>
      </c>
      <c r="C89">
        <v>80</v>
      </c>
      <c r="D89">
        <v>75.393829346000004</v>
      </c>
      <c r="E89">
        <v>50</v>
      </c>
      <c r="F89">
        <v>14.998999596000001</v>
      </c>
      <c r="G89">
        <v>1348.9865723</v>
      </c>
      <c r="H89">
        <v>1344.5024414</v>
      </c>
      <c r="I89">
        <v>1314.3226318</v>
      </c>
      <c r="J89">
        <v>1305.1867675999999</v>
      </c>
      <c r="K89">
        <v>550</v>
      </c>
      <c r="L89">
        <v>0</v>
      </c>
      <c r="M89">
        <v>0</v>
      </c>
      <c r="N89">
        <v>550</v>
      </c>
    </row>
    <row r="90" spans="1:14" x14ac:dyDescent="0.25">
      <c r="A90">
        <v>8.3826750000000008</v>
      </c>
      <c r="B90" s="1">
        <f>DATE(2010,5,9) + TIME(9,11,3)</f>
        <v>40307.382673611108</v>
      </c>
      <c r="C90">
        <v>80</v>
      </c>
      <c r="D90">
        <v>75.729881286999998</v>
      </c>
      <c r="E90">
        <v>50</v>
      </c>
      <c r="F90">
        <v>14.999006271000001</v>
      </c>
      <c r="G90">
        <v>1348.9853516000001</v>
      </c>
      <c r="H90">
        <v>1344.5013428</v>
      </c>
      <c r="I90">
        <v>1314.3254394999999</v>
      </c>
      <c r="J90">
        <v>1305.1881103999999</v>
      </c>
      <c r="K90">
        <v>550</v>
      </c>
      <c r="L90">
        <v>0</v>
      </c>
      <c r="M90">
        <v>0</v>
      </c>
      <c r="N90">
        <v>550</v>
      </c>
    </row>
    <row r="91" spans="1:14" x14ac:dyDescent="0.25">
      <c r="A91">
        <v>8.6034659999999992</v>
      </c>
      <c r="B91" s="1">
        <f>DATE(2010,5,9) + TIME(14,28,59)</f>
        <v>40307.603460648148</v>
      </c>
      <c r="C91">
        <v>80</v>
      </c>
      <c r="D91">
        <v>76.044952393000003</v>
      </c>
      <c r="E91">
        <v>50</v>
      </c>
      <c r="F91">
        <v>14.999013901</v>
      </c>
      <c r="G91">
        <v>1348.9831543</v>
      </c>
      <c r="H91">
        <v>1344.4989014</v>
      </c>
      <c r="I91">
        <v>1314.3282471</v>
      </c>
      <c r="J91">
        <v>1305.1894531</v>
      </c>
      <c r="K91">
        <v>550</v>
      </c>
      <c r="L91">
        <v>0</v>
      </c>
      <c r="M91">
        <v>0</v>
      </c>
      <c r="N91">
        <v>550</v>
      </c>
    </row>
    <row r="92" spans="1:14" x14ac:dyDescent="0.25">
      <c r="A92">
        <v>8.8285070000000001</v>
      </c>
      <c r="B92" s="1">
        <f>DATE(2010,5,9) + TIME(19,53,3)</f>
        <v>40307.828506944446</v>
      </c>
      <c r="C92">
        <v>80</v>
      </c>
      <c r="D92">
        <v>76.340194702000005</v>
      </c>
      <c r="E92">
        <v>50</v>
      </c>
      <c r="F92">
        <v>14.999020575999999</v>
      </c>
      <c r="G92">
        <v>1348.9798584</v>
      </c>
      <c r="H92">
        <v>1344.4951172000001</v>
      </c>
      <c r="I92">
        <v>1314.3310547000001</v>
      </c>
      <c r="J92">
        <v>1305.1907959</v>
      </c>
      <c r="K92">
        <v>550</v>
      </c>
      <c r="L92">
        <v>0</v>
      </c>
      <c r="M92">
        <v>0</v>
      </c>
      <c r="N92">
        <v>550</v>
      </c>
    </row>
    <row r="93" spans="1:14" x14ac:dyDescent="0.25">
      <c r="A93">
        <v>9.0582119999999993</v>
      </c>
      <c r="B93" s="1">
        <f>DATE(2010,5,10) + TIME(1,23,49)</f>
        <v>40308.058206018519</v>
      </c>
      <c r="C93">
        <v>80</v>
      </c>
      <c r="D93">
        <v>76.616661071999999</v>
      </c>
      <c r="E93">
        <v>50</v>
      </c>
      <c r="F93">
        <v>14.999028206</v>
      </c>
      <c r="G93">
        <v>1348.9755858999999</v>
      </c>
      <c r="H93">
        <v>1344.4898682</v>
      </c>
      <c r="I93">
        <v>1314.3339844</v>
      </c>
      <c r="J93">
        <v>1305.1921387</v>
      </c>
      <c r="K93">
        <v>550</v>
      </c>
      <c r="L93">
        <v>0</v>
      </c>
      <c r="M93">
        <v>0</v>
      </c>
      <c r="N93">
        <v>550</v>
      </c>
    </row>
    <row r="94" spans="1:14" x14ac:dyDescent="0.25">
      <c r="A94">
        <v>9.2930250000000001</v>
      </c>
      <c r="B94" s="1">
        <f>DATE(2010,5,10) + TIME(7,1,57)</f>
        <v>40308.293020833335</v>
      </c>
      <c r="C94">
        <v>80</v>
      </c>
      <c r="D94">
        <v>76.875350952000005</v>
      </c>
      <c r="E94">
        <v>50</v>
      </c>
      <c r="F94">
        <v>14.999034882</v>
      </c>
      <c r="G94">
        <v>1348.9702147999999</v>
      </c>
      <c r="H94">
        <v>1344.4832764</v>
      </c>
      <c r="I94">
        <v>1314.3367920000001</v>
      </c>
      <c r="J94">
        <v>1305.1936035000001</v>
      </c>
      <c r="K94">
        <v>550</v>
      </c>
      <c r="L94">
        <v>0</v>
      </c>
      <c r="M94">
        <v>0</v>
      </c>
      <c r="N94">
        <v>550</v>
      </c>
    </row>
    <row r="95" spans="1:14" x14ac:dyDescent="0.25">
      <c r="A95">
        <v>9.5334719999999997</v>
      </c>
      <c r="B95" s="1">
        <f>DATE(2010,5,10) + TIME(12,48,11)</f>
        <v>40308.533460648148</v>
      </c>
      <c r="C95">
        <v>80</v>
      </c>
      <c r="D95">
        <v>77.117233275999993</v>
      </c>
      <c r="E95">
        <v>50</v>
      </c>
      <c r="F95">
        <v>14.999041557</v>
      </c>
      <c r="G95">
        <v>1348.9637451000001</v>
      </c>
      <c r="H95">
        <v>1344.4754639</v>
      </c>
      <c r="I95">
        <v>1314.3395995999999</v>
      </c>
      <c r="J95">
        <v>1305.1950684000001</v>
      </c>
      <c r="K95">
        <v>550</v>
      </c>
      <c r="L95">
        <v>0</v>
      </c>
      <c r="M95">
        <v>0</v>
      </c>
      <c r="N95">
        <v>550</v>
      </c>
    </row>
    <row r="96" spans="1:14" x14ac:dyDescent="0.25">
      <c r="A96">
        <v>9.7800879999999992</v>
      </c>
      <c r="B96" s="1">
        <f>DATE(2010,5,10) + TIME(18,43,19)</f>
        <v>40308.780081018522</v>
      </c>
      <c r="C96">
        <v>80</v>
      </c>
      <c r="D96">
        <v>77.343193053999997</v>
      </c>
      <c r="E96">
        <v>50</v>
      </c>
      <c r="F96">
        <v>14.999048233</v>
      </c>
      <c r="G96">
        <v>1348.9562988</v>
      </c>
      <c r="H96">
        <v>1344.4663086</v>
      </c>
      <c r="I96">
        <v>1314.3424072</v>
      </c>
      <c r="J96">
        <v>1305.1965332</v>
      </c>
      <c r="K96">
        <v>550</v>
      </c>
      <c r="L96">
        <v>0</v>
      </c>
      <c r="M96">
        <v>0</v>
      </c>
      <c r="N96">
        <v>550</v>
      </c>
    </row>
    <row r="97" spans="1:14" x14ac:dyDescent="0.25">
      <c r="A97">
        <v>10.033377</v>
      </c>
      <c r="B97" s="1">
        <f>DATE(2010,5,11) + TIME(0,48,3)</f>
        <v>40309.033368055556</v>
      </c>
      <c r="C97">
        <v>80</v>
      </c>
      <c r="D97">
        <v>77.553977966000005</v>
      </c>
      <c r="E97">
        <v>50</v>
      </c>
      <c r="F97">
        <v>14.999054909</v>
      </c>
      <c r="G97">
        <v>1348.9475098</v>
      </c>
      <c r="H97">
        <v>1344.4556885</v>
      </c>
      <c r="I97">
        <v>1314.3452147999999</v>
      </c>
      <c r="J97">
        <v>1305.1979980000001</v>
      </c>
      <c r="K97">
        <v>550</v>
      </c>
      <c r="L97">
        <v>0</v>
      </c>
      <c r="M97">
        <v>0</v>
      </c>
      <c r="N97">
        <v>550</v>
      </c>
    </row>
    <row r="98" spans="1:14" x14ac:dyDescent="0.25">
      <c r="A98">
        <v>10.29396</v>
      </c>
      <c r="B98" s="1">
        <f>DATE(2010,5,11) + TIME(7,3,18)</f>
        <v>40309.293958333335</v>
      </c>
      <c r="C98">
        <v>80</v>
      </c>
      <c r="D98">
        <v>77.750373839999995</v>
      </c>
      <c r="E98">
        <v>50</v>
      </c>
      <c r="F98">
        <v>14.999062538</v>
      </c>
      <c r="G98">
        <v>1348.9377440999999</v>
      </c>
      <c r="H98">
        <v>1344.4438477000001</v>
      </c>
      <c r="I98">
        <v>1314.3481445</v>
      </c>
      <c r="J98">
        <v>1305.1995850000001</v>
      </c>
      <c r="K98">
        <v>550</v>
      </c>
      <c r="L98">
        <v>0</v>
      </c>
      <c r="M98">
        <v>0</v>
      </c>
      <c r="N98">
        <v>550</v>
      </c>
    </row>
    <row r="99" spans="1:14" x14ac:dyDescent="0.25">
      <c r="A99">
        <v>10.562512999999999</v>
      </c>
      <c r="B99" s="1">
        <f>DATE(2010,5,11) + TIME(13,30,1)</f>
        <v>40309.562511574077</v>
      </c>
      <c r="C99">
        <v>80</v>
      </c>
      <c r="D99">
        <v>77.933105468999997</v>
      </c>
      <c r="E99">
        <v>50</v>
      </c>
      <c r="F99">
        <v>14.999069214</v>
      </c>
      <c r="G99">
        <v>1348.9267577999999</v>
      </c>
      <c r="H99">
        <v>1344.4306641000001</v>
      </c>
      <c r="I99">
        <v>1314.3510742000001</v>
      </c>
      <c r="J99">
        <v>1305.2010498</v>
      </c>
      <c r="K99">
        <v>550</v>
      </c>
      <c r="L99">
        <v>0</v>
      </c>
      <c r="M99">
        <v>0</v>
      </c>
      <c r="N99">
        <v>550</v>
      </c>
    </row>
    <row r="100" spans="1:14" x14ac:dyDescent="0.25">
      <c r="A100">
        <v>10.839808</v>
      </c>
      <c r="B100" s="1">
        <f>DATE(2010,5,11) + TIME(20,9,19)</f>
        <v>40309.839803240742</v>
      </c>
      <c r="C100">
        <v>80</v>
      </c>
      <c r="D100">
        <v>78.102882385000001</v>
      </c>
      <c r="E100">
        <v>50</v>
      </c>
      <c r="F100">
        <v>14.99907589</v>
      </c>
      <c r="G100">
        <v>1348.9145507999999</v>
      </c>
      <c r="H100">
        <v>1344.4161377</v>
      </c>
      <c r="I100">
        <v>1314.3540039</v>
      </c>
      <c r="J100">
        <v>1305.2027588000001</v>
      </c>
      <c r="K100">
        <v>550</v>
      </c>
      <c r="L100">
        <v>0</v>
      </c>
      <c r="M100">
        <v>0</v>
      </c>
      <c r="N100">
        <v>550</v>
      </c>
    </row>
    <row r="101" spans="1:14" x14ac:dyDescent="0.25">
      <c r="A101">
        <v>11.125356999999999</v>
      </c>
      <c r="B101" s="1">
        <f>DATE(2010,5,12) + TIME(3,0,30)</f>
        <v>40310.125347222223</v>
      </c>
      <c r="C101">
        <v>80</v>
      </c>
      <c r="D101">
        <v>78.259704589999998</v>
      </c>
      <c r="E101">
        <v>50</v>
      </c>
      <c r="F101">
        <v>14.999082565</v>
      </c>
      <c r="G101">
        <v>1348.9012451000001</v>
      </c>
      <c r="H101">
        <v>1344.4001464999999</v>
      </c>
      <c r="I101">
        <v>1314.3569336</v>
      </c>
      <c r="J101">
        <v>1305.2044678</v>
      </c>
      <c r="K101">
        <v>550</v>
      </c>
      <c r="L101">
        <v>0</v>
      </c>
      <c r="M101">
        <v>0</v>
      </c>
      <c r="N101">
        <v>550</v>
      </c>
    </row>
    <row r="102" spans="1:14" x14ac:dyDescent="0.25">
      <c r="A102">
        <v>11.419953</v>
      </c>
      <c r="B102" s="1">
        <f>DATE(2010,5,12) + TIME(10,4,43)</f>
        <v>40310.419942129629</v>
      </c>
      <c r="C102">
        <v>80</v>
      </c>
      <c r="D102">
        <v>78.404342650999993</v>
      </c>
      <c r="E102">
        <v>50</v>
      </c>
      <c r="F102">
        <v>14.999090195000001</v>
      </c>
      <c r="G102">
        <v>1348.8865966999999</v>
      </c>
      <c r="H102">
        <v>1344.3830565999999</v>
      </c>
      <c r="I102">
        <v>1314.3598632999999</v>
      </c>
      <c r="J102">
        <v>1305.2061768000001</v>
      </c>
      <c r="K102">
        <v>550</v>
      </c>
      <c r="L102">
        <v>0</v>
      </c>
      <c r="M102">
        <v>0</v>
      </c>
      <c r="N102">
        <v>550</v>
      </c>
    </row>
    <row r="103" spans="1:14" x14ac:dyDescent="0.25">
      <c r="A103">
        <v>11.723777999999999</v>
      </c>
      <c r="B103" s="1">
        <f>DATE(2010,5,12) + TIME(17,22,14)</f>
        <v>40310.723773148151</v>
      </c>
      <c r="C103">
        <v>80</v>
      </c>
      <c r="D103">
        <v>78.537254333000007</v>
      </c>
      <c r="E103">
        <v>50</v>
      </c>
      <c r="F103">
        <v>14.999096870000001</v>
      </c>
      <c r="G103">
        <v>1348.8708495999999</v>
      </c>
      <c r="H103">
        <v>1344.3645019999999</v>
      </c>
      <c r="I103">
        <v>1314.3629149999999</v>
      </c>
      <c r="J103">
        <v>1305.2078856999999</v>
      </c>
      <c r="K103">
        <v>550</v>
      </c>
      <c r="L103">
        <v>0</v>
      </c>
      <c r="M103">
        <v>0</v>
      </c>
      <c r="N103">
        <v>550</v>
      </c>
    </row>
    <row r="104" spans="1:14" x14ac:dyDescent="0.25">
      <c r="A104">
        <v>12.036688</v>
      </c>
      <c r="B104" s="1">
        <f>DATE(2010,5,13) + TIME(0,52,49)</f>
        <v>40311.036678240744</v>
      </c>
      <c r="C104">
        <v>80</v>
      </c>
      <c r="D104">
        <v>78.658836364999999</v>
      </c>
      <c r="E104">
        <v>50</v>
      </c>
      <c r="F104">
        <v>14.999103546000001</v>
      </c>
      <c r="G104">
        <v>1348.8538818</v>
      </c>
      <c r="H104">
        <v>1344.3447266000001</v>
      </c>
      <c r="I104">
        <v>1314.3659668</v>
      </c>
      <c r="J104">
        <v>1305.2097168</v>
      </c>
      <c r="K104">
        <v>550</v>
      </c>
      <c r="L104">
        <v>0</v>
      </c>
      <c r="M104">
        <v>0</v>
      </c>
      <c r="N104">
        <v>550</v>
      </c>
    </row>
    <row r="105" spans="1:14" x14ac:dyDescent="0.25">
      <c r="A105">
        <v>12.359514000000001</v>
      </c>
      <c r="B105" s="1">
        <f>DATE(2010,5,13) + TIME(8,37,42)</f>
        <v>40311.359513888892</v>
      </c>
      <c r="C105">
        <v>80</v>
      </c>
      <c r="D105">
        <v>78.769859314000001</v>
      </c>
      <c r="E105">
        <v>50</v>
      </c>
      <c r="F105">
        <v>14.999111176</v>
      </c>
      <c r="G105">
        <v>1348.8358154</v>
      </c>
      <c r="H105">
        <v>1344.3237305</v>
      </c>
      <c r="I105">
        <v>1314.3691406</v>
      </c>
      <c r="J105">
        <v>1305.2115478999999</v>
      </c>
      <c r="K105">
        <v>550</v>
      </c>
      <c r="L105">
        <v>0</v>
      </c>
      <c r="M105">
        <v>0</v>
      </c>
      <c r="N105">
        <v>550</v>
      </c>
    </row>
    <row r="106" spans="1:14" x14ac:dyDescent="0.25">
      <c r="A106">
        <v>12.693165</v>
      </c>
      <c r="B106" s="1">
        <f>DATE(2010,5,13) + TIME(16,38,9)</f>
        <v>40311.693159722221</v>
      </c>
      <c r="C106">
        <v>80</v>
      </c>
      <c r="D106">
        <v>78.871063231999997</v>
      </c>
      <c r="E106">
        <v>50</v>
      </c>
      <c r="F106">
        <v>14.999117850999999</v>
      </c>
      <c r="G106">
        <v>1348.8164062000001</v>
      </c>
      <c r="H106">
        <v>1344.3015137</v>
      </c>
      <c r="I106">
        <v>1314.3723144999999</v>
      </c>
      <c r="J106">
        <v>1305.213501</v>
      </c>
      <c r="K106">
        <v>550</v>
      </c>
      <c r="L106">
        <v>0</v>
      </c>
      <c r="M106">
        <v>0</v>
      </c>
      <c r="N106">
        <v>550</v>
      </c>
    </row>
    <row r="107" spans="1:14" x14ac:dyDescent="0.25">
      <c r="A107">
        <v>13.038655</v>
      </c>
      <c r="B107" s="1">
        <f>DATE(2010,5,14) + TIME(0,55,39)</f>
        <v>40312.038645833331</v>
      </c>
      <c r="C107">
        <v>80</v>
      </c>
      <c r="D107">
        <v>78.963127135999997</v>
      </c>
      <c r="E107">
        <v>50</v>
      </c>
      <c r="F107">
        <v>14.999125481</v>
      </c>
      <c r="G107">
        <v>1348.7958983999999</v>
      </c>
      <c r="H107">
        <v>1344.2780762</v>
      </c>
      <c r="I107">
        <v>1314.3754882999999</v>
      </c>
      <c r="J107">
        <v>1305.2155762</v>
      </c>
      <c r="K107">
        <v>550</v>
      </c>
      <c r="L107">
        <v>0</v>
      </c>
      <c r="M107">
        <v>0</v>
      </c>
      <c r="N107">
        <v>550</v>
      </c>
    </row>
    <row r="108" spans="1:14" x14ac:dyDescent="0.25">
      <c r="A108">
        <v>13.397122</v>
      </c>
      <c r="B108" s="1">
        <f>DATE(2010,5,14) + TIME(9,31,51)</f>
        <v>40312.397118055553</v>
      </c>
      <c r="C108">
        <v>80</v>
      </c>
      <c r="D108">
        <v>79.046707153</v>
      </c>
      <c r="E108">
        <v>50</v>
      </c>
      <c r="F108">
        <v>14.999132156</v>
      </c>
      <c r="G108">
        <v>1348.7740478999999</v>
      </c>
      <c r="H108">
        <v>1344.253418</v>
      </c>
      <c r="I108">
        <v>1314.3787841999999</v>
      </c>
      <c r="J108">
        <v>1305.2175293</v>
      </c>
      <c r="K108">
        <v>550</v>
      </c>
      <c r="L108">
        <v>0</v>
      </c>
      <c r="M108">
        <v>0</v>
      </c>
      <c r="N108">
        <v>550</v>
      </c>
    </row>
    <row r="109" spans="1:14" x14ac:dyDescent="0.25">
      <c r="A109">
        <v>13.580059</v>
      </c>
      <c r="B109" s="1">
        <f>DATE(2010,5,14) + TIME(13,55,17)</f>
        <v>40312.580057870371</v>
      </c>
      <c r="C109">
        <v>80</v>
      </c>
      <c r="D109">
        <v>79.086517334000007</v>
      </c>
      <c r="E109">
        <v>50</v>
      </c>
      <c r="F109">
        <v>14.999135970999999</v>
      </c>
      <c r="G109">
        <v>1348.7543945</v>
      </c>
      <c r="H109">
        <v>1344.2276611</v>
      </c>
      <c r="I109">
        <v>1314.3819579999999</v>
      </c>
      <c r="J109">
        <v>1305.2196045000001</v>
      </c>
      <c r="K109">
        <v>550</v>
      </c>
      <c r="L109">
        <v>0</v>
      </c>
      <c r="M109">
        <v>0</v>
      </c>
      <c r="N109">
        <v>550</v>
      </c>
    </row>
    <row r="110" spans="1:14" x14ac:dyDescent="0.25">
      <c r="A110">
        <v>13.762995999999999</v>
      </c>
      <c r="B110" s="1">
        <f>DATE(2010,5,14) + TIME(18,18,42)</f>
        <v>40312.762986111113</v>
      </c>
      <c r="C110">
        <v>80</v>
      </c>
      <c r="D110">
        <v>79.123634338000002</v>
      </c>
      <c r="E110">
        <v>50</v>
      </c>
      <c r="F110">
        <v>14.999139786000001</v>
      </c>
      <c r="G110">
        <v>1348.7424315999999</v>
      </c>
      <c r="H110">
        <v>1344.2144774999999</v>
      </c>
      <c r="I110">
        <v>1314.3836670000001</v>
      </c>
      <c r="J110">
        <v>1305.2207031</v>
      </c>
      <c r="K110">
        <v>550</v>
      </c>
      <c r="L110">
        <v>0</v>
      </c>
      <c r="M110">
        <v>0</v>
      </c>
      <c r="N110">
        <v>550</v>
      </c>
    </row>
    <row r="111" spans="1:14" x14ac:dyDescent="0.25">
      <c r="A111">
        <v>13.945933</v>
      </c>
      <c r="B111" s="1">
        <f>DATE(2010,5,14) + TIME(22,42,8)</f>
        <v>40312.945925925924</v>
      </c>
      <c r="C111">
        <v>80</v>
      </c>
      <c r="D111">
        <v>79.158226013000004</v>
      </c>
      <c r="E111">
        <v>50</v>
      </c>
      <c r="F111">
        <v>14.9991436</v>
      </c>
      <c r="G111">
        <v>1348.7304687999999</v>
      </c>
      <c r="H111">
        <v>1344.2011719</v>
      </c>
      <c r="I111">
        <v>1314.385376</v>
      </c>
      <c r="J111">
        <v>1305.2216797000001</v>
      </c>
      <c r="K111">
        <v>550</v>
      </c>
      <c r="L111">
        <v>0</v>
      </c>
      <c r="M111">
        <v>0</v>
      </c>
      <c r="N111">
        <v>550</v>
      </c>
    </row>
    <row r="112" spans="1:14" x14ac:dyDescent="0.25">
      <c r="A112">
        <v>14.311807</v>
      </c>
      <c r="B112" s="1">
        <f>DATE(2010,5,15) + TIME(7,29,0)</f>
        <v>40313.311805555553</v>
      </c>
      <c r="C112">
        <v>80</v>
      </c>
      <c r="D112">
        <v>79.218612671000002</v>
      </c>
      <c r="E112">
        <v>50</v>
      </c>
      <c r="F112">
        <v>14.999150276</v>
      </c>
      <c r="G112">
        <v>1348.7156981999999</v>
      </c>
      <c r="H112">
        <v>1344.1878661999999</v>
      </c>
      <c r="I112">
        <v>1314.3870850000001</v>
      </c>
      <c r="J112">
        <v>1305.2229004000001</v>
      </c>
      <c r="K112">
        <v>550</v>
      </c>
      <c r="L112">
        <v>0</v>
      </c>
      <c r="M112">
        <v>0</v>
      </c>
      <c r="N112">
        <v>550</v>
      </c>
    </row>
    <row r="113" spans="1:14" x14ac:dyDescent="0.25">
      <c r="A113">
        <v>14.677788</v>
      </c>
      <c r="B113" s="1">
        <f>DATE(2010,5,15) + TIME(16,16,0)</f>
        <v>40313.677777777775</v>
      </c>
      <c r="C113">
        <v>80</v>
      </c>
      <c r="D113">
        <v>79.271446228000002</v>
      </c>
      <c r="E113">
        <v>50</v>
      </c>
      <c r="F113">
        <v>14.999156952</v>
      </c>
      <c r="G113">
        <v>1348.6915283000001</v>
      </c>
      <c r="H113">
        <v>1344.1610106999999</v>
      </c>
      <c r="I113">
        <v>1314.3903809000001</v>
      </c>
      <c r="J113">
        <v>1305.2250977000001</v>
      </c>
      <c r="K113">
        <v>550</v>
      </c>
      <c r="L113">
        <v>0</v>
      </c>
      <c r="M113">
        <v>0</v>
      </c>
      <c r="N113">
        <v>550</v>
      </c>
    </row>
    <row r="114" spans="1:14" x14ac:dyDescent="0.25">
      <c r="A114">
        <v>15.044969</v>
      </c>
      <c r="B114" s="1">
        <f>DATE(2010,5,16) + TIME(1,4,45)</f>
        <v>40314.044965277775</v>
      </c>
      <c r="C114">
        <v>80</v>
      </c>
      <c r="D114">
        <v>79.317848205999994</v>
      </c>
      <c r="E114">
        <v>50</v>
      </c>
      <c r="F114">
        <v>14.999163628</v>
      </c>
      <c r="G114">
        <v>1348.6671143000001</v>
      </c>
      <c r="H114">
        <v>1344.1340332</v>
      </c>
      <c r="I114">
        <v>1314.3936768000001</v>
      </c>
      <c r="J114">
        <v>1305.2272949000001</v>
      </c>
      <c r="K114">
        <v>550</v>
      </c>
      <c r="L114">
        <v>0</v>
      </c>
      <c r="M114">
        <v>0</v>
      </c>
      <c r="N114">
        <v>550</v>
      </c>
    </row>
    <row r="115" spans="1:14" x14ac:dyDescent="0.25">
      <c r="A115">
        <v>15.413969</v>
      </c>
      <c r="B115" s="1">
        <f>DATE(2010,5,16) + TIME(9,56,6)</f>
        <v>40314.413958333331</v>
      </c>
      <c r="C115">
        <v>80</v>
      </c>
      <c r="D115">
        <v>79.358680724999999</v>
      </c>
      <c r="E115">
        <v>50</v>
      </c>
      <c r="F115">
        <v>14.999169350000001</v>
      </c>
      <c r="G115">
        <v>1348.6423339999999</v>
      </c>
      <c r="H115">
        <v>1344.1070557</v>
      </c>
      <c r="I115">
        <v>1314.3968506000001</v>
      </c>
      <c r="J115">
        <v>1305.2294922000001</v>
      </c>
      <c r="K115">
        <v>550</v>
      </c>
      <c r="L115">
        <v>0</v>
      </c>
      <c r="M115">
        <v>0</v>
      </c>
      <c r="N115">
        <v>550</v>
      </c>
    </row>
    <row r="116" spans="1:14" x14ac:dyDescent="0.25">
      <c r="A116">
        <v>15.785354999999999</v>
      </c>
      <c r="B116" s="1">
        <f>DATE(2010,5,16) + TIME(18,50,54)</f>
        <v>40314.78534722222</v>
      </c>
      <c r="C116">
        <v>80</v>
      </c>
      <c r="D116">
        <v>79.394676208000007</v>
      </c>
      <c r="E116">
        <v>50</v>
      </c>
      <c r="F116">
        <v>14.999176025000001</v>
      </c>
      <c r="G116">
        <v>1348.6174315999999</v>
      </c>
      <c r="H116">
        <v>1344.0798339999999</v>
      </c>
      <c r="I116">
        <v>1314.4001464999999</v>
      </c>
      <c r="J116">
        <v>1305.2315673999999</v>
      </c>
      <c r="K116">
        <v>550</v>
      </c>
      <c r="L116">
        <v>0</v>
      </c>
      <c r="M116">
        <v>0</v>
      </c>
      <c r="N116">
        <v>550</v>
      </c>
    </row>
    <row r="117" spans="1:14" x14ac:dyDescent="0.25">
      <c r="A117">
        <v>16.159708999999999</v>
      </c>
      <c r="B117" s="1">
        <f>DATE(2010,5,17) + TIME(3,49,58)</f>
        <v>40315.159699074073</v>
      </c>
      <c r="C117">
        <v>80</v>
      </c>
      <c r="D117">
        <v>79.426467896000005</v>
      </c>
      <c r="E117">
        <v>50</v>
      </c>
      <c r="F117">
        <v>14.999182701000001</v>
      </c>
      <c r="G117">
        <v>1348.5922852000001</v>
      </c>
      <c r="H117">
        <v>1344.0527344</v>
      </c>
      <c r="I117">
        <v>1314.4033202999999</v>
      </c>
      <c r="J117">
        <v>1305.2337646000001</v>
      </c>
      <c r="K117">
        <v>550</v>
      </c>
      <c r="L117">
        <v>0</v>
      </c>
      <c r="M117">
        <v>0</v>
      </c>
      <c r="N117">
        <v>550</v>
      </c>
    </row>
    <row r="118" spans="1:14" x14ac:dyDescent="0.25">
      <c r="A118">
        <v>16.537665000000001</v>
      </c>
      <c r="B118" s="1">
        <f>DATE(2010,5,17) + TIME(12,54,14)</f>
        <v>40315.537662037037</v>
      </c>
      <c r="C118">
        <v>80</v>
      </c>
      <c r="D118">
        <v>79.454597473000007</v>
      </c>
      <c r="E118">
        <v>50</v>
      </c>
      <c r="F118">
        <v>14.999188423</v>
      </c>
      <c r="G118">
        <v>1348.5668945</v>
      </c>
      <c r="H118">
        <v>1344.0255127</v>
      </c>
      <c r="I118">
        <v>1314.4064940999999</v>
      </c>
      <c r="J118">
        <v>1305.2359618999999</v>
      </c>
      <c r="K118">
        <v>550</v>
      </c>
      <c r="L118">
        <v>0</v>
      </c>
      <c r="M118">
        <v>0</v>
      </c>
      <c r="N118">
        <v>550</v>
      </c>
    </row>
    <row r="119" spans="1:14" x14ac:dyDescent="0.25">
      <c r="A119">
        <v>16.919816999999998</v>
      </c>
      <c r="B119" s="1">
        <f>DATE(2010,5,17) + TIME(22,4,32)</f>
        <v>40315.919814814813</v>
      </c>
      <c r="C119">
        <v>80</v>
      </c>
      <c r="D119">
        <v>79.479530334000003</v>
      </c>
      <c r="E119">
        <v>50</v>
      </c>
      <c r="F119">
        <v>14.999195099</v>
      </c>
      <c r="G119">
        <v>1348.5412598</v>
      </c>
      <c r="H119">
        <v>1343.9981689000001</v>
      </c>
      <c r="I119">
        <v>1314.409668</v>
      </c>
      <c r="J119">
        <v>1305.2382812000001</v>
      </c>
      <c r="K119">
        <v>550</v>
      </c>
      <c r="L119">
        <v>0</v>
      </c>
      <c r="M119">
        <v>0</v>
      </c>
      <c r="N119">
        <v>550</v>
      </c>
    </row>
    <row r="120" spans="1:14" x14ac:dyDescent="0.25">
      <c r="A120">
        <v>17.306771999999999</v>
      </c>
      <c r="B120" s="1">
        <f>DATE(2010,5,18) + TIME(7,21,45)</f>
        <v>40316.306770833333</v>
      </c>
      <c r="C120">
        <v>80</v>
      </c>
      <c r="D120">
        <v>79.501663207999997</v>
      </c>
      <c r="E120">
        <v>50</v>
      </c>
      <c r="F120">
        <v>14.999200821000001</v>
      </c>
      <c r="G120">
        <v>1348.5155029</v>
      </c>
      <c r="H120">
        <v>1343.9707031</v>
      </c>
      <c r="I120">
        <v>1314.4129639</v>
      </c>
      <c r="J120">
        <v>1305.2404785000001</v>
      </c>
      <c r="K120">
        <v>550</v>
      </c>
      <c r="L120">
        <v>0</v>
      </c>
      <c r="M120">
        <v>0</v>
      </c>
      <c r="N120">
        <v>550</v>
      </c>
    </row>
    <row r="121" spans="1:14" x14ac:dyDescent="0.25">
      <c r="A121">
        <v>17.699152999999999</v>
      </c>
      <c r="B121" s="1">
        <f>DATE(2010,5,18) + TIME(16,46,46)</f>
        <v>40316.699143518519</v>
      </c>
      <c r="C121">
        <v>80</v>
      </c>
      <c r="D121">
        <v>79.521339416999993</v>
      </c>
      <c r="E121">
        <v>50</v>
      </c>
      <c r="F121">
        <v>14.999206543</v>
      </c>
      <c r="G121">
        <v>1348.4895019999999</v>
      </c>
      <c r="H121">
        <v>1343.9432373</v>
      </c>
      <c r="I121">
        <v>1314.4162598</v>
      </c>
      <c r="J121">
        <v>1305.2427978999999</v>
      </c>
      <c r="K121">
        <v>550</v>
      </c>
      <c r="L121">
        <v>0</v>
      </c>
      <c r="M121">
        <v>0</v>
      </c>
      <c r="N121">
        <v>550</v>
      </c>
    </row>
    <row r="122" spans="1:14" x14ac:dyDescent="0.25">
      <c r="A122">
        <v>18.097607</v>
      </c>
      <c r="B122" s="1">
        <f>DATE(2010,5,19) + TIME(2,20,33)</f>
        <v>40317.097604166665</v>
      </c>
      <c r="C122">
        <v>80</v>
      </c>
      <c r="D122">
        <v>79.538864136000001</v>
      </c>
      <c r="E122">
        <v>50</v>
      </c>
      <c r="F122">
        <v>14.999213219</v>
      </c>
      <c r="G122">
        <v>1348.4632568</v>
      </c>
      <c r="H122">
        <v>1343.9156493999999</v>
      </c>
      <c r="I122">
        <v>1314.4194336</v>
      </c>
      <c r="J122">
        <v>1305.2451172000001</v>
      </c>
      <c r="K122">
        <v>550</v>
      </c>
      <c r="L122">
        <v>0</v>
      </c>
      <c r="M122">
        <v>0</v>
      </c>
      <c r="N122">
        <v>550</v>
      </c>
    </row>
    <row r="123" spans="1:14" x14ac:dyDescent="0.25">
      <c r="A123">
        <v>18.502813</v>
      </c>
      <c r="B123" s="1">
        <f>DATE(2010,5,19) + TIME(12,4,3)</f>
        <v>40317.502812500003</v>
      </c>
      <c r="C123">
        <v>80</v>
      </c>
      <c r="D123">
        <v>79.554496764999996</v>
      </c>
      <c r="E123">
        <v>50</v>
      </c>
      <c r="F123">
        <v>14.999218941000001</v>
      </c>
      <c r="G123">
        <v>1348.4367675999999</v>
      </c>
      <c r="H123">
        <v>1343.8879394999999</v>
      </c>
      <c r="I123">
        <v>1314.4228516000001</v>
      </c>
      <c r="J123">
        <v>1305.2474365</v>
      </c>
      <c r="K123">
        <v>550</v>
      </c>
      <c r="L123">
        <v>0</v>
      </c>
      <c r="M123">
        <v>0</v>
      </c>
      <c r="N123">
        <v>550</v>
      </c>
    </row>
    <row r="124" spans="1:14" x14ac:dyDescent="0.25">
      <c r="A124">
        <v>18.915486999999999</v>
      </c>
      <c r="B124" s="1">
        <f>DATE(2010,5,19) + TIME(21,58,18)</f>
        <v>40317.915486111109</v>
      </c>
      <c r="C124">
        <v>80</v>
      </c>
      <c r="D124">
        <v>79.568466186999999</v>
      </c>
      <c r="E124">
        <v>50</v>
      </c>
      <c r="F124">
        <v>14.999224663</v>
      </c>
      <c r="G124">
        <v>1348.4100341999999</v>
      </c>
      <c r="H124">
        <v>1343.8601074000001</v>
      </c>
      <c r="I124">
        <v>1314.4261475000001</v>
      </c>
      <c r="J124">
        <v>1305.2497559000001</v>
      </c>
      <c r="K124">
        <v>550</v>
      </c>
      <c r="L124">
        <v>0</v>
      </c>
      <c r="M124">
        <v>0</v>
      </c>
      <c r="N124">
        <v>550</v>
      </c>
    </row>
    <row r="125" spans="1:14" x14ac:dyDescent="0.25">
      <c r="A125">
        <v>19.336393999999999</v>
      </c>
      <c r="B125" s="1">
        <f>DATE(2010,5,20) + TIME(8,4,24)</f>
        <v>40318.336388888885</v>
      </c>
      <c r="C125">
        <v>80</v>
      </c>
      <c r="D125">
        <v>79.580970764</v>
      </c>
      <c r="E125">
        <v>50</v>
      </c>
      <c r="F125">
        <v>14.999231339</v>
      </c>
      <c r="G125">
        <v>1348.3830565999999</v>
      </c>
      <c r="H125">
        <v>1343.8320312000001</v>
      </c>
      <c r="I125">
        <v>1314.4295654</v>
      </c>
      <c r="J125">
        <v>1305.2521973</v>
      </c>
      <c r="K125">
        <v>550</v>
      </c>
      <c r="L125">
        <v>0</v>
      </c>
      <c r="M125">
        <v>0</v>
      </c>
      <c r="N125">
        <v>550</v>
      </c>
    </row>
    <row r="126" spans="1:14" x14ac:dyDescent="0.25">
      <c r="A126">
        <v>19.766413</v>
      </c>
      <c r="B126" s="1">
        <f>DATE(2010,5,20) + TIME(18,23,38)</f>
        <v>40318.766412037039</v>
      </c>
      <c r="C126">
        <v>80</v>
      </c>
      <c r="D126">
        <v>79.592178344999994</v>
      </c>
      <c r="E126">
        <v>50</v>
      </c>
      <c r="F126">
        <v>14.999237061000001</v>
      </c>
      <c r="G126">
        <v>1348.3558350000001</v>
      </c>
      <c r="H126">
        <v>1343.8039550999999</v>
      </c>
      <c r="I126">
        <v>1314.4329834</v>
      </c>
      <c r="J126">
        <v>1305.2547606999999</v>
      </c>
      <c r="K126">
        <v>550</v>
      </c>
      <c r="L126">
        <v>0</v>
      </c>
      <c r="M126">
        <v>0</v>
      </c>
      <c r="N126">
        <v>550</v>
      </c>
    </row>
    <row r="127" spans="1:14" x14ac:dyDescent="0.25">
      <c r="A127">
        <v>20.206513999999999</v>
      </c>
      <c r="B127" s="1">
        <f>DATE(2010,5,21) + TIME(4,57,22)</f>
        <v>40319.206504629627</v>
      </c>
      <c r="C127">
        <v>80</v>
      </c>
      <c r="D127">
        <v>79.602249146000005</v>
      </c>
      <c r="E127">
        <v>50</v>
      </c>
      <c r="F127">
        <v>14.999242783</v>
      </c>
      <c r="G127">
        <v>1348.3282471</v>
      </c>
      <c r="H127">
        <v>1343.7755127</v>
      </c>
      <c r="I127">
        <v>1314.4365233999999</v>
      </c>
      <c r="J127">
        <v>1305.2573242000001</v>
      </c>
      <c r="K127">
        <v>550</v>
      </c>
      <c r="L127">
        <v>0</v>
      </c>
      <c r="M127">
        <v>0</v>
      </c>
      <c r="N127">
        <v>550</v>
      </c>
    </row>
    <row r="128" spans="1:14" x14ac:dyDescent="0.25">
      <c r="A128">
        <v>20.654343000000001</v>
      </c>
      <c r="B128" s="1">
        <f>DATE(2010,5,21) + TIME(15,42,15)</f>
        <v>40319.654340277775</v>
      </c>
      <c r="C128">
        <v>80</v>
      </c>
      <c r="D128">
        <v>79.611259459999999</v>
      </c>
      <c r="E128">
        <v>50</v>
      </c>
      <c r="F128">
        <v>14.999249458</v>
      </c>
      <c r="G128">
        <v>1348.300293</v>
      </c>
      <c r="H128">
        <v>1343.7469481999999</v>
      </c>
      <c r="I128">
        <v>1314.4400635</v>
      </c>
      <c r="J128">
        <v>1305.2598877</v>
      </c>
      <c r="K128">
        <v>550</v>
      </c>
      <c r="L128">
        <v>0</v>
      </c>
      <c r="M128">
        <v>0</v>
      </c>
      <c r="N128">
        <v>550</v>
      </c>
    </row>
    <row r="129" spans="1:14" x14ac:dyDescent="0.25">
      <c r="A129">
        <v>21.110742999999999</v>
      </c>
      <c r="B129" s="1">
        <f>DATE(2010,5,22) + TIME(2,39,28)</f>
        <v>40320.11074074074</v>
      </c>
      <c r="C129">
        <v>80</v>
      </c>
      <c r="D129">
        <v>79.619338988999999</v>
      </c>
      <c r="E129">
        <v>50</v>
      </c>
      <c r="F129">
        <v>14.99925518</v>
      </c>
      <c r="G129">
        <v>1348.2722168</v>
      </c>
      <c r="H129">
        <v>1343.7182617000001</v>
      </c>
      <c r="I129">
        <v>1314.4437256000001</v>
      </c>
      <c r="J129">
        <v>1305.2625731999999</v>
      </c>
      <c r="K129">
        <v>550</v>
      </c>
      <c r="L129">
        <v>0</v>
      </c>
      <c r="M129">
        <v>0</v>
      </c>
      <c r="N129">
        <v>550</v>
      </c>
    </row>
    <row r="130" spans="1:14" x14ac:dyDescent="0.25">
      <c r="A130">
        <v>21.576588999999998</v>
      </c>
      <c r="B130" s="1">
        <f>DATE(2010,5,22) + TIME(13,50,17)</f>
        <v>40320.576585648145</v>
      </c>
      <c r="C130">
        <v>80</v>
      </c>
      <c r="D130">
        <v>79.626609802000004</v>
      </c>
      <c r="E130">
        <v>50</v>
      </c>
      <c r="F130">
        <v>14.999260902</v>
      </c>
      <c r="G130">
        <v>1348.2438964999999</v>
      </c>
      <c r="H130">
        <v>1343.6894531</v>
      </c>
      <c r="I130">
        <v>1314.4475098</v>
      </c>
      <c r="J130">
        <v>1305.2652588000001</v>
      </c>
      <c r="K130">
        <v>550</v>
      </c>
      <c r="L130">
        <v>0</v>
      </c>
      <c r="M130">
        <v>0</v>
      </c>
      <c r="N130">
        <v>550</v>
      </c>
    </row>
    <row r="131" spans="1:14" x14ac:dyDescent="0.25">
      <c r="A131">
        <v>22.052636</v>
      </c>
      <c r="B131" s="1">
        <f>DATE(2010,5,23) + TIME(1,15,47)</f>
        <v>40321.052627314813</v>
      </c>
      <c r="C131">
        <v>80</v>
      </c>
      <c r="D131">
        <v>79.633163452000005</v>
      </c>
      <c r="E131">
        <v>50</v>
      </c>
      <c r="F131">
        <v>14.999267578</v>
      </c>
      <c r="G131">
        <v>1348.2154541</v>
      </c>
      <c r="H131">
        <v>1343.6605225000001</v>
      </c>
      <c r="I131">
        <v>1314.4512939000001</v>
      </c>
      <c r="J131">
        <v>1305.2679443</v>
      </c>
      <c r="K131">
        <v>550</v>
      </c>
      <c r="L131">
        <v>0</v>
      </c>
      <c r="M131">
        <v>0</v>
      </c>
      <c r="N131">
        <v>550</v>
      </c>
    </row>
    <row r="132" spans="1:14" x14ac:dyDescent="0.25">
      <c r="A132">
        <v>22.539791000000001</v>
      </c>
      <c r="B132" s="1">
        <f>DATE(2010,5,23) + TIME(12,57,17)</f>
        <v>40321.539780092593</v>
      </c>
      <c r="C132">
        <v>80</v>
      </c>
      <c r="D132">
        <v>79.639091492000006</v>
      </c>
      <c r="E132">
        <v>50</v>
      </c>
      <c r="F132">
        <v>14.9992733</v>
      </c>
      <c r="G132">
        <v>1348.1866454999999</v>
      </c>
      <c r="H132">
        <v>1343.6314697</v>
      </c>
      <c r="I132">
        <v>1314.4550781</v>
      </c>
      <c r="J132">
        <v>1305.2707519999999</v>
      </c>
      <c r="K132">
        <v>550</v>
      </c>
      <c r="L132">
        <v>0</v>
      </c>
      <c r="M132">
        <v>0</v>
      </c>
      <c r="N132">
        <v>550</v>
      </c>
    </row>
    <row r="133" spans="1:14" x14ac:dyDescent="0.25">
      <c r="A133">
        <v>23.039014999999999</v>
      </c>
      <c r="B133" s="1">
        <f>DATE(2010,5,24) + TIME(0,56,10)</f>
        <v>40322.039004629631</v>
      </c>
      <c r="C133">
        <v>80</v>
      </c>
      <c r="D133">
        <v>79.644462584999999</v>
      </c>
      <c r="E133">
        <v>50</v>
      </c>
      <c r="F133">
        <v>14.999279022</v>
      </c>
      <c r="G133">
        <v>1348.1577147999999</v>
      </c>
      <c r="H133">
        <v>1343.6022949000001</v>
      </c>
      <c r="I133">
        <v>1314.4589844</v>
      </c>
      <c r="J133">
        <v>1305.2736815999999</v>
      </c>
      <c r="K133">
        <v>550</v>
      </c>
      <c r="L133">
        <v>0</v>
      </c>
      <c r="M133">
        <v>0</v>
      </c>
      <c r="N133">
        <v>550</v>
      </c>
    </row>
    <row r="134" spans="1:14" x14ac:dyDescent="0.25">
      <c r="A134">
        <v>23.551431999999998</v>
      </c>
      <c r="B134" s="1">
        <f>DATE(2010,5,24) + TIME(13,14,3)</f>
        <v>40322.551423611112</v>
      </c>
      <c r="C134">
        <v>80</v>
      </c>
      <c r="D134">
        <v>79.649353027000004</v>
      </c>
      <c r="E134">
        <v>50</v>
      </c>
      <c r="F134">
        <v>14.999285698</v>
      </c>
      <c r="G134">
        <v>1348.128418</v>
      </c>
      <c r="H134">
        <v>1343.572876</v>
      </c>
      <c r="I134">
        <v>1314.4631348</v>
      </c>
      <c r="J134">
        <v>1305.2767334</v>
      </c>
      <c r="K134">
        <v>550</v>
      </c>
      <c r="L134">
        <v>0</v>
      </c>
      <c r="M134">
        <v>0</v>
      </c>
      <c r="N134">
        <v>550</v>
      </c>
    </row>
    <row r="135" spans="1:14" x14ac:dyDescent="0.25">
      <c r="A135">
        <v>24.078278000000001</v>
      </c>
      <c r="B135" s="1">
        <f>DATE(2010,5,25) + TIME(1,52,43)</f>
        <v>40323.078275462962</v>
      </c>
      <c r="C135">
        <v>80</v>
      </c>
      <c r="D135">
        <v>79.653808593999997</v>
      </c>
      <c r="E135">
        <v>50</v>
      </c>
      <c r="F135">
        <v>14.999292373999999</v>
      </c>
      <c r="G135">
        <v>1348.0987548999999</v>
      </c>
      <c r="H135">
        <v>1343.5433350000001</v>
      </c>
      <c r="I135">
        <v>1314.4671631000001</v>
      </c>
      <c r="J135">
        <v>1305.2797852000001</v>
      </c>
      <c r="K135">
        <v>550</v>
      </c>
      <c r="L135">
        <v>0</v>
      </c>
      <c r="M135">
        <v>0</v>
      </c>
      <c r="N135">
        <v>550</v>
      </c>
    </row>
    <row r="136" spans="1:14" x14ac:dyDescent="0.25">
      <c r="A136">
        <v>24.620923999999999</v>
      </c>
      <c r="B136" s="1">
        <f>DATE(2010,5,25) + TIME(14,54,7)</f>
        <v>40323.62091435185</v>
      </c>
      <c r="C136">
        <v>80</v>
      </c>
      <c r="D136">
        <v>79.657890320000007</v>
      </c>
      <c r="E136">
        <v>50</v>
      </c>
      <c r="F136">
        <v>14.999298096</v>
      </c>
      <c r="G136">
        <v>1348.0687256000001</v>
      </c>
      <c r="H136">
        <v>1343.5134277</v>
      </c>
      <c r="I136">
        <v>1314.4714355000001</v>
      </c>
      <c r="J136">
        <v>1305.2828368999999</v>
      </c>
      <c r="K136">
        <v>550</v>
      </c>
      <c r="L136">
        <v>0</v>
      </c>
      <c r="M136">
        <v>0</v>
      </c>
      <c r="N136">
        <v>550</v>
      </c>
    </row>
    <row r="137" spans="1:14" x14ac:dyDescent="0.25">
      <c r="A137">
        <v>25.173985999999999</v>
      </c>
      <c r="B137" s="1">
        <f>DATE(2010,5,26) + TIME(4,10,32)</f>
        <v>40324.173981481479</v>
      </c>
      <c r="C137">
        <v>80</v>
      </c>
      <c r="D137">
        <v>79.661598205999994</v>
      </c>
      <c r="E137">
        <v>50</v>
      </c>
      <c r="F137">
        <v>14.999304771</v>
      </c>
      <c r="G137">
        <v>1348.0383300999999</v>
      </c>
      <c r="H137">
        <v>1343.4831543</v>
      </c>
      <c r="I137">
        <v>1314.4758300999999</v>
      </c>
      <c r="J137">
        <v>1305.2861327999999</v>
      </c>
      <c r="K137">
        <v>550</v>
      </c>
      <c r="L137">
        <v>0</v>
      </c>
      <c r="M137">
        <v>0</v>
      </c>
      <c r="N137">
        <v>550</v>
      </c>
    </row>
    <row r="138" spans="1:14" x14ac:dyDescent="0.25">
      <c r="A138">
        <v>25.727499000000002</v>
      </c>
      <c r="B138" s="1">
        <f>DATE(2010,5,26) + TIME(17,27,35)</f>
        <v>40324.727488425924</v>
      </c>
      <c r="C138">
        <v>80</v>
      </c>
      <c r="D138">
        <v>79.664909363000007</v>
      </c>
      <c r="E138">
        <v>50</v>
      </c>
      <c r="F138">
        <v>14.999310492999999</v>
      </c>
      <c r="G138">
        <v>1348.0078125</v>
      </c>
      <c r="H138">
        <v>1343.4530029</v>
      </c>
      <c r="I138">
        <v>1314.4803466999999</v>
      </c>
      <c r="J138">
        <v>1305.2894286999999</v>
      </c>
      <c r="K138">
        <v>550</v>
      </c>
      <c r="L138">
        <v>0</v>
      </c>
      <c r="M138">
        <v>0</v>
      </c>
      <c r="N138">
        <v>550</v>
      </c>
    </row>
    <row r="139" spans="1:14" x14ac:dyDescent="0.25">
      <c r="A139">
        <v>26.282454999999999</v>
      </c>
      <c r="B139" s="1">
        <f>DATE(2010,5,27) + TIME(6,46,44)</f>
        <v>40325.282453703701</v>
      </c>
      <c r="C139">
        <v>80</v>
      </c>
      <c r="D139">
        <v>79.667900084999999</v>
      </c>
      <c r="E139">
        <v>50</v>
      </c>
      <c r="F139">
        <v>14.999317168999999</v>
      </c>
      <c r="G139">
        <v>1347.9777832</v>
      </c>
      <c r="H139">
        <v>1343.4233397999999</v>
      </c>
      <c r="I139">
        <v>1314.4847411999999</v>
      </c>
      <c r="J139">
        <v>1305.2927245999999</v>
      </c>
      <c r="K139">
        <v>550</v>
      </c>
      <c r="L139">
        <v>0</v>
      </c>
      <c r="M139">
        <v>0</v>
      </c>
      <c r="N139">
        <v>550</v>
      </c>
    </row>
    <row r="140" spans="1:14" x14ac:dyDescent="0.25">
      <c r="A140">
        <v>26.839807</v>
      </c>
      <c r="B140" s="1">
        <f>DATE(2010,5,27) + TIME(20,9,19)</f>
        <v>40325.839803240742</v>
      </c>
      <c r="C140">
        <v>80</v>
      </c>
      <c r="D140">
        <v>79.670600891000007</v>
      </c>
      <c r="E140">
        <v>50</v>
      </c>
      <c r="F140">
        <v>14.999322891</v>
      </c>
      <c r="G140">
        <v>1347.9482422000001</v>
      </c>
      <c r="H140">
        <v>1343.3941649999999</v>
      </c>
      <c r="I140">
        <v>1314.4892577999999</v>
      </c>
      <c r="J140">
        <v>1305.2960204999999</v>
      </c>
      <c r="K140">
        <v>550</v>
      </c>
      <c r="L140">
        <v>0</v>
      </c>
      <c r="M140">
        <v>0</v>
      </c>
      <c r="N140">
        <v>550</v>
      </c>
    </row>
    <row r="141" spans="1:14" x14ac:dyDescent="0.25">
      <c r="A141">
        <v>27.400435000000002</v>
      </c>
      <c r="B141" s="1">
        <f>DATE(2010,5,28) + TIME(9,36,37)</f>
        <v>40326.40042824074</v>
      </c>
      <c r="C141">
        <v>80</v>
      </c>
      <c r="D141">
        <v>79.673057556000003</v>
      </c>
      <c r="E141">
        <v>50</v>
      </c>
      <c r="F141">
        <v>14.999329567</v>
      </c>
      <c r="G141">
        <v>1347.9189452999999</v>
      </c>
      <c r="H141">
        <v>1343.3654785000001</v>
      </c>
      <c r="I141">
        <v>1314.4937743999999</v>
      </c>
      <c r="J141">
        <v>1305.2994385</v>
      </c>
      <c r="K141">
        <v>550</v>
      </c>
      <c r="L141">
        <v>0</v>
      </c>
      <c r="M141">
        <v>0</v>
      </c>
      <c r="N141">
        <v>550</v>
      </c>
    </row>
    <row r="142" spans="1:14" x14ac:dyDescent="0.25">
      <c r="A142">
        <v>27.96538</v>
      </c>
      <c r="B142" s="1">
        <f>DATE(2010,5,28) + TIME(23,10,8)</f>
        <v>40326.965370370373</v>
      </c>
      <c r="C142">
        <v>80</v>
      </c>
      <c r="D142">
        <v>79.675300598000007</v>
      </c>
      <c r="E142">
        <v>50</v>
      </c>
      <c r="F142">
        <v>14.999335288999999</v>
      </c>
      <c r="G142">
        <v>1347.8900146000001</v>
      </c>
      <c r="H142">
        <v>1343.3371582</v>
      </c>
      <c r="I142">
        <v>1314.4982910000001</v>
      </c>
      <c r="J142">
        <v>1305.3028564000001</v>
      </c>
      <c r="K142">
        <v>550</v>
      </c>
      <c r="L142">
        <v>0</v>
      </c>
      <c r="M142">
        <v>0</v>
      </c>
      <c r="N142">
        <v>550</v>
      </c>
    </row>
    <row r="143" spans="1:14" x14ac:dyDescent="0.25">
      <c r="A143">
        <v>28.535588000000001</v>
      </c>
      <c r="B143" s="1">
        <f>DATE(2010,5,29) + TIME(12,51,14)</f>
        <v>40327.535578703704</v>
      </c>
      <c r="C143">
        <v>80</v>
      </c>
      <c r="D143">
        <v>79.677368164000001</v>
      </c>
      <c r="E143">
        <v>50</v>
      </c>
      <c r="F143">
        <v>14.999341964999999</v>
      </c>
      <c r="G143">
        <v>1347.8613281</v>
      </c>
      <c r="H143">
        <v>1343.3092041</v>
      </c>
      <c r="I143">
        <v>1314.5028076000001</v>
      </c>
      <c r="J143">
        <v>1305.3062743999999</v>
      </c>
      <c r="K143">
        <v>550</v>
      </c>
      <c r="L143">
        <v>0</v>
      </c>
      <c r="M143">
        <v>0</v>
      </c>
      <c r="N143">
        <v>550</v>
      </c>
    </row>
    <row r="144" spans="1:14" x14ac:dyDescent="0.25">
      <c r="A144">
        <v>29.112023000000001</v>
      </c>
      <c r="B144" s="1">
        <f>DATE(2010,5,30) + TIME(2,41,18)</f>
        <v>40328.112013888887</v>
      </c>
      <c r="C144">
        <v>80</v>
      </c>
      <c r="D144">
        <v>79.679267882999994</v>
      </c>
      <c r="E144">
        <v>50</v>
      </c>
      <c r="F144">
        <v>14.999347687</v>
      </c>
      <c r="G144">
        <v>1347.8327637</v>
      </c>
      <c r="H144">
        <v>1343.2814940999999</v>
      </c>
      <c r="I144">
        <v>1314.5074463000001</v>
      </c>
      <c r="J144">
        <v>1305.3096923999999</v>
      </c>
      <c r="K144">
        <v>550</v>
      </c>
      <c r="L144">
        <v>0</v>
      </c>
      <c r="M144">
        <v>0</v>
      </c>
      <c r="N144">
        <v>550</v>
      </c>
    </row>
    <row r="145" spans="1:14" x14ac:dyDescent="0.25">
      <c r="A145">
        <v>29.695665000000002</v>
      </c>
      <c r="B145" s="1">
        <f>DATE(2010,5,30) + TIME(16,41,45)</f>
        <v>40328.695659722223</v>
      </c>
      <c r="C145">
        <v>80</v>
      </c>
      <c r="D145">
        <v>79.681022643999995</v>
      </c>
      <c r="E145">
        <v>50</v>
      </c>
      <c r="F145">
        <v>14.999353408999999</v>
      </c>
      <c r="G145">
        <v>1347.8044434000001</v>
      </c>
      <c r="H145">
        <v>1343.2540283000001</v>
      </c>
      <c r="I145">
        <v>1314.512207</v>
      </c>
      <c r="J145">
        <v>1305.3132324000001</v>
      </c>
      <c r="K145">
        <v>550</v>
      </c>
      <c r="L145">
        <v>0</v>
      </c>
      <c r="M145">
        <v>0</v>
      </c>
      <c r="N145">
        <v>550</v>
      </c>
    </row>
    <row r="146" spans="1:14" x14ac:dyDescent="0.25">
      <c r="A146">
        <v>30.287542999999999</v>
      </c>
      <c r="B146" s="1">
        <f>DATE(2010,5,31) + TIME(6,54,3)</f>
        <v>40329.287534722222</v>
      </c>
      <c r="C146">
        <v>80</v>
      </c>
      <c r="D146">
        <v>79.682655334000003</v>
      </c>
      <c r="E146">
        <v>50</v>
      </c>
      <c r="F146">
        <v>14.999360084999999</v>
      </c>
      <c r="G146">
        <v>1347.7761230000001</v>
      </c>
      <c r="H146">
        <v>1343.2266846</v>
      </c>
      <c r="I146">
        <v>1314.5169678</v>
      </c>
      <c r="J146">
        <v>1305.3167725000001</v>
      </c>
      <c r="K146">
        <v>550</v>
      </c>
      <c r="L146">
        <v>0</v>
      </c>
      <c r="M146">
        <v>0</v>
      </c>
      <c r="N146">
        <v>550</v>
      </c>
    </row>
    <row r="147" spans="1:14" x14ac:dyDescent="0.25">
      <c r="A147">
        <v>30.888715999999999</v>
      </c>
      <c r="B147" s="1">
        <f>DATE(2010,5,31) + TIME(21,19,45)</f>
        <v>40329.888715277775</v>
      </c>
      <c r="C147">
        <v>80</v>
      </c>
      <c r="D147">
        <v>79.684173584000007</v>
      </c>
      <c r="E147">
        <v>50</v>
      </c>
      <c r="F147">
        <v>14.999365807</v>
      </c>
      <c r="G147">
        <v>1347.7480469</v>
      </c>
      <c r="H147">
        <v>1343.1994629000001</v>
      </c>
      <c r="I147">
        <v>1314.5217285000001</v>
      </c>
      <c r="J147">
        <v>1305.3203125</v>
      </c>
      <c r="K147">
        <v>550</v>
      </c>
      <c r="L147">
        <v>0</v>
      </c>
      <c r="M147">
        <v>0</v>
      </c>
      <c r="N147">
        <v>550</v>
      </c>
    </row>
    <row r="148" spans="1:14" x14ac:dyDescent="0.25">
      <c r="A148">
        <v>31</v>
      </c>
      <c r="B148" s="1">
        <f>DATE(2010,6,1) + TIME(0,0,0)</f>
        <v>40330</v>
      </c>
      <c r="C148">
        <v>80</v>
      </c>
      <c r="D148">
        <v>79.684440613000007</v>
      </c>
      <c r="E148">
        <v>50</v>
      </c>
      <c r="F148">
        <v>14.999367714</v>
      </c>
      <c r="G148">
        <v>1347.7199707</v>
      </c>
      <c r="H148">
        <v>1343.1723632999999</v>
      </c>
      <c r="I148">
        <v>1314.5263672000001</v>
      </c>
      <c r="J148">
        <v>1305.3237305</v>
      </c>
      <c r="K148">
        <v>550</v>
      </c>
      <c r="L148">
        <v>0</v>
      </c>
      <c r="M148">
        <v>0</v>
      </c>
      <c r="N148">
        <v>550</v>
      </c>
    </row>
    <row r="149" spans="1:14" x14ac:dyDescent="0.25">
      <c r="A149">
        <v>31.611594</v>
      </c>
      <c r="B149" s="1">
        <f>DATE(2010,6,1) + TIME(14,40,41)</f>
        <v>40330.611585648148</v>
      </c>
      <c r="C149">
        <v>80</v>
      </c>
      <c r="D149">
        <v>79.685844420999999</v>
      </c>
      <c r="E149">
        <v>50</v>
      </c>
      <c r="F149">
        <v>14.999373436000001</v>
      </c>
      <c r="G149">
        <v>1347.7145995999999</v>
      </c>
      <c r="H149">
        <v>1343.1673584</v>
      </c>
      <c r="I149">
        <v>1314.5275879000001</v>
      </c>
      <c r="J149">
        <v>1305.324707</v>
      </c>
      <c r="K149">
        <v>550</v>
      </c>
      <c r="L149">
        <v>0</v>
      </c>
      <c r="M149">
        <v>0</v>
      </c>
      <c r="N149">
        <v>550</v>
      </c>
    </row>
    <row r="150" spans="1:14" x14ac:dyDescent="0.25">
      <c r="A150">
        <v>32.232447000000001</v>
      </c>
      <c r="B150" s="1">
        <f>DATE(2010,6,2) + TIME(5,34,43)</f>
        <v>40331.232442129629</v>
      </c>
      <c r="C150">
        <v>80</v>
      </c>
      <c r="D150">
        <v>79.687149047999995</v>
      </c>
      <c r="E150">
        <v>50</v>
      </c>
      <c r="F150">
        <v>14.999380112000001</v>
      </c>
      <c r="G150">
        <v>1347.6865233999999</v>
      </c>
      <c r="H150">
        <v>1343.1405029</v>
      </c>
      <c r="I150">
        <v>1314.5327147999999</v>
      </c>
      <c r="J150">
        <v>1305.3284911999999</v>
      </c>
      <c r="K150">
        <v>550</v>
      </c>
      <c r="L150">
        <v>0</v>
      </c>
      <c r="M150">
        <v>0</v>
      </c>
      <c r="N150">
        <v>550</v>
      </c>
    </row>
    <row r="151" spans="1:14" x14ac:dyDescent="0.25">
      <c r="A151">
        <v>32.860571999999998</v>
      </c>
      <c r="B151" s="1">
        <f>DATE(2010,6,2) + TIME(20,39,13)</f>
        <v>40331.860567129632</v>
      </c>
      <c r="C151">
        <v>80</v>
      </c>
      <c r="D151">
        <v>79.688362122000001</v>
      </c>
      <c r="E151">
        <v>50</v>
      </c>
      <c r="F151">
        <v>14.999385834</v>
      </c>
      <c r="G151">
        <v>1347.6584473</v>
      </c>
      <c r="H151">
        <v>1343.1136475000001</v>
      </c>
      <c r="I151">
        <v>1314.5377197</v>
      </c>
      <c r="J151">
        <v>1305.3322754000001</v>
      </c>
      <c r="K151">
        <v>550</v>
      </c>
      <c r="L151">
        <v>0</v>
      </c>
      <c r="M151">
        <v>0</v>
      </c>
      <c r="N151">
        <v>550</v>
      </c>
    </row>
    <row r="152" spans="1:14" x14ac:dyDescent="0.25">
      <c r="A152">
        <v>33.496972999999997</v>
      </c>
      <c r="B152" s="1">
        <f>DATE(2010,6,3) + TIME(11,55,38)</f>
        <v>40332.496967592589</v>
      </c>
      <c r="C152">
        <v>80</v>
      </c>
      <c r="D152">
        <v>79.689498900999993</v>
      </c>
      <c r="E152">
        <v>50</v>
      </c>
      <c r="F152">
        <v>14.999392509</v>
      </c>
      <c r="G152">
        <v>1347.6306152</v>
      </c>
      <c r="H152">
        <v>1343.0870361</v>
      </c>
      <c r="I152">
        <v>1314.5429687999999</v>
      </c>
      <c r="J152">
        <v>1305.3361815999999</v>
      </c>
      <c r="K152">
        <v>550</v>
      </c>
      <c r="L152">
        <v>0</v>
      </c>
      <c r="M152">
        <v>0</v>
      </c>
      <c r="N152">
        <v>550</v>
      </c>
    </row>
    <row r="153" spans="1:14" x14ac:dyDescent="0.25">
      <c r="A153">
        <v>34.142660999999997</v>
      </c>
      <c r="B153" s="1">
        <f>DATE(2010,6,4) + TIME(3,25,25)</f>
        <v>40333.142650462964</v>
      </c>
      <c r="C153">
        <v>80</v>
      </c>
      <c r="D153">
        <v>79.690567017000006</v>
      </c>
      <c r="E153">
        <v>50</v>
      </c>
      <c r="F153">
        <v>14.999399185</v>
      </c>
      <c r="G153">
        <v>1347.6026611</v>
      </c>
      <c r="H153">
        <v>1343.0605469</v>
      </c>
      <c r="I153">
        <v>1314.5482178</v>
      </c>
      <c r="J153">
        <v>1305.3400879000001</v>
      </c>
      <c r="K153">
        <v>550</v>
      </c>
      <c r="L153">
        <v>0</v>
      </c>
      <c r="M153">
        <v>0</v>
      </c>
      <c r="N153">
        <v>550</v>
      </c>
    </row>
    <row r="154" spans="1:14" x14ac:dyDescent="0.25">
      <c r="A154">
        <v>34.798698999999999</v>
      </c>
      <c r="B154" s="1">
        <f>DATE(2010,6,4) + TIME(19,10,7)</f>
        <v>40333.798692129632</v>
      </c>
      <c r="C154">
        <v>80</v>
      </c>
      <c r="D154">
        <v>79.691574097</v>
      </c>
      <c r="E154">
        <v>50</v>
      </c>
      <c r="F154">
        <v>14.999405861</v>
      </c>
      <c r="G154">
        <v>1347.5749512</v>
      </c>
      <c r="H154">
        <v>1343.0341797000001</v>
      </c>
      <c r="I154">
        <v>1314.5535889</v>
      </c>
      <c r="J154">
        <v>1305.3441161999999</v>
      </c>
      <c r="K154">
        <v>550</v>
      </c>
      <c r="L154">
        <v>0</v>
      </c>
      <c r="M154">
        <v>0</v>
      </c>
      <c r="N154">
        <v>550</v>
      </c>
    </row>
    <row r="155" spans="1:14" x14ac:dyDescent="0.25">
      <c r="A155">
        <v>35.466439000000001</v>
      </c>
      <c r="B155" s="1">
        <f>DATE(2010,6,5) + TIME(11,11,40)</f>
        <v>40334.466435185182</v>
      </c>
      <c r="C155">
        <v>80</v>
      </c>
      <c r="D155">
        <v>79.692520142000006</v>
      </c>
      <c r="E155">
        <v>50</v>
      </c>
      <c r="F155">
        <v>14.999412537</v>
      </c>
      <c r="G155">
        <v>1347.5471190999999</v>
      </c>
      <c r="H155">
        <v>1343.0079346</v>
      </c>
      <c r="I155">
        <v>1314.559082</v>
      </c>
      <c r="J155">
        <v>1305.3482666</v>
      </c>
      <c r="K155">
        <v>550</v>
      </c>
      <c r="L155">
        <v>0</v>
      </c>
      <c r="M155">
        <v>0</v>
      </c>
      <c r="N155">
        <v>550</v>
      </c>
    </row>
    <row r="156" spans="1:14" x14ac:dyDescent="0.25">
      <c r="A156">
        <v>36.146939000000003</v>
      </c>
      <c r="B156" s="1">
        <f>DATE(2010,6,6) + TIME(3,31,35)</f>
        <v>40335.146932870368</v>
      </c>
      <c r="C156">
        <v>80</v>
      </c>
      <c r="D156">
        <v>79.693420410000002</v>
      </c>
      <c r="E156">
        <v>50</v>
      </c>
      <c r="F156">
        <v>14.999420166</v>
      </c>
      <c r="G156">
        <v>1347.5194091999999</v>
      </c>
      <c r="H156">
        <v>1342.9816894999999</v>
      </c>
      <c r="I156">
        <v>1314.5646973</v>
      </c>
      <c r="J156">
        <v>1305.3524170000001</v>
      </c>
      <c r="K156">
        <v>550</v>
      </c>
      <c r="L156">
        <v>0</v>
      </c>
      <c r="M156">
        <v>0</v>
      </c>
      <c r="N156">
        <v>550</v>
      </c>
    </row>
    <row r="157" spans="1:14" x14ac:dyDescent="0.25">
      <c r="A157">
        <v>36.841200999999998</v>
      </c>
      <c r="B157" s="1">
        <f>DATE(2010,6,6) + TIME(20,11,19)</f>
        <v>40335.841192129628</v>
      </c>
      <c r="C157">
        <v>80</v>
      </c>
      <c r="D157">
        <v>79.694267272999994</v>
      </c>
      <c r="E157">
        <v>50</v>
      </c>
      <c r="F157">
        <v>14.999426842</v>
      </c>
      <c r="G157">
        <v>1347.4914550999999</v>
      </c>
      <c r="H157">
        <v>1342.9554443</v>
      </c>
      <c r="I157">
        <v>1314.5704346</v>
      </c>
      <c r="J157">
        <v>1305.3566894999999</v>
      </c>
      <c r="K157">
        <v>550</v>
      </c>
      <c r="L157">
        <v>0</v>
      </c>
      <c r="M157">
        <v>0</v>
      </c>
      <c r="N157">
        <v>550</v>
      </c>
    </row>
    <row r="158" spans="1:14" x14ac:dyDescent="0.25">
      <c r="A158">
        <v>37.550590999999997</v>
      </c>
      <c r="B158" s="1">
        <f>DATE(2010,6,7) + TIME(13,12,51)</f>
        <v>40336.55059027778</v>
      </c>
      <c r="C158">
        <v>80</v>
      </c>
      <c r="D158">
        <v>79.695075989000003</v>
      </c>
      <c r="E158">
        <v>50</v>
      </c>
      <c r="F158">
        <v>14.999435425</v>
      </c>
      <c r="G158">
        <v>1347.463501</v>
      </c>
      <c r="H158">
        <v>1342.9290771000001</v>
      </c>
      <c r="I158">
        <v>1314.5762939000001</v>
      </c>
      <c r="J158">
        <v>1305.3610839999999</v>
      </c>
      <c r="K158">
        <v>550</v>
      </c>
      <c r="L158">
        <v>0</v>
      </c>
      <c r="M158">
        <v>0</v>
      </c>
      <c r="N158">
        <v>550</v>
      </c>
    </row>
    <row r="159" spans="1:14" x14ac:dyDescent="0.25">
      <c r="A159">
        <v>38.276609999999998</v>
      </c>
      <c r="B159" s="1">
        <f>DATE(2010,6,8) + TIME(6,38,19)</f>
        <v>40337.276608796295</v>
      </c>
      <c r="C159">
        <v>80</v>
      </c>
      <c r="D159">
        <v>79.695854186999995</v>
      </c>
      <c r="E159">
        <v>50</v>
      </c>
      <c r="F159">
        <v>14.999443054</v>
      </c>
      <c r="G159">
        <v>1347.4354248</v>
      </c>
      <c r="H159">
        <v>1342.902832</v>
      </c>
      <c r="I159">
        <v>1314.5822754000001</v>
      </c>
      <c r="J159">
        <v>1305.3656006000001</v>
      </c>
      <c r="K159">
        <v>550</v>
      </c>
      <c r="L159">
        <v>0</v>
      </c>
      <c r="M159">
        <v>0</v>
      </c>
      <c r="N159">
        <v>550</v>
      </c>
    </row>
    <row r="160" spans="1:14" x14ac:dyDescent="0.25">
      <c r="A160">
        <v>39.020907999999999</v>
      </c>
      <c r="B160" s="1">
        <f>DATE(2010,6,9) + TIME(0,30,6)</f>
        <v>40338.020902777775</v>
      </c>
      <c r="C160">
        <v>80</v>
      </c>
      <c r="D160">
        <v>79.696586608999993</v>
      </c>
      <c r="E160">
        <v>50</v>
      </c>
      <c r="F160">
        <v>14.999452591000001</v>
      </c>
      <c r="G160">
        <v>1347.4071045000001</v>
      </c>
      <c r="H160">
        <v>1342.8763428</v>
      </c>
      <c r="I160">
        <v>1314.588501</v>
      </c>
      <c r="J160">
        <v>1305.3702393000001</v>
      </c>
      <c r="K160">
        <v>550</v>
      </c>
      <c r="L160">
        <v>0</v>
      </c>
      <c r="M160">
        <v>0</v>
      </c>
      <c r="N160">
        <v>550</v>
      </c>
    </row>
    <row r="161" spans="1:14" x14ac:dyDescent="0.25">
      <c r="A161">
        <v>39.77984</v>
      </c>
      <c r="B161" s="1">
        <f>DATE(2010,6,9) + TIME(18,42,58)</f>
        <v>40338.77983796296</v>
      </c>
      <c r="C161">
        <v>80</v>
      </c>
      <c r="D161">
        <v>79.697288513000004</v>
      </c>
      <c r="E161">
        <v>50</v>
      </c>
      <c r="F161">
        <v>14.999462127999999</v>
      </c>
      <c r="G161">
        <v>1347.3785399999999</v>
      </c>
      <c r="H161">
        <v>1342.8497314000001</v>
      </c>
      <c r="I161">
        <v>1314.5948486</v>
      </c>
      <c r="J161">
        <v>1305.375</v>
      </c>
      <c r="K161">
        <v>550</v>
      </c>
      <c r="L161">
        <v>0</v>
      </c>
      <c r="M161">
        <v>0</v>
      </c>
      <c r="N161">
        <v>550</v>
      </c>
    </row>
    <row r="162" spans="1:14" x14ac:dyDescent="0.25">
      <c r="A162">
        <v>40.541297</v>
      </c>
      <c r="B162" s="1">
        <f>DATE(2010,6,10) + TIME(12,59,28)</f>
        <v>40339.541296296295</v>
      </c>
      <c r="C162">
        <v>80</v>
      </c>
      <c r="D162">
        <v>79.697944641000007</v>
      </c>
      <c r="E162">
        <v>50</v>
      </c>
      <c r="F162">
        <v>14.999472618</v>
      </c>
      <c r="G162">
        <v>1347.3498535000001</v>
      </c>
      <c r="H162">
        <v>1342.8229980000001</v>
      </c>
      <c r="I162">
        <v>1314.6014404</v>
      </c>
      <c r="J162">
        <v>1305.3798827999999</v>
      </c>
      <c r="K162">
        <v>550</v>
      </c>
      <c r="L162">
        <v>0</v>
      </c>
      <c r="M162">
        <v>0</v>
      </c>
      <c r="N162">
        <v>550</v>
      </c>
    </row>
    <row r="163" spans="1:14" x14ac:dyDescent="0.25">
      <c r="A163">
        <v>41.306547000000002</v>
      </c>
      <c r="B163" s="1">
        <f>DATE(2010,6,11) + TIME(7,21,25)</f>
        <v>40340.306539351855</v>
      </c>
      <c r="C163">
        <v>80</v>
      </c>
      <c r="D163">
        <v>79.698570251000007</v>
      </c>
      <c r="E163">
        <v>50</v>
      </c>
      <c r="F163">
        <v>14.999483109</v>
      </c>
      <c r="G163">
        <v>1347.3216553</v>
      </c>
      <c r="H163">
        <v>1342.796875</v>
      </c>
      <c r="I163">
        <v>1314.6080322</v>
      </c>
      <c r="J163">
        <v>1305.3847656</v>
      </c>
      <c r="K163">
        <v>550</v>
      </c>
      <c r="L163">
        <v>0</v>
      </c>
      <c r="M163">
        <v>0</v>
      </c>
      <c r="N163">
        <v>550</v>
      </c>
    </row>
    <row r="164" spans="1:14" x14ac:dyDescent="0.25">
      <c r="A164">
        <v>42.077106999999998</v>
      </c>
      <c r="B164" s="1">
        <f>DATE(2010,6,12) + TIME(1,51,2)</f>
        <v>40341.077106481483</v>
      </c>
      <c r="C164">
        <v>80</v>
      </c>
      <c r="D164">
        <v>79.699157714999998</v>
      </c>
      <c r="E164">
        <v>50</v>
      </c>
      <c r="F164">
        <v>14.999495506000001</v>
      </c>
      <c r="G164">
        <v>1347.2937012</v>
      </c>
      <c r="H164">
        <v>1342.7709961</v>
      </c>
      <c r="I164">
        <v>1314.614624</v>
      </c>
      <c r="J164">
        <v>1305.3897704999999</v>
      </c>
      <c r="K164">
        <v>550</v>
      </c>
      <c r="L164">
        <v>0</v>
      </c>
      <c r="M164">
        <v>0</v>
      </c>
      <c r="N164">
        <v>550</v>
      </c>
    </row>
    <row r="165" spans="1:14" x14ac:dyDescent="0.25">
      <c r="A165">
        <v>42.854385999999998</v>
      </c>
      <c r="B165" s="1">
        <f>DATE(2010,6,12) + TIME(20,30,18)</f>
        <v>40341.854375000003</v>
      </c>
      <c r="C165">
        <v>80</v>
      </c>
      <c r="D165">
        <v>79.699714661000002</v>
      </c>
      <c r="E165">
        <v>50</v>
      </c>
      <c r="F165">
        <v>14.999509810999999</v>
      </c>
      <c r="G165">
        <v>1347.2659911999999</v>
      </c>
      <c r="H165">
        <v>1342.7453613</v>
      </c>
      <c r="I165">
        <v>1314.6214600000001</v>
      </c>
      <c r="J165">
        <v>1305.3947754000001</v>
      </c>
      <c r="K165">
        <v>550</v>
      </c>
      <c r="L165">
        <v>0</v>
      </c>
      <c r="M165">
        <v>0</v>
      </c>
      <c r="N165">
        <v>550</v>
      </c>
    </row>
    <row r="166" spans="1:14" x14ac:dyDescent="0.25">
      <c r="A166">
        <v>43.639795999999997</v>
      </c>
      <c r="B166" s="1">
        <f>DATE(2010,6,13) + TIME(15,21,18)</f>
        <v>40342.639791666668</v>
      </c>
      <c r="C166">
        <v>80</v>
      </c>
      <c r="D166">
        <v>79.700241089000002</v>
      </c>
      <c r="E166">
        <v>50</v>
      </c>
      <c r="F166">
        <v>14.999525070000001</v>
      </c>
      <c r="G166">
        <v>1347.2385254000001</v>
      </c>
      <c r="H166">
        <v>1342.7200928</v>
      </c>
      <c r="I166">
        <v>1314.6281738</v>
      </c>
      <c r="J166">
        <v>1305.3999022999999</v>
      </c>
      <c r="K166">
        <v>550</v>
      </c>
      <c r="L166">
        <v>0</v>
      </c>
      <c r="M166">
        <v>0</v>
      </c>
      <c r="N166">
        <v>550</v>
      </c>
    </row>
    <row r="167" spans="1:14" x14ac:dyDescent="0.25">
      <c r="A167">
        <v>44.434781000000001</v>
      </c>
      <c r="B167" s="1">
        <f>DATE(2010,6,14) + TIME(10,26,5)</f>
        <v>40343.43478009259</v>
      </c>
      <c r="C167">
        <v>80</v>
      </c>
      <c r="D167">
        <v>79.700752257999994</v>
      </c>
      <c r="E167">
        <v>50</v>
      </c>
      <c r="F167">
        <v>14.999542236</v>
      </c>
      <c r="G167">
        <v>1347.2111815999999</v>
      </c>
      <c r="H167">
        <v>1342.6949463000001</v>
      </c>
      <c r="I167">
        <v>1314.6351318</v>
      </c>
      <c r="J167">
        <v>1305.4050293</v>
      </c>
      <c r="K167">
        <v>550</v>
      </c>
      <c r="L167">
        <v>0</v>
      </c>
      <c r="M167">
        <v>0</v>
      </c>
      <c r="N167">
        <v>550</v>
      </c>
    </row>
    <row r="168" spans="1:14" x14ac:dyDescent="0.25">
      <c r="A168">
        <v>45.240828</v>
      </c>
      <c r="B168" s="1">
        <f>DATE(2010,6,15) + TIME(5,46,47)</f>
        <v>40344.24082175926</v>
      </c>
      <c r="C168">
        <v>80</v>
      </c>
      <c r="D168">
        <v>79.701248168999996</v>
      </c>
      <c r="E168">
        <v>50</v>
      </c>
      <c r="F168">
        <v>14.999562263</v>
      </c>
      <c r="G168">
        <v>1347.1839600000001</v>
      </c>
      <c r="H168">
        <v>1342.6699219</v>
      </c>
      <c r="I168">
        <v>1314.6422118999999</v>
      </c>
      <c r="J168">
        <v>1305.4102783000001</v>
      </c>
      <c r="K168">
        <v>550</v>
      </c>
      <c r="L168">
        <v>0</v>
      </c>
      <c r="M168">
        <v>0</v>
      </c>
      <c r="N168">
        <v>550</v>
      </c>
    </row>
    <row r="169" spans="1:14" x14ac:dyDescent="0.25">
      <c r="A169">
        <v>46.053032999999999</v>
      </c>
      <c r="B169" s="1">
        <f>DATE(2010,6,16) + TIME(1,16,22)</f>
        <v>40345.053032407406</v>
      </c>
      <c r="C169">
        <v>80</v>
      </c>
      <c r="D169">
        <v>79.701713561999995</v>
      </c>
      <c r="E169">
        <v>50</v>
      </c>
      <c r="F169">
        <v>14.999584198000001</v>
      </c>
      <c r="G169">
        <v>1347.1568603999999</v>
      </c>
      <c r="H169">
        <v>1342.6450195</v>
      </c>
      <c r="I169">
        <v>1314.6494141000001</v>
      </c>
      <c r="J169">
        <v>1305.4156493999999</v>
      </c>
      <c r="K169">
        <v>550</v>
      </c>
      <c r="L169">
        <v>0</v>
      </c>
      <c r="M169">
        <v>0</v>
      </c>
      <c r="N169">
        <v>550</v>
      </c>
    </row>
    <row r="170" spans="1:14" x14ac:dyDescent="0.25">
      <c r="A170">
        <v>46.870552000000004</v>
      </c>
      <c r="B170" s="1">
        <f>DATE(2010,6,16) + TIME(20,53,35)</f>
        <v>40345.87054398148</v>
      </c>
      <c r="C170">
        <v>80</v>
      </c>
      <c r="D170">
        <v>79.702163696</v>
      </c>
      <c r="E170">
        <v>50</v>
      </c>
      <c r="F170">
        <v>14.999610901</v>
      </c>
      <c r="G170">
        <v>1347.1298827999999</v>
      </c>
      <c r="H170">
        <v>1342.6204834</v>
      </c>
      <c r="I170">
        <v>1314.6567382999999</v>
      </c>
      <c r="J170">
        <v>1305.4210204999999</v>
      </c>
      <c r="K170">
        <v>550</v>
      </c>
      <c r="L170">
        <v>0</v>
      </c>
      <c r="M170">
        <v>0</v>
      </c>
      <c r="N170">
        <v>550</v>
      </c>
    </row>
    <row r="171" spans="1:14" x14ac:dyDescent="0.25">
      <c r="A171">
        <v>47.694647000000003</v>
      </c>
      <c r="B171" s="1">
        <f>DATE(2010,6,17) + TIME(16,40,17)</f>
        <v>40346.694641203707</v>
      </c>
      <c r="C171">
        <v>80</v>
      </c>
      <c r="D171">
        <v>79.702598571999999</v>
      </c>
      <c r="E171">
        <v>50</v>
      </c>
      <c r="F171">
        <v>14.999640465000001</v>
      </c>
      <c r="G171">
        <v>1347.1031493999999</v>
      </c>
      <c r="H171">
        <v>1342.5960693</v>
      </c>
      <c r="I171">
        <v>1314.6641846</v>
      </c>
      <c r="J171">
        <v>1305.4265137</v>
      </c>
      <c r="K171">
        <v>550</v>
      </c>
      <c r="L171">
        <v>0</v>
      </c>
      <c r="M171">
        <v>0</v>
      </c>
      <c r="N171">
        <v>550</v>
      </c>
    </row>
    <row r="172" spans="1:14" x14ac:dyDescent="0.25">
      <c r="A172">
        <v>48.526584999999997</v>
      </c>
      <c r="B172" s="1">
        <f>DATE(2010,6,18) + TIME(12,38,16)</f>
        <v>40347.526574074072</v>
      </c>
      <c r="C172">
        <v>80</v>
      </c>
      <c r="D172">
        <v>79.703025818</v>
      </c>
      <c r="E172">
        <v>50</v>
      </c>
      <c r="F172">
        <v>14.999675751</v>
      </c>
      <c r="G172">
        <v>1347.0766602000001</v>
      </c>
      <c r="H172">
        <v>1342.5718993999999</v>
      </c>
      <c r="I172">
        <v>1314.6716309000001</v>
      </c>
      <c r="J172">
        <v>1305.4321289</v>
      </c>
      <c r="K172">
        <v>550</v>
      </c>
      <c r="L172">
        <v>0</v>
      </c>
      <c r="M172">
        <v>0</v>
      </c>
      <c r="N172">
        <v>550</v>
      </c>
    </row>
    <row r="173" spans="1:14" x14ac:dyDescent="0.25">
      <c r="A173">
        <v>49.367666999999997</v>
      </c>
      <c r="B173" s="1">
        <f>DATE(2010,6,19) + TIME(8,49,26)</f>
        <v>40348.367662037039</v>
      </c>
      <c r="C173">
        <v>80</v>
      </c>
      <c r="D173">
        <v>79.703430175999998</v>
      </c>
      <c r="E173">
        <v>50</v>
      </c>
      <c r="F173">
        <v>14.999716759</v>
      </c>
      <c r="G173">
        <v>1347.050293</v>
      </c>
      <c r="H173">
        <v>1342.5479736</v>
      </c>
      <c r="I173">
        <v>1314.6793213000001</v>
      </c>
      <c r="J173">
        <v>1305.4377440999999</v>
      </c>
      <c r="K173">
        <v>550</v>
      </c>
      <c r="L173">
        <v>0</v>
      </c>
      <c r="M173">
        <v>0</v>
      </c>
      <c r="N173">
        <v>550</v>
      </c>
    </row>
    <row r="174" spans="1:14" x14ac:dyDescent="0.25">
      <c r="A174">
        <v>50.219225000000002</v>
      </c>
      <c r="B174" s="1">
        <f>DATE(2010,6,20) + TIME(5,15,41)</f>
        <v>40349.219224537039</v>
      </c>
      <c r="C174">
        <v>80</v>
      </c>
      <c r="D174">
        <v>79.703826903999996</v>
      </c>
      <c r="E174">
        <v>50</v>
      </c>
      <c r="F174">
        <v>14.999764442</v>
      </c>
      <c r="G174">
        <v>1347.0240478999999</v>
      </c>
      <c r="H174">
        <v>1342.5241699000001</v>
      </c>
      <c r="I174">
        <v>1314.6871338000001</v>
      </c>
      <c r="J174">
        <v>1305.4436035000001</v>
      </c>
      <c r="K174">
        <v>550</v>
      </c>
      <c r="L174">
        <v>0</v>
      </c>
      <c r="M174">
        <v>0</v>
      </c>
      <c r="N174">
        <v>550</v>
      </c>
    </row>
    <row r="175" spans="1:14" x14ac:dyDescent="0.25">
      <c r="A175">
        <v>51.082644999999999</v>
      </c>
      <c r="B175" s="1">
        <f>DATE(2010,6,21) + TIME(1,59,0)</f>
        <v>40350.082638888889</v>
      </c>
      <c r="C175">
        <v>80</v>
      </c>
      <c r="D175">
        <v>79.704216002999999</v>
      </c>
      <c r="E175">
        <v>50</v>
      </c>
      <c r="F175">
        <v>14.999820709</v>
      </c>
      <c r="G175">
        <v>1346.9979248</v>
      </c>
      <c r="H175">
        <v>1342.5004882999999</v>
      </c>
      <c r="I175">
        <v>1314.6951904</v>
      </c>
      <c r="J175">
        <v>1305.4494629000001</v>
      </c>
      <c r="K175">
        <v>550</v>
      </c>
      <c r="L175">
        <v>0</v>
      </c>
      <c r="M175">
        <v>0</v>
      </c>
      <c r="N175">
        <v>550</v>
      </c>
    </row>
    <row r="176" spans="1:14" x14ac:dyDescent="0.25">
      <c r="A176">
        <v>51.959381</v>
      </c>
      <c r="B176" s="1">
        <f>DATE(2010,6,21) + TIME(23,1,30)</f>
        <v>40350.959374999999</v>
      </c>
      <c r="C176">
        <v>80</v>
      </c>
      <c r="D176">
        <v>79.704605103000006</v>
      </c>
      <c r="E176">
        <v>50</v>
      </c>
      <c r="F176">
        <v>14.999887466000001</v>
      </c>
      <c r="G176">
        <v>1346.9718018000001</v>
      </c>
      <c r="H176">
        <v>1342.4769286999999</v>
      </c>
      <c r="I176">
        <v>1314.7032471</v>
      </c>
      <c r="J176">
        <v>1305.4554443</v>
      </c>
      <c r="K176">
        <v>550</v>
      </c>
      <c r="L176">
        <v>0</v>
      </c>
      <c r="M176">
        <v>0</v>
      </c>
      <c r="N176">
        <v>550</v>
      </c>
    </row>
    <row r="177" spans="1:14" x14ac:dyDescent="0.25">
      <c r="A177">
        <v>52.851357</v>
      </c>
      <c r="B177" s="1">
        <f>DATE(2010,6,22) + TIME(20,25,57)</f>
        <v>40351.851354166669</v>
      </c>
      <c r="C177">
        <v>80</v>
      </c>
      <c r="D177">
        <v>79.704978943</v>
      </c>
      <c r="E177">
        <v>50</v>
      </c>
      <c r="F177">
        <v>14.999966621</v>
      </c>
      <c r="G177">
        <v>1346.9456786999999</v>
      </c>
      <c r="H177">
        <v>1342.4532471</v>
      </c>
      <c r="I177">
        <v>1314.7116699000001</v>
      </c>
      <c r="J177">
        <v>1305.4615478999999</v>
      </c>
      <c r="K177">
        <v>550</v>
      </c>
      <c r="L177">
        <v>0</v>
      </c>
      <c r="M177">
        <v>0</v>
      </c>
      <c r="N177">
        <v>550</v>
      </c>
    </row>
    <row r="178" spans="1:14" x14ac:dyDescent="0.25">
      <c r="A178">
        <v>53.759442</v>
      </c>
      <c r="B178" s="1">
        <f>DATE(2010,6,23) + TIME(18,13,35)</f>
        <v>40352.759432870371</v>
      </c>
      <c r="C178">
        <v>80</v>
      </c>
      <c r="D178">
        <v>79.705352782999995</v>
      </c>
      <c r="E178">
        <v>50</v>
      </c>
      <c r="F178">
        <v>15.000059128</v>
      </c>
      <c r="G178">
        <v>1346.9194336</v>
      </c>
      <c r="H178">
        <v>1342.4296875</v>
      </c>
      <c r="I178">
        <v>1314.7202147999999</v>
      </c>
      <c r="J178">
        <v>1305.4678954999999</v>
      </c>
      <c r="K178">
        <v>550</v>
      </c>
      <c r="L178">
        <v>0</v>
      </c>
      <c r="M178">
        <v>0</v>
      </c>
      <c r="N178">
        <v>550</v>
      </c>
    </row>
    <row r="179" spans="1:14" x14ac:dyDescent="0.25">
      <c r="A179">
        <v>54.685394000000002</v>
      </c>
      <c r="B179" s="1">
        <f>DATE(2010,6,24) + TIME(16,26,58)</f>
        <v>40353.685393518521</v>
      </c>
      <c r="C179">
        <v>80</v>
      </c>
      <c r="D179">
        <v>79.705726623999993</v>
      </c>
      <c r="E179">
        <v>50</v>
      </c>
      <c r="F179">
        <v>15.000170708000001</v>
      </c>
      <c r="G179">
        <v>1346.8931885</v>
      </c>
      <c r="H179">
        <v>1342.4061279</v>
      </c>
      <c r="I179">
        <v>1314.7290039</v>
      </c>
      <c r="J179">
        <v>1305.4743652</v>
      </c>
      <c r="K179">
        <v>550</v>
      </c>
      <c r="L179">
        <v>0</v>
      </c>
      <c r="M179">
        <v>0</v>
      </c>
      <c r="N179">
        <v>550</v>
      </c>
    </row>
    <row r="180" spans="1:14" x14ac:dyDescent="0.25">
      <c r="A180">
        <v>55.631086000000003</v>
      </c>
      <c r="B180" s="1">
        <f>DATE(2010,6,25) + TIME(15,8,45)</f>
        <v>40354.631076388891</v>
      </c>
      <c r="C180">
        <v>80</v>
      </c>
      <c r="D180">
        <v>79.706092834000003</v>
      </c>
      <c r="E180">
        <v>50</v>
      </c>
      <c r="F180">
        <v>15.000303268</v>
      </c>
      <c r="G180">
        <v>1346.8666992000001</v>
      </c>
      <c r="H180">
        <v>1342.3824463000001</v>
      </c>
      <c r="I180">
        <v>1314.7380370999999</v>
      </c>
      <c r="J180">
        <v>1305.4810791</v>
      </c>
      <c r="K180">
        <v>550</v>
      </c>
      <c r="L180">
        <v>0</v>
      </c>
      <c r="M180">
        <v>0</v>
      </c>
      <c r="N180">
        <v>550</v>
      </c>
    </row>
    <row r="181" spans="1:14" x14ac:dyDescent="0.25">
      <c r="A181">
        <v>56.598655999999998</v>
      </c>
      <c r="B181" s="1">
        <f>DATE(2010,6,26) + TIME(14,22,3)</f>
        <v>40355.598645833335</v>
      </c>
      <c r="C181">
        <v>80</v>
      </c>
      <c r="D181">
        <v>79.706466675000001</v>
      </c>
      <c r="E181">
        <v>50</v>
      </c>
      <c r="F181">
        <v>15.000461577999999</v>
      </c>
      <c r="G181">
        <v>1346.8402100000001</v>
      </c>
      <c r="H181">
        <v>1342.3586425999999</v>
      </c>
      <c r="I181">
        <v>1314.7474365</v>
      </c>
      <c r="J181">
        <v>1305.4879149999999</v>
      </c>
      <c r="K181">
        <v>550</v>
      </c>
      <c r="L181">
        <v>0</v>
      </c>
      <c r="M181">
        <v>0</v>
      </c>
      <c r="N181">
        <v>550</v>
      </c>
    </row>
    <row r="182" spans="1:14" x14ac:dyDescent="0.25">
      <c r="A182">
        <v>57.579948999999999</v>
      </c>
      <c r="B182" s="1">
        <f>DATE(2010,6,27) + TIME(13,55,7)</f>
        <v>40356.579942129632</v>
      </c>
      <c r="C182">
        <v>80</v>
      </c>
      <c r="D182">
        <v>79.706832886000001</v>
      </c>
      <c r="E182">
        <v>50</v>
      </c>
      <c r="F182">
        <v>15.000649451999999</v>
      </c>
      <c r="G182">
        <v>1346.8133545000001</v>
      </c>
      <c r="H182">
        <v>1342.3345947</v>
      </c>
      <c r="I182">
        <v>1314.7570800999999</v>
      </c>
      <c r="J182">
        <v>1305.4949951000001</v>
      </c>
      <c r="K182">
        <v>550</v>
      </c>
      <c r="L182">
        <v>0</v>
      </c>
      <c r="M182">
        <v>0</v>
      </c>
      <c r="N182">
        <v>550</v>
      </c>
    </row>
    <row r="183" spans="1:14" x14ac:dyDescent="0.25">
      <c r="A183">
        <v>58.567841000000001</v>
      </c>
      <c r="B183" s="1">
        <f>DATE(2010,6,28) + TIME(13,37,41)</f>
        <v>40357.567835648151</v>
      </c>
      <c r="C183">
        <v>80</v>
      </c>
      <c r="D183">
        <v>79.707191467000001</v>
      </c>
      <c r="E183">
        <v>50</v>
      </c>
      <c r="F183">
        <v>15.000872612</v>
      </c>
      <c r="G183">
        <v>1346.7866211</v>
      </c>
      <c r="H183">
        <v>1342.3107910000001</v>
      </c>
      <c r="I183">
        <v>1314.7669678</v>
      </c>
      <c r="J183">
        <v>1305.5021973</v>
      </c>
      <c r="K183">
        <v>550</v>
      </c>
      <c r="L183">
        <v>0</v>
      </c>
      <c r="M183">
        <v>0</v>
      </c>
      <c r="N183">
        <v>550</v>
      </c>
    </row>
    <row r="184" spans="1:14" x14ac:dyDescent="0.25">
      <c r="A184">
        <v>59.564349</v>
      </c>
      <c r="B184" s="1">
        <f>DATE(2010,6,29) + TIME(13,32,39)</f>
        <v>40358.564340277779</v>
      </c>
      <c r="C184">
        <v>80</v>
      </c>
      <c r="D184">
        <v>79.707550049000005</v>
      </c>
      <c r="E184">
        <v>50</v>
      </c>
      <c r="F184">
        <v>15.001135826000001</v>
      </c>
      <c r="G184">
        <v>1346.7600098</v>
      </c>
      <c r="H184">
        <v>1342.2871094</v>
      </c>
      <c r="I184">
        <v>1314.7769774999999</v>
      </c>
      <c r="J184">
        <v>1305.5096435999999</v>
      </c>
      <c r="K184">
        <v>550</v>
      </c>
      <c r="L184">
        <v>0</v>
      </c>
      <c r="M184">
        <v>0</v>
      </c>
      <c r="N184">
        <v>550</v>
      </c>
    </row>
    <row r="185" spans="1:14" x14ac:dyDescent="0.25">
      <c r="A185">
        <v>60.571418999999999</v>
      </c>
      <c r="B185" s="1">
        <f>DATE(2010,6,30) + TIME(13,42,50)</f>
        <v>40359.571412037039</v>
      </c>
      <c r="C185">
        <v>80</v>
      </c>
      <c r="D185">
        <v>79.707901000999996</v>
      </c>
      <c r="E185">
        <v>50</v>
      </c>
      <c r="F185">
        <v>15.001446723999999</v>
      </c>
      <c r="G185">
        <v>1346.7336425999999</v>
      </c>
      <c r="H185">
        <v>1342.2636719</v>
      </c>
      <c r="I185">
        <v>1314.7872314000001</v>
      </c>
      <c r="J185">
        <v>1305.5170897999999</v>
      </c>
      <c r="K185">
        <v>550</v>
      </c>
      <c r="L185">
        <v>0</v>
      </c>
      <c r="M185">
        <v>0</v>
      </c>
      <c r="N185">
        <v>550</v>
      </c>
    </row>
    <row r="186" spans="1:14" x14ac:dyDescent="0.25">
      <c r="A186">
        <v>61</v>
      </c>
      <c r="B186" s="1">
        <f>DATE(2010,7,1) + TIME(0,0,0)</f>
        <v>40360</v>
      </c>
      <c r="C186">
        <v>80</v>
      </c>
      <c r="D186">
        <v>79.708030700999998</v>
      </c>
      <c r="E186">
        <v>50</v>
      </c>
      <c r="F186">
        <v>15.001623154000001</v>
      </c>
      <c r="G186">
        <v>1346.7071533000001</v>
      </c>
      <c r="H186">
        <v>1342.2399902</v>
      </c>
      <c r="I186">
        <v>1314.7974853999999</v>
      </c>
      <c r="J186">
        <v>1305.5245361</v>
      </c>
      <c r="K186">
        <v>550</v>
      </c>
      <c r="L186">
        <v>0</v>
      </c>
      <c r="M186">
        <v>0</v>
      </c>
      <c r="N186">
        <v>550</v>
      </c>
    </row>
    <row r="187" spans="1:14" x14ac:dyDescent="0.25">
      <c r="A187">
        <v>62.011400999999999</v>
      </c>
      <c r="B187" s="1">
        <f>DATE(2010,7,2) + TIME(0,16,25)</f>
        <v>40361.011400462965</v>
      </c>
      <c r="C187">
        <v>80</v>
      </c>
      <c r="D187">
        <v>79.708381653000004</v>
      </c>
      <c r="E187">
        <v>50</v>
      </c>
      <c r="F187">
        <v>15.002008438000001</v>
      </c>
      <c r="G187">
        <v>1346.6962891000001</v>
      </c>
      <c r="H187">
        <v>1342.2303466999999</v>
      </c>
      <c r="I187">
        <v>1314.8022461</v>
      </c>
      <c r="J187">
        <v>1305.5281981999999</v>
      </c>
      <c r="K187">
        <v>550</v>
      </c>
      <c r="L187">
        <v>0</v>
      </c>
      <c r="M187">
        <v>0</v>
      </c>
      <c r="N187">
        <v>550</v>
      </c>
    </row>
    <row r="188" spans="1:14" x14ac:dyDescent="0.25">
      <c r="A188">
        <v>63.026291000000001</v>
      </c>
      <c r="B188" s="1">
        <f>DATE(2010,7,3) + TIME(0,37,51)</f>
        <v>40362.026284722226</v>
      </c>
      <c r="C188">
        <v>80</v>
      </c>
      <c r="D188">
        <v>79.708732604999994</v>
      </c>
      <c r="E188">
        <v>50</v>
      </c>
      <c r="F188">
        <v>15.002461433000001</v>
      </c>
      <c r="G188">
        <v>1346.6704102000001</v>
      </c>
      <c r="H188">
        <v>1342.2075195</v>
      </c>
      <c r="I188">
        <v>1314.8129882999999</v>
      </c>
      <c r="J188">
        <v>1305.5360106999999</v>
      </c>
      <c r="K188">
        <v>550</v>
      </c>
      <c r="L188">
        <v>0</v>
      </c>
      <c r="M188">
        <v>0</v>
      </c>
      <c r="N188">
        <v>550</v>
      </c>
    </row>
    <row r="189" spans="1:14" x14ac:dyDescent="0.25">
      <c r="A189">
        <v>64.045496999999997</v>
      </c>
      <c r="B189" s="1">
        <f>DATE(2010,7,4) + TIME(1,5,30)</f>
        <v>40363.045486111114</v>
      </c>
      <c r="C189">
        <v>80</v>
      </c>
      <c r="D189">
        <v>79.709075928000004</v>
      </c>
      <c r="E189">
        <v>50</v>
      </c>
      <c r="F189">
        <v>15.002991676000001</v>
      </c>
      <c r="G189">
        <v>1346.6447754000001</v>
      </c>
      <c r="H189">
        <v>1342.1848144999999</v>
      </c>
      <c r="I189">
        <v>1314.8239745999999</v>
      </c>
      <c r="J189">
        <v>1305.5439452999999</v>
      </c>
      <c r="K189">
        <v>550</v>
      </c>
      <c r="L189">
        <v>0</v>
      </c>
      <c r="M189">
        <v>0</v>
      </c>
      <c r="N189">
        <v>550</v>
      </c>
    </row>
    <row r="190" spans="1:14" x14ac:dyDescent="0.25">
      <c r="A190">
        <v>65.070644999999999</v>
      </c>
      <c r="B190" s="1">
        <f>DATE(2010,7,5) + TIME(1,41,43)</f>
        <v>40364.070636574077</v>
      </c>
      <c r="C190">
        <v>80</v>
      </c>
      <c r="D190">
        <v>79.709411621000001</v>
      </c>
      <c r="E190">
        <v>50</v>
      </c>
      <c r="F190">
        <v>15.003610610999999</v>
      </c>
      <c r="G190">
        <v>1346.6195068</v>
      </c>
      <c r="H190">
        <v>1342.1624756000001</v>
      </c>
      <c r="I190">
        <v>1314.8349608999999</v>
      </c>
      <c r="J190">
        <v>1305.5520019999999</v>
      </c>
      <c r="K190">
        <v>550</v>
      </c>
      <c r="L190">
        <v>0</v>
      </c>
      <c r="M190">
        <v>0</v>
      </c>
      <c r="N190">
        <v>550</v>
      </c>
    </row>
    <row r="191" spans="1:14" x14ac:dyDescent="0.25">
      <c r="A191">
        <v>66.103348999999994</v>
      </c>
      <c r="B191" s="1">
        <f>DATE(2010,7,6) + TIME(2,28,49)</f>
        <v>40365.103344907409</v>
      </c>
      <c r="C191">
        <v>80</v>
      </c>
      <c r="D191">
        <v>79.709747313999998</v>
      </c>
      <c r="E191">
        <v>50</v>
      </c>
      <c r="F191">
        <v>15.004331589</v>
      </c>
      <c r="G191">
        <v>1346.5942382999999</v>
      </c>
      <c r="H191">
        <v>1342.1402588000001</v>
      </c>
      <c r="I191">
        <v>1314.8463135</v>
      </c>
      <c r="J191">
        <v>1305.5603027</v>
      </c>
      <c r="K191">
        <v>550</v>
      </c>
      <c r="L191">
        <v>0</v>
      </c>
      <c r="M191">
        <v>0</v>
      </c>
      <c r="N191">
        <v>550</v>
      </c>
    </row>
    <row r="192" spans="1:14" x14ac:dyDescent="0.25">
      <c r="A192">
        <v>67.145236999999995</v>
      </c>
      <c r="B192" s="1">
        <f>DATE(2010,7,7) + TIME(3,29,8)</f>
        <v>40366.145231481481</v>
      </c>
      <c r="C192">
        <v>80</v>
      </c>
      <c r="D192">
        <v>79.710090636999993</v>
      </c>
      <c r="E192">
        <v>50</v>
      </c>
      <c r="F192">
        <v>15.005172729</v>
      </c>
      <c r="G192">
        <v>1346.5693358999999</v>
      </c>
      <c r="H192">
        <v>1342.1182861</v>
      </c>
      <c r="I192">
        <v>1314.8577881000001</v>
      </c>
      <c r="J192">
        <v>1305.5686035000001</v>
      </c>
      <c r="K192">
        <v>550</v>
      </c>
      <c r="L192">
        <v>0</v>
      </c>
      <c r="M192">
        <v>0</v>
      </c>
      <c r="N192">
        <v>550</v>
      </c>
    </row>
    <row r="193" spans="1:14" x14ac:dyDescent="0.25">
      <c r="A193">
        <v>68.197958</v>
      </c>
      <c r="B193" s="1">
        <f>DATE(2010,7,8) + TIME(4,45,3)</f>
        <v>40367.197951388887</v>
      </c>
      <c r="C193">
        <v>80</v>
      </c>
      <c r="D193">
        <v>79.710426330999994</v>
      </c>
      <c r="E193">
        <v>50</v>
      </c>
      <c r="F193">
        <v>15.006151199</v>
      </c>
      <c r="G193">
        <v>1346.5444336</v>
      </c>
      <c r="H193">
        <v>1342.0963135</v>
      </c>
      <c r="I193">
        <v>1314.8696289</v>
      </c>
      <c r="J193">
        <v>1305.5772704999999</v>
      </c>
      <c r="K193">
        <v>550</v>
      </c>
      <c r="L193">
        <v>0</v>
      </c>
      <c r="M193">
        <v>0</v>
      </c>
      <c r="N193">
        <v>550</v>
      </c>
    </row>
    <row r="194" spans="1:14" x14ac:dyDescent="0.25">
      <c r="A194">
        <v>69.263208000000006</v>
      </c>
      <c r="B194" s="1">
        <f>DATE(2010,7,9) + TIME(6,19,1)</f>
        <v>40368.263206018521</v>
      </c>
      <c r="C194">
        <v>80</v>
      </c>
      <c r="D194">
        <v>79.710762024000005</v>
      </c>
      <c r="E194">
        <v>50</v>
      </c>
      <c r="F194">
        <v>15.00729084</v>
      </c>
      <c r="G194">
        <v>1346.5195312000001</v>
      </c>
      <c r="H194">
        <v>1342.0745850000001</v>
      </c>
      <c r="I194">
        <v>1314.8817139</v>
      </c>
      <c r="J194">
        <v>1305.5860596</v>
      </c>
      <c r="K194">
        <v>550</v>
      </c>
      <c r="L194">
        <v>0</v>
      </c>
      <c r="M194">
        <v>0</v>
      </c>
      <c r="N194">
        <v>550</v>
      </c>
    </row>
    <row r="195" spans="1:14" x14ac:dyDescent="0.25">
      <c r="A195">
        <v>70.342753999999999</v>
      </c>
      <c r="B195" s="1">
        <f>DATE(2010,7,10) + TIME(8,13,33)</f>
        <v>40369.342743055553</v>
      </c>
      <c r="C195">
        <v>80</v>
      </c>
      <c r="D195">
        <v>79.711105347</v>
      </c>
      <c r="E195">
        <v>50</v>
      </c>
      <c r="F195">
        <v>15.008618354999999</v>
      </c>
      <c r="G195">
        <v>1346.494751</v>
      </c>
      <c r="H195">
        <v>1342.0528564000001</v>
      </c>
      <c r="I195">
        <v>1314.8941649999999</v>
      </c>
      <c r="J195">
        <v>1305.5950928</v>
      </c>
      <c r="K195">
        <v>550</v>
      </c>
      <c r="L195">
        <v>0</v>
      </c>
      <c r="M195">
        <v>0</v>
      </c>
      <c r="N195">
        <v>550</v>
      </c>
    </row>
    <row r="196" spans="1:14" x14ac:dyDescent="0.25">
      <c r="A196">
        <v>71.438475999999994</v>
      </c>
      <c r="B196" s="1">
        <f>DATE(2010,7,11) + TIME(10,31,24)</f>
        <v>40370.438472222224</v>
      </c>
      <c r="C196">
        <v>80</v>
      </c>
      <c r="D196">
        <v>79.711448669000006</v>
      </c>
      <c r="E196">
        <v>50</v>
      </c>
      <c r="F196">
        <v>15.010164261</v>
      </c>
      <c r="G196">
        <v>1346.4699707</v>
      </c>
      <c r="H196">
        <v>1342.0311279</v>
      </c>
      <c r="I196">
        <v>1314.9068603999999</v>
      </c>
      <c r="J196">
        <v>1305.6043701000001</v>
      </c>
      <c r="K196">
        <v>550</v>
      </c>
      <c r="L196">
        <v>0</v>
      </c>
      <c r="M196">
        <v>0</v>
      </c>
      <c r="N196">
        <v>550</v>
      </c>
    </row>
    <row r="197" spans="1:14" x14ac:dyDescent="0.25">
      <c r="A197">
        <v>72.549552000000006</v>
      </c>
      <c r="B197" s="1">
        <f>DATE(2010,7,12) + TIME(13,11,21)</f>
        <v>40371.54954861111</v>
      </c>
      <c r="C197">
        <v>80</v>
      </c>
      <c r="D197">
        <v>79.711799622000001</v>
      </c>
      <c r="E197">
        <v>50</v>
      </c>
      <c r="F197">
        <v>15.011961937000001</v>
      </c>
      <c r="G197">
        <v>1346.4450684000001</v>
      </c>
      <c r="H197">
        <v>1342.0092772999999</v>
      </c>
      <c r="I197">
        <v>1314.9200439000001</v>
      </c>
      <c r="J197">
        <v>1305.6140137</v>
      </c>
      <c r="K197">
        <v>550</v>
      </c>
      <c r="L197">
        <v>0</v>
      </c>
      <c r="M197">
        <v>0</v>
      </c>
      <c r="N197">
        <v>550</v>
      </c>
    </row>
    <row r="198" spans="1:14" x14ac:dyDescent="0.25">
      <c r="A198">
        <v>73.676265000000001</v>
      </c>
      <c r="B198" s="1">
        <f>DATE(2010,7,13) + TIME(16,13,49)</f>
        <v>40372.676261574074</v>
      </c>
      <c r="C198">
        <v>80</v>
      </c>
      <c r="D198">
        <v>79.712142943999993</v>
      </c>
      <c r="E198">
        <v>50</v>
      </c>
      <c r="F198">
        <v>15.014051436999999</v>
      </c>
      <c r="G198">
        <v>1346.4201660000001</v>
      </c>
      <c r="H198">
        <v>1341.9875488</v>
      </c>
      <c r="I198">
        <v>1314.9335937999999</v>
      </c>
      <c r="J198">
        <v>1305.6239014</v>
      </c>
      <c r="K198">
        <v>550</v>
      </c>
      <c r="L198">
        <v>0</v>
      </c>
      <c r="M198">
        <v>0</v>
      </c>
      <c r="N198">
        <v>550</v>
      </c>
    </row>
    <row r="199" spans="1:14" x14ac:dyDescent="0.25">
      <c r="A199">
        <v>74.820599000000001</v>
      </c>
      <c r="B199" s="1">
        <f>DATE(2010,7,14) + TIME(19,41,39)</f>
        <v>40373.820590277777</v>
      </c>
      <c r="C199">
        <v>80</v>
      </c>
      <c r="D199">
        <v>79.712501525999997</v>
      </c>
      <c r="E199">
        <v>50</v>
      </c>
      <c r="F199">
        <v>15.0164814</v>
      </c>
      <c r="G199">
        <v>1346.3952637</v>
      </c>
      <c r="H199">
        <v>1341.9658202999999</v>
      </c>
      <c r="I199">
        <v>1314.9475098</v>
      </c>
      <c r="J199">
        <v>1305.6340332</v>
      </c>
      <c r="K199">
        <v>550</v>
      </c>
      <c r="L199">
        <v>0</v>
      </c>
      <c r="M199">
        <v>0</v>
      </c>
      <c r="N199">
        <v>550</v>
      </c>
    </row>
    <row r="200" spans="1:14" x14ac:dyDescent="0.25">
      <c r="A200">
        <v>75.985131999999993</v>
      </c>
      <c r="B200" s="1">
        <f>DATE(2010,7,15) + TIME(23,38,35)</f>
        <v>40374.985127314816</v>
      </c>
      <c r="C200">
        <v>80</v>
      </c>
      <c r="D200">
        <v>79.712860106999997</v>
      </c>
      <c r="E200">
        <v>50</v>
      </c>
      <c r="F200">
        <v>15.019309044</v>
      </c>
      <c r="G200">
        <v>1346.3702393000001</v>
      </c>
      <c r="H200">
        <v>1341.9440918</v>
      </c>
      <c r="I200">
        <v>1314.9620361</v>
      </c>
      <c r="J200">
        <v>1305.6445312000001</v>
      </c>
      <c r="K200">
        <v>550</v>
      </c>
      <c r="L200">
        <v>0</v>
      </c>
      <c r="M200">
        <v>0</v>
      </c>
      <c r="N200">
        <v>550</v>
      </c>
    </row>
    <row r="201" spans="1:14" x14ac:dyDescent="0.25">
      <c r="A201">
        <v>77.171598000000003</v>
      </c>
      <c r="B201" s="1">
        <f>DATE(2010,7,17) + TIME(4,7,6)</f>
        <v>40376.171597222223</v>
      </c>
      <c r="C201">
        <v>80</v>
      </c>
      <c r="D201">
        <v>79.713218689000001</v>
      </c>
      <c r="E201">
        <v>50</v>
      </c>
      <c r="F201">
        <v>15.022601128</v>
      </c>
      <c r="G201">
        <v>1346.3452147999999</v>
      </c>
      <c r="H201">
        <v>1341.9222411999999</v>
      </c>
      <c r="I201">
        <v>1314.9769286999999</v>
      </c>
      <c r="J201">
        <v>1305.6555175999999</v>
      </c>
      <c r="K201">
        <v>550</v>
      </c>
      <c r="L201">
        <v>0</v>
      </c>
      <c r="M201">
        <v>0</v>
      </c>
      <c r="N201">
        <v>550</v>
      </c>
    </row>
    <row r="202" spans="1:14" x14ac:dyDescent="0.25">
      <c r="A202">
        <v>77.776435000000006</v>
      </c>
      <c r="B202" s="1">
        <f>DATE(2010,7,17) + TIME(18,38,3)</f>
        <v>40376.776423611111</v>
      </c>
      <c r="C202">
        <v>80</v>
      </c>
      <c r="D202">
        <v>79.713378906000003</v>
      </c>
      <c r="E202">
        <v>50</v>
      </c>
      <c r="F202">
        <v>15.024787903</v>
      </c>
      <c r="G202">
        <v>1346.3195800999999</v>
      </c>
      <c r="H202">
        <v>1341.8999022999999</v>
      </c>
      <c r="I202">
        <v>1314.9924315999999</v>
      </c>
      <c r="J202">
        <v>1305.666626</v>
      </c>
      <c r="K202">
        <v>550</v>
      </c>
      <c r="L202">
        <v>0</v>
      </c>
      <c r="M202">
        <v>0</v>
      </c>
      <c r="N202">
        <v>550</v>
      </c>
    </row>
    <row r="203" spans="1:14" x14ac:dyDescent="0.25">
      <c r="A203">
        <v>78.381271999999996</v>
      </c>
      <c r="B203" s="1">
        <f>DATE(2010,7,18) + TIME(9,9,1)</f>
        <v>40377.381261574075</v>
      </c>
      <c r="C203">
        <v>80</v>
      </c>
      <c r="D203">
        <v>79.713546753000003</v>
      </c>
      <c r="E203">
        <v>50</v>
      </c>
      <c r="F203">
        <v>15.027096748</v>
      </c>
      <c r="G203">
        <v>1346.3067627</v>
      </c>
      <c r="H203">
        <v>1341.8886719</v>
      </c>
      <c r="I203">
        <v>1315.0004882999999</v>
      </c>
      <c r="J203">
        <v>1305.6724853999999</v>
      </c>
      <c r="K203">
        <v>550</v>
      </c>
      <c r="L203">
        <v>0</v>
      </c>
      <c r="M203">
        <v>0</v>
      </c>
      <c r="N203">
        <v>550</v>
      </c>
    </row>
    <row r="204" spans="1:14" x14ac:dyDescent="0.25">
      <c r="A204">
        <v>78.986108999999999</v>
      </c>
      <c r="B204" s="1">
        <f>DATE(2010,7,18) + TIME(23,39,59)</f>
        <v>40377.98609953704</v>
      </c>
      <c r="C204">
        <v>80</v>
      </c>
      <c r="D204">
        <v>79.713722228999998</v>
      </c>
      <c r="E204">
        <v>50</v>
      </c>
      <c r="F204">
        <v>15.029541969</v>
      </c>
      <c r="G204">
        <v>1346.2940673999999</v>
      </c>
      <c r="H204">
        <v>1341.8775635</v>
      </c>
      <c r="I204">
        <v>1315.0085449000001</v>
      </c>
      <c r="J204">
        <v>1305.6784668</v>
      </c>
      <c r="K204">
        <v>550</v>
      </c>
      <c r="L204">
        <v>0</v>
      </c>
      <c r="M204">
        <v>0</v>
      </c>
      <c r="N204">
        <v>550</v>
      </c>
    </row>
    <row r="205" spans="1:14" x14ac:dyDescent="0.25">
      <c r="A205">
        <v>79.590136000000001</v>
      </c>
      <c r="B205" s="1">
        <f>DATE(2010,7,19) + TIME(14,9,47)</f>
        <v>40378.590127314812</v>
      </c>
      <c r="C205">
        <v>80</v>
      </c>
      <c r="D205">
        <v>79.713890075999998</v>
      </c>
      <c r="E205">
        <v>50</v>
      </c>
      <c r="F205">
        <v>15.032132149000001</v>
      </c>
      <c r="G205">
        <v>1346.2813721</v>
      </c>
      <c r="H205">
        <v>1341.8665771000001</v>
      </c>
      <c r="I205">
        <v>1315.0167236</v>
      </c>
      <c r="J205">
        <v>1305.6845702999999</v>
      </c>
      <c r="K205">
        <v>550</v>
      </c>
      <c r="L205">
        <v>0</v>
      </c>
      <c r="M205">
        <v>0</v>
      </c>
      <c r="N205">
        <v>550</v>
      </c>
    </row>
    <row r="206" spans="1:14" x14ac:dyDescent="0.25">
      <c r="A206">
        <v>80.193572000000003</v>
      </c>
      <c r="B206" s="1">
        <f>DATE(2010,7,20) + TIME(4,38,44)</f>
        <v>40379.193564814814</v>
      </c>
      <c r="C206">
        <v>80</v>
      </c>
      <c r="D206">
        <v>79.714065551999994</v>
      </c>
      <c r="E206">
        <v>50</v>
      </c>
      <c r="F206">
        <v>15.034878730999999</v>
      </c>
      <c r="G206">
        <v>1346.2689209</v>
      </c>
      <c r="H206">
        <v>1341.8557129000001</v>
      </c>
      <c r="I206">
        <v>1315.0250243999999</v>
      </c>
      <c r="J206">
        <v>1305.6906738</v>
      </c>
      <c r="K206">
        <v>550</v>
      </c>
      <c r="L206">
        <v>0</v>
      </c>
      <c r="M206">
        <v>0</v>
      </c>
      <c r="N206">
        <v>550</v>
      </c>
    </row>
    <row r="207" spans="1:14" x14ac:dyDescent="0.25">
      <c r="A207">
        <v>80.796698000000006</v>
      </c>
      <c r="B207" s="1">
        <f>DATE(2010,7,20) + TIME(19,7,14)</f>
        <v>40379.796689814815</v>
      </c>
      <c r="C207">
        <v>80</v>
      </c>
      <c r="D207">
        <v>79.714241028000004</v>
      </c>
      <c r="E207">
        <v>50</v>
      </c>
      <c r="F207">
        <v>15.037794113</v>
      </c>
      <c r="G207">
        <v>1346.2564697</v>
      </c>
      <c r="H207">
        <v>1341.8448486</v>
      </c>
      <c r="I207">
        <v>1315.0334473</v>
      </c>
      <c r="J207">
        <v>1305.6968993999999</v>
      </c>
      <c r="K207">
        <v>550</v>
      </c>
      <c r="L207">
        <v>0</v>
      </c>
      <c r="M207">
        <v>0</v>
      </c>
      <c r="N207">
        <v>550</v>
      </c>
    </row>
    <row r="208" spans="1:14" x14ac:dyDescent="0.25">
      <c r="A208">
        <v>81.399437000000006</v>
      </c>
      <c r="B208" s="1">
        <f>DATE(2010,7,21) + TIME(9,35,11)</f>
        <v>40380.39943287037</v>
      </c>
      <c r="C208">
        <v>80</v>
      </c>
      <c r="D208">
        <v>79.714416503999999</v>
      </c>
      <c r="E208">
        <v>50</v>
      </c>
      <c r="F208">
        <v>15.040890694</v>
      </c>
      <c r="G208">
        <v>1346.2441406</v>
      </c>
      <c r="H208">
        <v>1341.8341064000001</v>
      </c>
      <c r="I208">
        <v>1315.0418701000001</v>
      </c>
      <c r="J208">
        <v>1305.703125</v>
      </c>
      <c r="K208">
        <v>550</v>
      </c>
      <c r="L208">
        <v>0</v>
      </c>
      <c r="M208">
        <v>0</v>
      </c>
      <c r="N208">
        <v>550</v>
      </c>
    </row>
    <row r="209" spans="1:14" x14ac:dyDescent="0.25">
      <c r="A209">
        <v>82.002176000000006</v>
      </c>
      <c r="B209" s="1">
        <f>DATE(2010,7,22) + TIME(0,3,8)</f>
        <v>40381.002175925925</v>
      </c>
      <c r="C209">
        <v>80</v>
      </c>
      <c r="D209">
        <v>79.714599609000004</v>
      </c>
      <c r="E209">
        <v>50</v>
      </c>
      <c r="F209">
        <v>15.04418087</v>
      </c>
      <c r="G209">
        <v>1346.2318115</v>
      </c>
      <c r="H209">
        <v>1341.8234863</v>
      </c>
      <c r="I209">
        <v>1315.050293</v>
      </c>
      <c r="J209">
        <v>1305.7094727000001</v>
      </c>
      <c r="K209">
        <v>550</v>
      </c>
      <c r="L209">
        <v>0</v>
      </c>
      <c r="M209">
        <v>0</v>
      </c>
      <c r="N209">
        <v>550</v>
      </c>
    </row>
    <row r="210" spans="1:14" x14ac:dyDescent="0.25">
      <c r="A210">
        <v>82.604916000000003</v>
      </c>
      <c r="B210" s="1">
        <f>DATE(2010,7,22) + TIME(14,31,4)</f>
        <v>40381.604907407411</v>
      </c>
      <c r="C210">
        <v>80</v>
      </c>
      <c r="D210">
        <v>79.714775084999999</v>
      </c>
      <c r="E210">
        <v>50</v>
      </c>
      <c r="F210">
        <v>15.047677994000001</v>
      </c>
      <c r="G210">
        <v>1346.2196045000001</v>
      </c>
      <c r="H210">
        <v>1341.8128661999999</v>
      </c>
      <c r="I210">
        <v>1315.0589600000001</v>
      </c>
      <c r="J210">
        <v>1305.7158202999999</v>
      </c>
      <c r="K210">
        <v>550</v>
      </c>
      <c r="L210">
        <v>0</v>
      </c>
      <c r="M210">
        <v>0</v>
      </c>
      <c r="N210">
        <v>550</v>
      </c>
    </row>
    <row r="211" spans="1:14" x14ac:dyDescent="0.25">
      <c r="A211">
        <v>83.207655000000003</v>
      </c>
      <c r="B211" s="1">
        <f>DATE(2010,7,23) + TIME(4,59,1)</f>
        <v>40382.207650462966</v>
      </c>
      <c r="C211">
        <v>80</v>
      </c>
      <c r="D211">
        <v>79.714950561999999</v>
      </c>
      <c r="E211">
        <v>50</v>
      </c>
      <c r="F211">
        <v>15.051393509</v>
      </c>
      <c r="G211">
        <v>1346.2075195</v>
      </c>
      <c r="H211">
        <v>1341.8023682</v>
      </c>
      <c r="I211">
        <v>1315.0676269999999</v>
      </c>
      <c r="J211">
        <v>1305.7222899999999</v>
      </c>
      <c r="K211">
        <v>550</v>
      </c>
      <c r="L211">
        <v>0</v>
      </c>
      <c r="M211">
        <v>0</v>
      </c>
      <c r="N211">
        <v>550</v>
      </c>
    </row>
    <row r="212" spans="1:14" x14ac:dyDescent="0.25">
      <c r="A212">
        <v>84.413133000000002</v>
      </c>
      <c r="B212" s="1">
        <f>DATE(2010,7,24) + TIME(9,54,54)</f>
        <v>40383.413124999999</v>
      </c>
      <c r="C212">
        <v>80</v>
      </c>
      <c r="D212">
        <v>79.715354919000006</v>
      </c>
      <c r="E212">
        <v>50</v>
      </c>
      <c r="F212">
        <v>15.058320998999999</v>
      </c>
      <c r="G212">
        <v>1346.1956786999999</v>
      </c>
      <c r="H212">
        <v>1341.7922363</v>
      </c>
      <c r="I212">
        <v>1315.0760498</v>
      </c>
      <c r="J212">
        <v>1305.729126</v>
      </c>
      <c r="K212">
        <v>550</v>
      </c>
      <c r="L212">
        <v>0</v>
      </c>
      <c r="M212">
        <v>0</v>
      </c>
      <c r="N212">
        <v>550</v>
      </c>
    </row>
    <row r="213" spans="1:14" x14ac:dyDescent="0.25">
      <c r="A213">
        <v>85.619877000000002</v>
      </c>
      <c r="B213" s="1">
        <f>DATE(2010,7,25) + TIME(14,52,37)</f>
        <v>40384.619872685187</v>
      </c>
      <c r="C213">
        <v>80</v>
      </c>
      <c r="D213">
        <v>79.715736389</v>
      </c>
      <c r="E213">
        <v>50</v>
      </c>
      <c r="F213">
        <v>15.066356659</v>
      </c>
      <c r="G213">
        <v>1346.171875</v>
      </c>
      <c r="H213">
        <v>1341.7714844</v>
      </c>
      <c r="I213">
        <v>1315.0936279</v>
      </c>
      <c r="J213">
        <v>1305.7423096</v>
      </c>
      <c r="K213">
        <v>550</v>
      </c>
      <c r="L213">
        <v>0</v>
      </c>
      <c r="M213">
        <v>0</v>
      </c>
      <c r="N213">
        <v>550</v>
      </c>
    </row>
    <row r="214" spans="1:14" x14ac:dyDescent="0.25">
      <c r="A214">
        <v>86.833151999999998</v>
      </c>
      <c r="B214" s="1">
        <f>DATE(2010,7,26) + TIME(19,59,44)</f>
        <v>40385.833148148151</v>
      </c>
      <c r="C214">
        <v>80</v>
      </c>
      <c r="D214">
        <v>79.716110228999995</v>
      </c>
      <c r="E214">
        <v>50</v>
      </c>
      <c r="F214">
        <v>15.075601578000001</v>
      </c>
      <c r="G214">
        <v>1346.1480713000001</v>
      </c>
      <c r="H214">
        <v>1341.7509766000001</v>
      </c>
      <c r="I214">
        <v>1315.1116943</v>
      </c>
      <c r="J214">
        <v>1305.7558594</v>
      </c>
      <c r="K214">
        <v>550</v>
      </c>
      <c r="L214">
        <v>0</v>
      </c>
      <c r="M214">
        <v>0</v>
      </c>
      <c r="N214">
        <v>550</v>
      </c>
    </row>
    <row r="215" spans="1:14" x14ac:dyDescent="0.25">
      <c r="A215">
        <v>88.054875999999993</v>
      </c>
      <c r="B215" s="1">
        <f>DATE(2010,7,28) + TIME(1,19,1)</f>
        <v>40387.054872685185</v>
      </c>
      <c r="C215">
        <v>80</v>
      </c>
      <c r="D215">
        <v>79.716484070000007</v>
      </c>
      <c r="E215">
        <v>50</v>
      </c>
      <c r="F215">
        <v>15.086174011000001</v>
      </c>
      <c r="G215">
        <v>1346.1245117000001</v>
      </c>
      <c r="H215">
        <v>1341.7305908000001</v>
      </c>
      <c r="I215">
        <v>1315.1301269999999</v>
      </c>
      <c r="J215">
        <v>1305.7697754000001</v>
      </c>
      <c r="K215">
        <v>550</v>
      </c>
      <c r="L215">
        <v>0</v>
      </c>
      <c r="M215">
        <v>0</v>
      </c>
      <c r="N215">
        <v>550</v>
      </c>
    </row>
    <row r="216" spans="1:14" x14ac:dyDescent="0.25">
      <c r="A216">
        <v>89.286972000000006</v>
      </c>
      <c r="B216" s="1">
        <f>DATE(2010,7,29) + TIME(6,53,14)</f>
        <v>40388.28696759259</v>
      </c>
      <c r="C216">
        <v>80</v>
      </c>
      <c r="D216">
        <v>79.716857910000002</v>
      </c>
      <c r="E216">
        <v>50</v>
      </c>
      <c r="F216">
        <v>15.098216057</v>
      </c>
      <c r="G216">
        <v>1346.1010742000001</v>
      </c>
      <c r="H216">
        <v>1341.7103271000001</v>
      </c>
      <c r="I216">
        <v>1315.1491699000001</v>
      </c>
      <c r="J216">
        <v>1305.7843018000001</v>
      </c>
      <c r="K216">
        <v>550</v>
      </c>
      <c r="L216">
        <v>0</v>
      </c>
      <c r="M216">
        <v>0</v>
      </c>
      <c r="N216">
        <v>550</v>
      </c>
    </row>
    <row r="217" spans="1:14" x14ac:dyDescent="0.25">
      <c r="A217">
        <v>90.531298000000007</v>
      </c>
      <c r="B217" s="1">
        <f>DATE(2010,7,30) + TIME(12,45,4)</f>
        <v>40389.5312962963</v>
      </c>
      <c r="C217">
        <v>80</v>
      </c>
      <c r="D217">
        <v>79.717231749999996</v>
      </c>
      <c r="E217">
        <v>50</v>
      </c>
      <c r="F217">
        <v>15.111900329999999</v>
      </c>
      <c r="G217">
        <v>1346.0776367000001</v>
      </c>
      <c r="H217">
        <v>1341.6900635</v>
      </c>
      <c r="I217">
        <v>1315.1685791</v>
      </c>
      <c r="J217">
        <v>1305.7993164</v>
      </c>
      <c r="K217">
        <v>550</v>
      </c>
      <c r="L217">
        <v>0</v>
      </c>
      <c r="M217">
        <v>0</v>
      </c>
      <c r="N217">
        <v>550</v>
      </c>
    </row>
    <row r="218" spans="1:14" x14ac:dyDescent="0.25">
      <c r="A218">
        <v>91.789484000000002</v>
      </c>
      <c r="B218" s="1">
        <f>DATE(2010,7,31) + TIME(18,56,51)</f>
        <v>40390.789479166669</v>
      </c>
      <c r="C218">
        <v>80</v>
      </c>
      <c r="D218">
        <v>79.717605590999995</v>
      </c>
      <c r="E218">
        <v>50</v>
      </c>
      <c r="F218">
        <v>15.12742424</v>
      </c>
      <c r="G218">
        <v>1346.0541992000001</v>
      </c>
      <c r="H218">
        <v>1341.6697998</v>
      </c>
      <c r="I218">
        <v>1315.1887207</v>
      </c>
      <c r="J218">
        <v>1305.8149414</v>
      </c>
      <c r="K218">
        <v>550</v>
      </c>
      <c r="L218">
        <v>0</v>
      </c>
      <c r="M218">
        <v>0</v>
      </c>
      <c r="N218">
        <v>550</v>
      </c>
    </row>
    <row r="219" spans="1:14" x14ac:dyDescent="0.25">
      <c r="A219">
        <v>92</v>
      </c>
      <c r="B219" s="1">
        <f>DATE(2010,8,1) + TIME(0,0,0)</f>
        <v>40391</v>
      </c>
      <c r="C219">
        <v>80</v>
      </c>
      <c r="D219">
        <v>79.717651367000002</v>
      </c>
      <c r="E219">
        <v>50</v>
      </c>
      <c r="F219">
        <v>15.131129265</v>
      </c>
      <c r="G219">
        <v>1346.0306396000001</v>
      </c>
      <c r="H219">
        <v>1341.6495361</v>
      </c>
      <c r="I219">
        <v>1315.2104492000001</v>
      </c>
      <c r="J219">
        <v>1305.8298339999999</v>
      </c>
      <c r="K219">
        <v>550</v>
      </c>
      <c r="L219">
        <v>0</v>
      </c>
      <c r="M219">
        <v>0</v>
      </c>
      <c r="N219">
        <v>550</v>
      </c>
    </row>
    <row r="220" spans="1:14" x14ac:dyDescent="0.25">
      <c r="A220">
        <v>93.274145000000004</v>
      </c>
      <c r="B220" s="1">
        <f>DATE(2010,8,2) + TIME(6,34,46)</f>
        <v>40392.274143518516</v>
      </c>
      <c r="C220">
        <v>80</v>
      </c>
      <c r="D220">
        <v>79.718040466000005</v>
      </c>
      <c r="E220">
        <v>50</v>
      </c>
      <c r="F220">
        <v>15.148874283</v>
      </c>
      <c r="G220">
        <v>1346.0267334</v>
      </c>
      <c r="H220">
        <v>1341.6461182</v>
      </c>
      <c r="I220">
        <v>1315.2130127</v>
      </c>
      <c r="J220">
        <v>1305.8341064000001</v>
      </c>
      <c r="K220">
        <v>550</v>
      </c>
      <c r="L220">
        <v>0</v>
      </c>
      <c r="M220">
        <v>0</v>
      </c>
      <c r="N220">
        <v>550</v>
      </c>
    </row>
    <row r="221" spans="1:14" x14ac:dyDescent="0.25">
      <c r="A221">
        <v>94.569762999999995</v>
      </c>
      <c r="B221" s="1">
        <f>DATE(2010,8,3) + TIME(13,40,27)</f>
        <v>40393.569756944446</v>
      </c>
      <c r="C221">
        <v>80</v>
      </c>
      <c r="D221">
        <v>79.718429564999994</v>
      </c>
      <c r="E221">
        <v>50</v>
      </c>
      <c r="F221">
        <v>15.169094085999999</v>
      </c>
      <c r="G221">
        <v>1346.0032959</v>
      </c>
      <c r="H221">
        <v>1341.6259766000001</v>
      </c>
      <c r="I221">
        <v>1315.2344971</v>
      </c>
      <c r="J221">
        <v>1305.8511963000001</v>
      </c>
      <c r="K221">
        <v>550</v>
      </c>
      <c r="L221">
        <v>0</v>
      </c>
      <c r="M221">
        <v>0</v>
      </c>
      <c r="N221">
        <v>550</v>
      </c>
    </row>
    <row r="222" spans="1:14" x14ac:dyDescent="0.25">
      <c r="A222">
        <v>95.886585999999994</v>
      </c>
      <c r="B222" s="1">
        <f>DATE(2010,8,4) + TIME(21,16,40)</f>
        <v>40394.886574074073</v>
      </c>
      <c r="C222">
        <v>80</v>
      </c>
      <c r="D222">
        <v>79.718826293999996</v>
      </c>
      <c r="E222">
        <v>50</v>
      </c>
      <c r="F222">
        <v>15.192084312</v>
      </c>
      <c r="G222">
        <v>1345.9796143000001</v>
      </c>
      <c r="H222">
        <v>1341.6055908000001</v>
      </c>
      <c r="I222">
        <v>1315.2569579999999</v>
      </c>
      <c r="J222">
        <v>1305.8691406</v>
      </c>
      <c r="K222">
        <v>550</v>
      </c>
      <c r="L222">
        <v>0</v>
      </c>
      <c r="M222">
        <v>0</v>
      </c>
      <c r="N222">
        <v>550</v>
      </c>
    </row>
    <row r="223" spans="1:14" x14ac:dyDescent="0.25">
      <c r="A223">
        <v>96.555661999999998</v>
      </c>
      <c r="B223" s="1">
        <f>DATE(2010,8,5) + TIME(13,20,9)</f>
        <v>40395.555659722224</v>
      </c>
      <c r="C223">
        <v>80</v>
      </c>
      <c r="D223">
        <v>79.719001770000006</v>
      </c>
      <c r="E223">
        <v>50</v>
      </c>
      <c r="F223">
        <v>15.207149506</v>
      </c>
      <c r="G223">
        <v>1345.9555664</v>
      </c>
      <c r="H223">
        <v>1341.5847168</v>
      </c>
      <c r="I223">
        <v>1315.28125</v>
      </c>
      <c r="J223">
        <v>1305.887207</v>
      </c>
      <c r="K223">
        <v>550</v>
      </c>
      <c r="L223">
        <v>0</v>
      </c>
      <c r="M223">
        <v>0</v>
      </c>
      <c r="N223">
        <v>550</v>
      </c>
    </row>
    <row r="224" spans="1:14" x14ac:dyDescent="0.25">
      <c r="A224">
        <v>97.224739</v>
      </c>
      <c r="B224" s="1">
        <f>DATE(2010,8,6) + TIME(5,23,37)</f>
        <v>40396.224733796298</v>
      </c>
      <c r="C224">
        <v>80</v>
      </c>
      <c r="D224">
        <v>79.719177246000001</v>
      </c>
      <c r="E224">
        <v>50</v>
      </c>
      <c r="F224">
        <v>15.222808838000001</v>
      </c>
      <c r="G224">
        <v>1345.9434814000001</v>
      </c>
      <c r="H224">
        <v>1341.5742187999999</v>
      </c>
      <c r="I224">
        <v>1315.2933350000001</v>
      </c>
      <c r="J224">
        <v>1305.8973389</v>
      </c>
      <c r="K224">
        <v>550</v>
      </c>
      <c r="L224">
        <v>0</v>
      </c>
      <c r="M224">
        <v>0</v>
      </c>
      <c r="N224">
        <v>550</v>
      </c>
    </row>
    <row r="225" spans="1:14" x14ac:dyDescent="0.25">
      <c r="A225">
        <v>97.893816000000001</v>
      </c>
      <c r="B225" s="1">
        <f>DATE(2010,8,6) + TIME(21,27,5)</f>
        <v>40396.893807870372</v>
      </c>
      <c r="C225">
        <v>80</v>
      </c>
      <c r="D225">
        <v>79.719367981000005</v>
      </c>
      <c r="E225">
        <v>50</v>
      </c>
      <c r="F225">
        <v>15.239131927000001</v>
      </c>
      <c r="G225">
        <v>1345.9315185999999</v>
      </c>
      <c r="H225">
        <v>1341.5638428</v>
      </c>
      <c r="I225">
        <v>1315.3054199000001</v>
      </c>
      <c r="J225">
        <v>1305.9074707</v>
      </c>
      <c r="K225">
        <v>550</v>
      </c>
      <c r="L225">
        <v>0</v>
      </c>
      <c r="M225">
        <v>0</v>
      </c>
      <c r="N225">
        <v>550</v>
      </c>
    </row>
    <row r="226" spans="1:14" x14ac:dyDescent="0.25">
      <c r="A226">
        <v>98.562893000000003</v>
      </c>
      <c r="B226" s="1">
        <f>DATE(2010,8,7) + TIME(13,30,33)</f>
        <v>40397.562881944446</v>
      </c>
      <c r="C226">
        <v>80</v>
      </c>
      <c r="D226">
        <v>79.719551085999996</v>
      </c>
      <c r="E226">
        <v>50</v>
      </c>
      <c r="F226">
        <v>15.256178856</v>
      </c>
      <c r="G226">
        <v>1345.9195557</v>
      </c>
      <c r="H226">
        <v>1341.5535889</v>
      </c>
      <c r="I226">
        <v>1315.317749</v>
      </c>
      <c r="J226">
        <v>1305.9178466999999</v>
      </c>
      <c r="K226">
        <v>550</v>
      </c>
      <c r="L226">
        <v>0</v>
      </c>
      <c r="M226">
        <v>0</v>
      </c>
      <c r="N226">
        <v>550</v>
      </c>
    </row>
    <row r="227" spans="1:14" x14ac:dyDescent="0.25">
      <c r="A227">
        <v>99.231969000000007</v>
      </c>
      <c r="B227" s="1">
        <f>DATE(2010,8,8) + TIME(5,34,2)</f>
        <v>40398.23196759259</v>
      </c>
      <c r="C227">
        <v>80</v>
      </c>
      <c r="D227">
        <v>79.719741821</v>
      </c>
      <c r="E227">
        <v>50</v>
      </c>
      <c r="F227">
        <v>15.274011612000001</v>
      </c>
      <c r="G227">
        <v>1345.9077147999999</v>
      </c>
      <c r="H227">
        <v>1341.5433350000001</v>
      </c>
      <c r="I227">
        <v>1315.3302002</v>
      </c>
      <c r="J227">
        <v>1305.9284668</v>
      </c>
      <c r="K227">
        <v>550</v>
      </c>
      <c r="L227">
        <v>0</v>
      </c>
      <c r="M227">
        <v>0</v>
      </c>
      <c r="N227">
        <v>550</v>
      </c>
    </row>
    <row r="228" spans="1:14" x14ac:dyDescent="0.25">
      <c r="A228">
        <v>99.901045999999994</v>
      </c>
      <c r="B228" s="1">
        <f>DATE(2010,8,8) + TIME(21,37,30)</f>
        <v>40398.901041666664</v>
      </c>
      <c r="C228">
        <v>80</v>
      </c>
      <c r="D228">
        <v>79.719932556000003</v>
      </c>
      <c r="E228">
        <v>50</v>
      </c>
      <c r="F228">
        <v>15.292686462000001</v>
      </c>
      <c r="G228">
        <v>1345.895874</v>
      </c>
      <c r="H228">
        <v>1341.5330810999999</v>
      </c>
      <c r="I228">
        <v>1315.3427733999999</v>
      </c>
      <c r="J228">
        <v>1305.9392089999999</v>
      </c>
      <c r="K228">
        <v>550</v>
      </c>
      <c r="L228">
        <v>0</v>
      </c>
      <c r="M228">
        <v>0</v>
      </c>
      <c r="N228">
        <v>550</v>
      </c>
    </row>
    <row r="229" spans="1:14" x14ac:dyDescent="0.25">
      <c r="A229">
        <v>100.570123</v>
      </c>
      <c r="B229" s="1">
        <f>DATE(2010,8,9) + TIME(13,40,58)</f>
        <v>40399.570115740738</v>
      </c>
      <c r="C229">
        <v>80</v>
      </c>
      <c r="D229">
        <v>79.720130920000003</v>
      </c>
      <c r="E229">
        <v>50</v>
      </c>
      <c r="F229">
        <v>15.312257767</v>
      </c>
      <c r="G229">
        <v>1345.8841553</v>
      </c>
      <c r="H229">
        <v>1341.5229492000001</v>
      </c>
      <c r="I229">
        <v>1315.3554687999999</v>
      </c>
      <c r="J229">
        <v>1305.9501952999999</v>
      </c>
      <c r="K229">
        <v>550</v>
      </c>
      <c r="L229">
        <v>0</v>
      </c>
      <c r="M229">
        <v>0</v>
      </c>
      <c r="N229">
        <v>550</v>
      </c>
    </row>
    <row r="230" spans="1:14" x14ac:dyDescent="0.25">
      <c r="A230">
        <v>101.2392</v>
      </c>
      <c r="B230" s="1">
        <f>DATE(2010,8,10) + TIME(5,44,26)</f>
        <v>40400.239189814813</v>
      </c>
      <c r="C230">
        <v>80</v>
      </c>
      <c r="D230">
        <v>79.720321655000006</v>
      </c>
      <c r="E230">
        <v>50</v>
      </c>
      <c r="F230">
        <v>15.332781792</v>
      </c>
      <c r="G230">
        <v>1345.8724365</v>
      </c>
      <c r="H230">
        <v>1341.5128173999999</v>
      </c>
      <c r="I230">
        <v>1315.3682861</v>
      </c>
      <c r="J230">
        <v>1305.9614257999999</v>
      </c>
      <c r="K230">
        <v>550</v>
      </c>
      <c r="L230">
        <v>0</v>
      </c>
      <c r="M230">
        <v>0</v>
      </c>
      <c r="N230">
        <v>550</v>
      </c>
    </row>
    <row r="231" spans="1:14" x14ac:dyDescent="0.25">
      <c r="A231">
        <v>101.908276</v>
      </c>
      <c r="B231" s="1">
        <f>DATE(2010,8,10) + TIME(21,47,55)</f>
        <v>40400.908275462964</v>
      </c>
      <c r="C231">
        <v>80</v>
      </c>
      <c r="D231">
        <v>79.720520019999995</v>
      </c>
      <c r="E231">
        <v>50</v>
      </c>
      <c r="F231">
        <v>15.354309082</v>
      </c>
      <c r="G231">
        <v>1345.8608397999999</v>
      </c>
      <c r="H231">
        <v>1341.5028076000001</v>
      </c>
      <c r="I231">
        <v>1315.3813477000001</v>
      </c>
      <c r="J231">
        <v>1305.9727783000001</v>
      </c>
      <c r="K231">
        <v>550</v>
      </c>
      <c r="L231">
        <v>0</v>
      </c>
      <c r="M231">
        <v>0</v>
      </c>
      <c r="N231">
        <v>550</v>
      </c>
    </row>
    <row r="232" spans="1:14" x14ac:dyDescent="0.25">
      <c r="A232">
        <v>102.577353</v>
      </c>
      <c r="B232" s="1">
        <f>DATE(2010,8,11) + TIME(13,51,23)</f>
        <v>40401.577349537038</v>
      </c>
      <c r="C232">
        <v>80</v>
      </c>
      <c r="D232">
        <v>79.720718383999994</v>
      </c>
      <c r="E232">
        <v>50</v>
      </c>
      <c r="F232">
        <v>15.376893043999999</v>
      </c>
      <c r="G232">
        <v>1345.8492432</v>
      </c>
      <c r="H232">
        <v>1341.4927978999999</v>
      </c>
      <c r="I232">
        <v>1315.3944091999999</v>
      </c>
      <c r="J232">
        <v>1305.984375</v>
      </c>
      <c r="K232">
        <v>550</v>
      </c>
      <c r="L232">
        <v>0</v>
      </c>
      <c r="M232">
        <v>0</v>
      </c>
      <c r="N232">
        <v>550</v>
      </c>
    </row>
    <row r="233" spans="1:14" x14ac:dyDescent="0.25">
      <c r="A233">
        <v>103.24643</v>
      </c>
      <c r="B233" s="1">
        <f>DATE(2010,8,12) + TIME(5,54,51)</f>
        <v>40402.246423611112</v>
      </c>
      <c r="C233">
        <v>80</v>
      </c>
      <c r="D233">
        <v>79.720916747999993</v>
      </c>
      <c r="E233">
        <v>50</v>
      </c>
      <c r="F233">
        <v>15.400585175</v>
      </c>
      <c r="G233">
        <v>1345.8376464999999</v>
      </c>
      <c r="H233">
        <v>1341.4827881000001</v>
      </c>
      <c r="I233">
        <v>1315.4077147999999</v>
      </c>
      <c r="J233">
        <v>1305.9962158000001</v>
      </c>
      <c r="K233">
        <v>550</v>
      </c>
      <c r="L233">
        <v>0</v>
      </c>
      <c r="M233">
        <v>0</v>
      </c>
      <c r="N233">
        <v>550</v>
      </c>
    </row>
    <row r="234" spans="1:14" x14ac:dyDescent="0.25">
      <c r="A234">
        <v>103.91550700000001</v>
      </c>
      <c r="B234" s="1">
        <f>DATE(2010,8,12) + TIME(21,58,19)</f>
        <v>40402.915497685186</v>
      </c>
      <c r="C234">
        <v>80</v>
      </c>
      <c r="D234">
        <v>79.721107482999997</v>
      </c>
      <c r="E234">
        <v>50</v>
      </c>
      <c r="F234">
        <v>15.425436974</v>
      </c>
      <c r="G234">
        <v>1345.8261719</v>
      </c>
      <c r="H234">
        <v>1341.4727783000001</v>
      </c>
      <c r="I234">
        <v>1315.4211425999999</v>
      </c>
      <c r="J234">
        <v>1306.0083007999999</v>
      </c>
      <c r="K234">
        <v>550</v>
      </c>
      <c r="L234">
        <v>0</v>
      </c>
      <c r="M234">
        <v>0</v>
      </c>
      <c r="N234">
        <v>550</v>
      </c>
    </row>
    <row r="235" spans="1:14" x14ac:dyDescent="0.25">
      <c r="A235">
        <v>104.58458400000001</v>
      </c>
      <c r="B235" s="1">
        <f>DATE(2010,8,13) + TIME(14,1,48)</f>
        <v>40403.584583333337</v>
      </c>
      <c r="C235">
        <v>80</v>
      </c>
      <c r="D235">
        <v>79.721305846999996</v>
      </c>
      <c r="E235">
        <v>50</v>
      </c>
      <c r="F235">
        <v>15.451498985000001</v>
      </c>
      <c r="G235">
        <v>1345.8146973</v>
      </c>
      <c r="H235">
        <v>1341.4628906</v>
      </c>
      <c r="I235">
        <v>1315.4346923999999</v>
      </c>
      <c r="J235">
        <v>1306.0206298999999</v>
      </c>
      <c r="K235">
        <v>550</v>
      </c>
      <c r="L235">
        <v>0</v>
      </c>
      <c r="M235">
        <v>0</v>
      </c>
      <c r="N235">
        <v>550</v>
      </c>
    </row>
    <row r="236" spans="1:14" x14ac:dyDescent="0.25">
      <c r="A236">
        <v>105.25366</v>
      </c>
      <c r="B236" s="1">
        <f>DATE(2010,8,14) + TIME(6,5,16)</f>
        <v>40404.253657407404</v>
      </c>
      <c r="C236">
        <v>80</v>
      </c>
      <c r="D236">
        <v>79.721504210999996</v>
      </c>
      <c r="E236">
        <v>50</v>
      </c>
      <c r="F236">
        <v>15.478822707999999</v>
      </c>
      <c r="G236">
        <v>1345.8033447</v>
      </c>
      <c r="H236">
        <v>1341.4530029</v>
      </c>
      <c r="I236">
        <v>1315.4483643000001</v>
      </c>
      <c r="J236">
        <v>1306.0330810999999</v>
      </c>
      <c r="K236">
        <v>550</v>
      </c>
      <c r="L236">
        <v>0</v>
      </c>
      <c r="M236">
        <v>0</v>
      </c>
      <c r="N236">
        <v>550</v>
      </c>
    </row>
    <row r="237" spans="1:14" x14ac:dyDescent="0.25">
      <c r="A237">
        <v>105.922737</v>
      </c>
      <c r="B237" s="1">
        <f>DATE(2010,8,14) + TIME(22,8,44)</f>
        <v>40404.922731481478</v>
      </c>
      <c r="C237">
        <v>80</v>
      </c>
      <c r="D237">
        <v>79.721702575999998</v>
      </c>
      <c r="E237">
        <v>50</v>
      </c>
      <c r="F237">
        <v>15.507458687</v>
      </c>
      <c r="G237">
        <v>1345.7919922000001</v>
      </c>
      <c r="H237">
        <v>1341.4431152</v>
      </c>
      <c r="I237">
        <v>1315.4621582</v>
      </c>
      <c r="J237">
        <v>1306.0458983999999</v>
      </c>
      <c r="K237">
        <v>550</v>
      </c>
      <c r="L237">
        <v>0</v>
      </c>
      <c r="M237">
        <v>0</v>
      </c>
      <c r="N237">
        <v>550</v>
      </c>
    </row>
    <row r="238" spans="1:14" x14ac:dyDescent="0.25">
      <c r="A238">
        <v>106.591814</v>
      </c>
      <c r="B238" s="1">
        <f>DATE(2010,8,15) + TIME(14,12,12)</f>
        <v>40405.591805555552</v>
      </c>
      <c r="C238">
        <v>80</v>
      </c>
      <c r="D238">
        <v>79.721900939999998</v>
      </c>
      <c r="E238">
        <v>50</v>
      </c>
      <c r="F238">
        <v>15.537459373000001</v>
      </c>
      <c r="G238">
        <v>1345.7806396000001</v>
      </c>
      <c r="H238">
        <v>1341.4333495999999</v>
      </c>
      <c r="I238">
        <v>1315.4760742000001</v>
      </c>
      <c r="J238">
        <v>1306.0589600000001</v>
      </c>
      <c r="K238">
        <v>550</v>
      </c>
      <c r="L238">
        <v>0</v>
      </c>
      <c r="M238">
        <v>0</v>
      </c>
      <c r="N238">
        <v>550</v>
      </c>
    </row>
    <row r="239" spans="1:14" x14ac:dyDescent="0.25">
      <c r="A239">
        <v>107.929967</v>
      </c>
      <c r="B239" s="1">
        <f>DATE(2010,8,16) + TIME(22,19,9)</f>
        <v>40406.929965277777</v>
      </c>
      <c r="C239">
        <v>80</v>
      </c>
      <c r="D239">
        <v>79.722335814999994</v>
      </c>
      <c r="E239">
        <v>50</v>
      </c>
      <c r="F239">
        <v>15.591814995</v>
      </c>
      <c r="G239">
        <v>1345.7696533000001</v>
      </c>
      <c r="H239">
        <v>1341.4238281</v>
      </c>
      <c r="I239">
        <v>1315.4879149999999</v>
      </c>
      <c r="J239">
        <v>1306.0739745999999</v>
      </c>
      <c r="K239">
        <v>550</v>
      </c>
      <c r="L239">
        <v>0</v>
      </c>
      <c r="M239">
        <v>0</v>
      </c>
      <c r="N239">
        <v>550</v>
      </c>
    </row>
    <row r="240" spans="1:14" x14ac:dyDescent="0.25">
      <c r="A240">
        <v>109.269068</v>
      </c>
      <c r="B240" s="1">
        <f>DATE(2010,8,18) + TIME(6,27,27)</f>
        <v>40408.269062500003</v>
      </c>
      <c r="C240">
        <v>80</v>
      </c>
      <c r="D240">
        <v>79.722755432</v>
      </c>
      <c r="E240">
        <v>50</v>
      </c>
      <c r="F240">
        <v>15.653593063000001</v>
      </c>
      <c r="G240">
        <v>1345.7471923999999</v>
      </c>
      <c r="H240">
        <v>1341.4045410000001</v>
      </c>
      <c r="I240">
        <v>1315.5166016000001</v>
      </c>
      <c r="J240">
        <v>1306.1008300999999</v>
      </c>
      <c r="K240">
        <v>550</v>
      </c>
      <c r="L240">
        <v>0</v>
      </c>
      <c r="M240">
        <v>0</v>
      </c>
      <c r="N240">
        <v>550</v>
      </c>
    </row>
    <row r="241" spans="1:14" x14ac:dyDescent="0.25">
      <c r="A241">
        <v>110.62520499999999</v>
      </c>
      <c r="B241" s="1">
        <f>DATE(2010,8,19) + TIME(15,0,17)</f>
        <v>40409.625196759262</v>
      </c>
      <c r="C241">
        <v>80</v>
      </c>
      <c r="D241">
        <v>79.723175049000005</v>
      </c>
      <c r="E241">
        <v>50</v>
      </c>
      <c r="F241">
        <v>15.723376274</v>
      </c>
      <c r="G241">
        <v>1345.7249756000001</v>
      </c>
      <c r="H241">
        <v>1341.3852539</v>
      </c>
      <c r="I241">
        <v>1315.5457764</v>
      </c>
      <c r="J241">
        <v>1306.1289062000001</v>
      </c>
      <c r="K241">
        <v>550</v>
      </c>
      <c r="L241">
        <v>0</v>
      </c>
      <c r="M241">
        <v>0</v>
      </c>
      <c r="N241">
        <v>550</v>
      </c>
    </row>
    <row r="242" spans="1:14" x14ac:dyDescent="0.25">
      <c r="A242">
        <v>112.000659</v>
      </c>
      <c r="B242" s="1">
        <f>DATE(2010,8,21) + TIME(0,0,56)</f>
        <v>40411.000648148147</v>
      </c>
      <c r="C242">
        <v>80</v>
      </c>
      <c r="D242">
        <v>79.723594665999997</v>
      </c>
      <c r="E242">
        <v>50</v>
      </c>
      <c r="F242">
        <v>15.801645279000001</v>
      </c>
      <c r="G242">
        <v>1345.7026367000001</v>
      </c>
      <c r="H242">
        <v>1341.3658447</v>
      </c>
      <c r="I242">
        <v>1315.5756836</v>
      </c>
      <c r="J242">
        <v>1306.1586914</v>
      </c>
      <c r="K242">
        <v>550</v>
      </c>
      <c r="L242">
        <v>0</v>
      </c>
      <c r="M242">
        <v>0</v>
      </c>
      <c r="N242">
        <v>550</v>
      </c>
    </row>
    <row r="243" spans="1:14" x14ac:dyDescent="0.25">
      <c r="A243">
        <v>113.39796800000001</v>
      </c>
      <c r="B243" s="1">
        <f>DATE(2010,8,22) + TIME(9,33,4)</f>
        <v>40412.397962962961</v>
      </c>
      <c r="C243">
        <v>80</v>
      </c>
      <c r="D243">
        <v>79.724014281999999</v>
      </c>
      <c r="E243">
        <v>50</v>
      </c>
      <c r="F243">
        <v>15.889050484</v>
      </c>
      <c r="G243">
        <v>1345.6800536999999</v>
      </c>
      <c r="H243">
        <v>1341.3463135</v>
      </c>
      <c r="I243">
        <v>1315.6064452999999</v>
      </c>
      <c r="J243">
        <v>1306.1901855000001</v>
      </c>
      <c r="K243">
        <v>550</v>
      </c>
      <c r="L243">
        <v>0</v>
      </c>
      <c r="M243">
        <v>0</v>
      </c>
      <c r="N243">
        <v>550</v>
      </c>
    </row>
    <row r="244" spans="1:14" x14ac:dyDescent="0.25">
      <c r="A244">
        <v>114.819873</v>
      </c>
      <c r="B244" s="1">
        <f>DATE(2010,8,23) + TIME(19,40,37)</f>
        <v>40413.819872685184</v>
      </c>
      <c r="C244">
        <v>80</v>
      </c>
      <c r="D244">
        <v>79.724441528</v>
      </c>
      <c r="E244">
        <v>50</v>
      </c>
      <c r="F244">
        <v>15.986410141</v>
      </c>
      <c r="G244">
        <v>1345.6573486</v>
      </c>
      <c r="H244">
        <v>1341.3265381000001</v>
      </c>
      <c r="I244">
        <v>1315.6381836</v>
      </c>
      <c r="J244">
        <v>1306.2236327999999</v>
      </c>
      <c r="K244">
        <v>550</v>
      </c>
      <c r="L244">
        <v>0</v>
      </c>
      <c r="M244">
        <v>0</v>
      </c>
      <c r="N244">
        <v>550</v>
      </c>
    </row>
    <row r="245" spans="1:14" x14ac:dyDescent="0.25">
      <c r="A245">
        <v>115.54350100000001</v>
      </c>
      <c r="B245" s="1">
        <f>DATE(2010,8,24) + TIME(13,2,38)</f>
        <v>40414.543495370373</v>
      </c>
      <c r="C245">
        <v>80</v>
      </c>
      <c r="D245">
        <v>79.724632263000004</v>
      </c>
      <c r="E245">
        <v>50</v>
      </c>
      <c r="F245">
        <v>16.049621582</v>
      </c>
      <c r="G245">
        <v>1345.6340332</v>
      </c>
      <c r="H245">
        <v>1341.3063964999999</v>
      </c>
      <c r="I245">
        <v>1315.675293</v>
      </c>
      <c r="J245">
        <v>1306.2561035000001</v>
      </c>
      <c r="K245">
        <v>550</v>
      </c>
      <c r="L245">
        <v>0</v>
      </c>
      <c r="M245">
        <v>0</v>
      </c>
      <c r="N245">
        <v>550</v>
      </c>
    </row>
    <row r="246" spans="1:14" x14ac:dyDescent="0.25">
      <c r="A246">
        <v>116.267129</v>
      </c>
      <c r="B246" s="1">
        <f>DATE(2010,8,25) + TIME(6,24,39)</f>
        <v>40415.267118055555</v>
      </c>
      <c r="C246">
        <v>80</v>
      </c>
      <c r="D246">
        <v>79.724830627000003</v>
      </c>
      <c r="E246">
        <v>50</v>
      </c>
      <c r="F246">
        <v>16.114276885999999</v>
      </c>
      <c r="G246">
        <v>1345.6223144999999</v>
      </c>
      <c r="H246">
        <v>1341.2961425999999</v>
      </c>
      <c r="I246">
        <v>1315.6918945</v>
      </c>
      <c r="J246">
        <v>1306.2755127</v>
      </c>
      <c r="K246">
        <v>550</v>
      </c>
      <c r="L246">
        <v>0</v>
      </c>
      <c r="M246">
        <v>0</v>
      </c>
      <c r="N246">
        <v>550</v>
      </c>
    </row>
    <row r="247" spans="1:14" x14ac:dyDescent="0.25">
      <c r="A247">
        <v>116.990757</v>
      </c>
      <c r="B247" s="1">
        <f>DATE(2010,8,25) + TIME(23,46,41)</f>
        <v>40415.990752314814</v>
      </c>
      <c r="C247">
        <v>80</v>
      </c>
      <c r="D247">
        <v>79.725036621000001</v>
      </c>
      <c r="E247">
        <v>50</v>
      </c>
      <c r="F247">
        <v>16.180618286000001</v>
      </c>
      <c r="G247">
        <v>1345.6107178</v>
      </c>
      <c r="H247">
        <v>1341.2860106999999</v>
      </c>
      <c r="I247">
        <v>1315.7086182</v>
      </c>
      <c r="J247">
        <v>1306.2952881000001</v>
      </c>
      <c r="K247">
        <v>550</v>
      </c>
      <c r="L247">
        <v>0</v>
      </c>
      <c r="M247">
        <v>0</v>
      </c>
      <c r="N247">
        <v>550</v>
      </c>
    </row>
    <row r="248" spans="1:14" x14ac:dyDescent="0.25">
      <c r="A248">
        <v>117.714386</v>
      </c>
      <c r="B248" s="1">
        <f>DATE(2010,8,26) + TIME(17,8,42)</f>
        <v>40416.714375000003</v>
      </c>
      <c r="C248">
        <v>80</v>
      </c>
      <c r="D248">
        <v>79.725242614999999</v>
      </c>
      <c r="E248">
        <v>50</v>
      </c>
      <c r="F248">
        <v>16.248849869000001</v>
      </c>
      <c r="G248">
        <v>1345.5992432</v>
      </c>
      <c r="H248">
        <v>1341.2758789</v>
      </c>
      <c r="I248">
        <v>1315.7254639</v>
      </c>
      <c r="J248">
        <v>1306.3154297000001</v>
      </c>
      <c r="K248">
        <v>550</v>
      </c>
      <c r="L248">
        <v>0</v>
      </c>
      <c r="M248">
        <v>0</v>
      </c>
      <c r="N248">
        <v>550</v>
      </c>
    </row>
    <row r="249" spans="1:14" x14ac:dyDescent="0.25">
      <c r="A249">
        <v>118.438014</v>
      </c>
      <c r="B249" s="1">
        <f>DATE(2010,8,27) + TIME(10,30,44)</f>
        <v>40417.438009259262</v>
      </c>
      <c r="C249">
        <v>80</v>
      </c>
      <c r="D249">
        <v>79.725448607999994</v>
      </c>
      <c r="E249">
        <v>50</v>
      </c>
      <c r="F249">
        <v>16.319158554000001</v>
      </c>
      <c r="G249">
        <v>1345.5876464999999</v>
      </c>
      <c r="H249">
        <v>1341.2658690999999</v>
      </c>
      <c r="I249">
        <v>1315.7425536999999</v>
      </c>
      <c r="J249">
        <v>1306.3359375</v>
      </c>
      <c r="K249">
        <v>550</v>
      </c>
      <c r="L249">
        <v>0</v>
      </c>
      <c r="M249">
        <v>0</v>
      </c>
      <c r="N249">
        <v>550</v>
      </c>
    </row>
    <row r="250" spans="1:14" x14ac:dyDescent="0.25">
      <c r="A250">
        <v>119.161642</v>
      </c>
      <c r="B250" s="1">
        <f>DATE(2010,8,28) + TIME(3,52,45)</f>
        <v>40418.161631944444</v>
      </c>
      <c r="C250">
        <v>80</v>
      </c>
      <c r="D250">
        <v>79.725662231000001</v>
      </c>
      <c r="E250">
        <v>50</v>
      </c>
      <c r="F250">
        <v>16.391700745000001</v>
      </c>
      <c r="G250">
        <v>1345.5761719</v>
      </c>
      <c r="H250">
        <v>1341.2557373</v>
      </c>
      <c r="I250">
        <v>1315.7597656</v>
      </c>
      <c r="J250">
        <v>1306.3568115</v>
      </c>
      <c r="K250">
        <v>550</v>
      </c>
      <c r="L250">
        <v>0</v>
      </c>
      <c r="M250">
        <v>0</v>
      </c>
      <c r="N250">
        <v>550</v>
      </c>
    </row>
    <row r="251" spans="1:14" x14ac:dyDescent="0.25">
      <c r="A251">
        <v>119.88527000000001</v>
      </c>
      <c r="B251" s="1">
        <f>DATE(2010,8,28) + TIME(21,14,47)</f>
        <v>40418.885266203702</v>
      </c>
      <c r="C251">
        <v>80</v>
      </c>
      <c r="D251">
        <v>79.725875853999995</v>
      </c>
      <c r="E251">
        <v>50</v>
      </c>
      <c r="F251">
        <v>16.466619492</v>
      </c>
      <c r="G251">
        <v>1345.5646973</v>
      </c>
      <c r="H251">
        <v>1341.2457274999999</v>
      </c>
      <c r="I251">
        <v>1315.7770995999999</v>
      </c>
      <c r="J251">
        <v>1306.3781738</v>
      </c>
      <c r="K251">
        <v>550</v>
      </c>
      <c r="L251">
        <v>0</v>
      </c>
      <c r="M251">
        <v>0</v>
      </c>
      <c r="N251">
        <v>550</v>
      </c>
    </row>
    <row r="252" spans="1:14" x14ac:dyDescent="0.25">
      <c r="A252">
        <v>120.608898</v>
      </c>
      <c r="B252" s="1">
        <f>DATE(2010,8,29) + TIME(14,36,48)</f>
        <v>40419.608888888892</v>
      </c>
      <c r="C252">
        <v>80</v>
      </c>
      <c r="D252">
        <v>79.726089478000006</v>
      </c>
      <c r="E252">
        <v>50</v>
      </c>
      <c r="F252">
        <v>16.544042587</v>
      </c>
      <c r="G252">
        <v>1345.5533447</v>
      </c>
      <c r="H252">
        <v>1341.2358397999999</v>
      </c>
      <c r="I252">
        <v>1315.7946777</v>
      </c>
      <c r="J252">
        <v>1306.4000243999999</v>
      </c>
      <c r="K252">
        <v>550</v>
      </c>
      <c r="L252">
        <v>0</v>
      </c>
      <c r="M252">
        <v>0</v>
      </c>
      <c r="N252">
        <v>550</v>
      </c>
    </row>
    <row r="253" spans="1:14" x14ac:dyDescent="0.25">
      <c r="A253">
        <v>121.332526</v>
      </c>
      <c r="B253" s="1">
        <f>DATE(2010,8,30) + TIME(7,58,50)</f>
        <v>40420.33252314815</v>
      </c>
      <c r="C253">
        <v>80</v>
      </c>
      <c r="D253">
        <v>79.726303100999999</v>
      </c>
      <c r="E253">
        <v>50</v>
      </c>
      <c r="F253">
        <v>16.624080658</v>
      </c>
      <c r="G253">
        <v>1345.5418701000001</v>
      </c>
      <c r="H253">
        <v>1341.2258300999999</v>
      </c>
      <c r="I253">
        <v>1315.8122559000001</v>
      </c>
      <c r="J253">
        <v>1306.4222411999999</v>
      </c>
      <c r="K253">
        <v>550</v>
      </c>
      <c r="L253">
        <v>0</v>
      </c>
      <c r="M253">
        <v>0</v>
      </c>
      <c r="N253">
        <v>550</v>
      </c>
    </row>
    <row r="254" spans="1:14" x14ac:dyDescent="0.25">
      <c r="A254">
        <v>122.05615400000001</v>
      </c>
      <c r="B254" s="1">
        <f>DATE(2010,8,31) + TIME(1,20,51)</f>
        <v>40421.056145833332</v>
      </c>
      <c r="C254">
        <v>80</v>
      </c>
      <c r="D254">
        <v>79.726516724000007</v>
      </c>
      <c r="E254">
        <v>50</v>
      </c>
      <c r="F254">
        <v>16.706830977999999</v>
      </c>
      <c r="G254">
        <v>1345.5306396000001</v>
      </c>
      <c r="H254">
        <v>1341.2159423999999</v>
      </c>
      <c r="I254">
        <v>1315.8299560999999</v>
      </c>
      <c r="J254">
        <v>1306.4450684000001</v>
      </c>
      <c r="K254">
        <v>550</v>
      </c>
      <c r="L254">
        <v>0</v>
      </c>
      <c r="M254">
        <v>0</v>
      </c>
      <c r="N254">
        <v>550</v>
      </c>
    </row>
    <row r="255" spans="1:14" x14ac:dyDescent="0.25">
      <c r="A255">
        <v>123</v>
      </c>
      <c r="B255" s="1">
        <f>DATE(2010,9,1) + TIME(0,0,0)</f>
        <v>40422</v>
      </c>
      <c r="C255">
        <v>80</v>
      </c>
      <c r="D255">
        <v>79.726806640999996</v>
      </c>
      <c r="E255">
        <v>50</v>
      </c>
      <c r="F255">
        <v>16.812870025999999</v>
      </c>
      <c r="G255">
        <v>1345.5194091999999</v>
      </c>
      <c r="H255">
        <v>1341.2060547000001</v>
      </c>
      <c r="I255">
        <v>1315.8455810999999</v>
      </c>
      <c r="J255">
        <v>1306.4694824000001</v>
      </c>
      <c r="K255">
        <v>550</v>
      </c>
      <c r="L255">
        <v>0</v>
      </c>
      <c r="M255">
        <v>0</v>
      </c>
      <c r="N255">
        <v>550</v>
      </c>
    </row>
    <row r="256" spans="1:14" x14ac:dyDescent="0.25">
      <c r="A256">
        <v>123.72362800000001</v>
      </c>
      <c r="B256" s="1">
        <f>DATE(2010,9,1) + TIME(17,22,1)</f>
        <v>40422.723622685182</v>
      </c>
      <c r="C256">
        <v>80</v>
      </c>
      <c r="D256">
        <v>79.727020264000004</v>
      </c>
      <c r="E256">
        <v>50</v>
      </c>
      <c r="F256">
        <v>16.903118134</v>
      </c>
      <c r="G256">
        <v>1345.5046387</v>
      </c>
      <c r="H256">
        <v>1341.1931152</v>
      </c>
      <c r="I256">
        <v>1315.8714600000001</v>
      </c>
      <c r="J256">
        <v>1306.4986572</v>
      </c>
      <c r="K256">
        <v>550</v>
      </c>
      <c r="L256">
        <v>0</v>
      </c>
      <c r="M256">
        <v>0</v>
      </c>
      <c r="N256">
        <v>550</v>
      </c>
    </row>
    <row r="257" spans="1:14" x14ac:dyDescent="0.25">
      <c r="A257">
        <v>125.170884</v>
      </c>
      <c r="B257" s="1">
        <f>DATE(2010,9,3) + TIME(4,6,4)</f>
        <v>40424.17087962963</v>
      </c>
      <c r="C257">
        <v>80</v>
      </c>
      <c r="D257">
        <v>79.727485657000003</v>
      </c>
      <c r="E257">
        <v>50</v>
      </c>
      <c r="F257">
        <v>17.061964034999999</v>
      </c>
      <c r="G257">
        <v>1345.4935303</v>
      </c>
      <c r="H257">
        <v>1341.1834716999999</v>
      </c>
      <c r="I257">
        <v>1315.8833007999999</v>
      </c>
      <c r="J257">
        <v>1306.527832</v>
      </c>
      <c r="K257">
        <v>550</v>
      </c>
      <c r="L257">
        <v>0</v>
      </c>
      <c r="M257">
        <v>0</v>
      </c>
      <c r="N257">
        <v>550</v>
      </c>
    </row>
    <row r="258" spans="1:14" x14ac:dyDescent="0.25">
      <c r="A258">
        <v>126.619989</v>
      </c>
      <c r="B258" s="1">
        <f>DATE(2010,9,4) + TIME(14,52,47)</f>
        <v>40425.619988425926</v>
      </c>
      <c r="C258">
        <v>80</v>
      </c>
      <c r="D258">
        <v>79.727943420000003</v>
      </c>
      <c r="E258">
        <v>50</v>
      </c>
      <c r="F258">
        <v>17.238920212</v>
      </c>
      <c r="G258">
        <v>1345.4713135</v>
      </c>
      <c r="H258">
        <v>1341.1639404</v>
      </c>
      <c r="I258">
        <v>1315.9205322</v>
      </c>
      <c r="J258">
        <v>1306.5761719</v>
      </c>
      <c r="K258">
        <v>550</v>
      </c>
      <c r="L258">
        <v>0</v>
      </c>
      <c r="M258">
        <v>0</v>
      </c>
      <c r="N258">
        <v>550</v>
      </c>
    </row>
    <row r="259" spans="1:14" x14ac:dyDescent="0.25">
      <c r="A259">
        <v>128.08687800000001</v>
      </c>
      <c r="B259" s="1">
        <f>DATE(2010,9,6) + TIME(2,5,6)</f>
        <v>40427.086875000001</v>
      </c>
      <c r="C259">
        <v>80</v>
      </c>
      <c r="D259">
        <v>79.728393554999997</v>
      </c>
      <c r="E259">
        <v>50</v>
      </c>
      <c r="F259">
        <v>17.434253692999999</v>
      </c>
      <c r="G259">
        <v>1345.4490966999999</v>
      </c>
      <c r="H259">
        <v>1341.1444091999999</v>
      </c>
      <c r="I259">
        <v>1315.9576416</v>
      </c>
      <c r="J259">
        <v>1306.6269531</v>
      </c>
      <c r="K259">
        <v>550</v>
      </c>
      <c r="L259">
        <v>0</v>
      </c>
      <c r="M259">
        <v>0</v>
      </c>
      <c r="N259">
        <v>550</v>
      </c>
    </row>
    <row r="260" spans="1:14" x14ac:dyDescent="0.25">
      <c r="A260">
        <v>129.57423399999999</v>
      </c>
      <c r="B260" s="1">
        <f>DATE(2010,9,7) + TIME(13,46,53)</f>
        <v>40428.574224537035</v>
      </c>
      <c r="C260">
        <v>80</v>
      </c>
      <c r="D260">
        <v>79.728843689000001</v>
      </c>
      <c r="E260">
        <v>50</v>
      </c>
      <c r="F260">
        <v>17.648004532000002</v>
      </c>
      <c r="G260">
        <v>1345.4267577999999</v>
      </c>
      <c r="H260">
        <v>1341.1247559000001</v>
      </c>
      <c r="I260">
        <v>1315.9952393000001</v>
      </c>
      <c r="J260">
        <v>1306.6807861</v>
      </c>
      <c r="K260">
        <v>550</v>
      </c>
      <c r="L260">
        <v>0</v>
      </c>
      <c r="M260">
        <v>0</v>
      </c>
      <c r="N260">
        <v>550</v>
      </c>
    </row>
    <row r="261" spans="1:14" x14ac:dyDescent="0.25">
      <c r="A261">
        <v>131.085002</v>
      </c>
      <c r="B261" s="1">
        <f>DATE(2010,9,9) + TIME(2,2,24)</f>
        <v>40430.084999999999</v>
      </c>
      <c r="C261">
        <v>80</v>
      </c>
      <c r="D261">
        <v>79.729301453000005</v>
      </c>
      <c r="E261">
        <v>50</v>
      </c>
      <c r="F261">
        <v>17.880554198999999</v>
      </c>
      <c r="G261">
        <v>1345.4041748</v>
      </c>
      <c r="H261">
        <v>1341.1049805</v>
      </c>
      <c r="I261">
        <v>1316.0334473</v>
      </c>
      <c r="J261">
        <v>1306.737793</v>
      </c>
      <c r="K261">
        <v>550</v>
      </c>
      <c r="L261">
        <v>0</v>
      </c>
      <c r="M261">
        <v>0</v>
      </c>
      <c r="N261">
        <v>550</v>
      </c>
    </row>
    <row r="262" spans="1:14" x14ac:dyDescent="0.25">
      <c r="A262">
        <v>132.62454600000001</v>
      </c>
      <c r="B262" s="1">
        <f>DATE(2010,9,10) + TIME(14,59,20)</f>
        <v>40431.624537037038</v>
      </c>
      <c r="C262">
        <v>80</v>
      </c>
      <c r="D262">
        <v>79.729774474999999</v>
      </c>
      <c r="E262">
        <v>50</v>
      </c>
      <c r="F262">
        <v>18.132808685000001</v>
      </c>
      <c r="G262">
        <v>1345.3814697</v>
      </c>
      <c r="H262">
        <v>1341.0849608999999</v>
      </c>
      <c r="I262">
        <v>1316.0722656</v>
      </c>
      <c r="J262">
        <v>1306.7980957</v>
      </c>
      <c r="K262">
        <v>550</v>
      </c>
      <c r="L262">
        <v>0</v>
      </c>
      <c r="M262">
        <v>0</v>
      </c>
      <c r="N262">
        <v>550</v>
      </c>
    </row>
    <row r="263" spans="1:14" x14ac:dyDescent="0.25">
      <c r="A263">
        <v>133.39710099999999</v>
      </c>
      <c r="B263" s="1">
        <f>DATE(2010,9,11) + TIME(9,31,49)</f>
        <v>40432.397094907406</v>
      </c>
      <c r="C263">
        <v>80</v>
      </c>
      <c r="D263">
        <v>79.729980468999997</v>
      </c>
      <c r="E263">
        <v>50</v>
      </c>
      <c r="F263">
        <v>18.292612076000001</v>
      </c>
      <c r="G263">
        <v>1345.3583983999999</v>
      </c>
      <c r="H263">
        <v>1341.0645752</v>
      </c>
      <c r="I263">
        <v>1316.1220702999999</v>
      </c>
      <c r="J263">
        <v>1306.8536377</v>
      </c>
      <c r="K263">
        <v>550</v>
      </c>
      <c r="L263">
        <v>0</v>
      </c>
      <c r="M263">
        <v>0</v>
      </c>
      <c r="N263">
        <v>550</v>
      </c>
    </row>
    <row r="264" spans="1:14" x14ac:dyDescent="0.25">
      <c r="A264">
        <v>134.169656</v>
      </c>
      <c r="B264" s="1">
        <f>DATE(2010,9,12) + TIME(4,4,18)</f>
        <v>40433.169652777775</v>
      </c>
      <c r="C264">
        <v>80</v>
      </c>
      <c r="D264">
        <v>79.730194092000005</v>
      </c>
      <c r="E264">
        <v>50</v>
      </c>
      <c r="F264">
        <v>18.452596664000001</v>
      </c>
      <c r="G264">
        <v>1345.3468018000001</v>
      </c>
      <c r="H264">
        <v>1341.0543213000001</v>
      </c>
      <c r="I264">
        <v>1316.1408690999999</v>
      </c>
      <c r="J264">
        <v>1306.8885498</v>
      </c>
      <c r="K264">
        <v>550</v>
      </c>
      <c r="L264">
        <v>0</v>
      </c>
      <c r="M264">
        <v>0</v>
      </c>
      <c r="N264">
        <v>550</v>
      </c>
    </row>
    <row r="265" spans="1:14" x14ac:dyDescent="0.25">
      <c r="A265">
        <v>134.94221099999999</v>
      </c>
      <c r="B265" s="1">
        <f>DATE(2010,9,12) + TIME(22,36,47)</f>
        <v>40433.942210648151</v>
      </c>
      <c r="C265">
        <v>80</v>
      </c>
      <c r="D265">
        <v>79.730415343999994</v>
      </c>
      <c r="E265">
        <v>50</v>
      </c>
      <c r="F265">
        <v>18.613380432</v>
      </c>
      <c r="G265">
        <v>1345.3353271000001</v>
      </c>
      <c r="H265">
        <v>1341.0441894999999</v>
      </c>
      <c r="I265">
        <v>1316.1599120999999</v>
      </c>
      <c r="J265">
        <v>1306.9238281</v>
      </c>
      <c r="K265">
        <v>550</v>
      </c>
      <c r="L265">
        <v>0</v>
      </c>
      <c r="M265">
        <v>0</v>
      </c>
      <c r="N265">
        <v>550</v>
      </c>
    </row>
    <row r="266" spans="1:14" x14ac:dyDescent="0.25">
      <c r="A266">
        <v>135.714766</v>
      </c>
      <c r="B266" s="1">
        <f>DATE(2010,9,13) + TIME(17,9,15)</f>
        <v>40434.714756944442</v>
      </c>
      <c r="C266">
        <v>80</v>
      </c>
      <c r="D266">
        <v>79.730644225999995</v>
      </c>
      <c r="E266">
        <v>50</v>
      </c>
      <c r="F266">
        <v>18.775445938000001</v>
      </c>
      <c r="G266">
        <v>1345.3238524999999</v>
      </c>
      <c r="H266">
        <v>1341.0340576000001</v>
      </c>
      <c r="I266">
        <v>1316.1791992000001</v>
      </c>
      <c r="J266">
        <v>1306.9594727000001</v>
      </c>
      <c r="K266">
        <v>550</v>
      </c>
      <c r="L266">
        <v>0</v>
      </c>
      <c r="M266">
        <v>0</v>
      </c>
      <c r="N266">
        <v>550</v>
      </c>
    </row>
    <row r="267" spans="1:14" x14ac:dyDescent="0.25">
      <c r="A267">
        <v>136.48732100000001</v>
      </c>
      <c r="B267" s="1">
        <f>DATE(2010,9,14) + TIME(11,41,44)</f>
        <v>40435.487314814818</v>
      </c>
      <c r="C267">
        <v>80</v>
      </c>
      <c r="D267">
        <v>79.730865479000002</v>
      </c>
      <c r="E267">
        <v>50</v>
      </c>
      <c r="F267">
        <v>18.939161300999999</v>
      </c>
      <c r="G267">
        <v>1345.3125</v>
      </c>
      <c r="H267">
        <v>1341.0239257999999</v>
      </c>
      <c r="I267">
        <v>1316.1987305</v>
      </c>
      <c r="J267">
        <v>1306.9954834</v>
      </c>
      <c r="K267">
        <v>550</v>
      </c>
      <c r="L267">
        <v>0</v>
      </c>
      <c r="M267">
        <v>0</v>
      </c>
      <c r="N267">
        <v>550</v>
      </c>
    </row>
    <row r="268" spans="1:14" x14ac:dyDescent="0.25">
      <c r="A268">
        <v>137.25987599999999</v>
      </c>
      <c r="B268" s="1">
        <f>DATE(2010,9,15) + TIME(6,14,13)</f>
        <v>40436.259872685187</v>
      </c>
      <c r="C268">
        <v>80</v>
      </c>
      <c r="D268">
        <v>79.73109436</v>
      </c>
      <c r="E268">
        <v>50</v>
      </c>
      <c r="F268">
        <v>19.104829788</v>
      </c>
      <c r="G268">
        <v>1345.3012695</v>
      </c>
      <c r="H268">
        <v>1341.0139160000001</v>
      </c>
      <c r="I268">
        <v>1316.2183838000001</v>
      </c>
      <c r="J268">
        <v>1307.0321045000001</v>
      </c>
      <c r="K268">
        <v>550</v>
      </c>
      <c r="L268">
        <v>0</v>
      </c>
      <c r="M268">
        <v>0</v>
      </c>
      <c r="N268">
        <v>550</v>
      </c>
    </row>
    <row r="269" spans="1:14" x14ac:dyDescent="0.25">
      <c r="A269">
        <v>138.03243000000001</v>
      </c>
      <c r="B269" s="1">
        <f>DATE(2010,9,16) + TIME(0,46,41)</f>
        <v>40437.032418981478</v>
      </c>
      <c r="C269">
        <v>80</v>
      </c>
      <c r="D269">
        <v>79.731323242000002</v>
      </c>
      <c r="E269">
        <v>50</v>
      </c>
      <c r="F269">
        <v>19.272678375000002</v>
      </c>
      <c r="G269">
        <v>1345.2899170000001</v>
      </c>
      <c r="H269">
        <v>1341.0039062000001</v>
      </c>
      <c r="I269">
        <v>1316.2381591999999</v>
      </c>
      <c r="J269">
        <v>1307.0692139</v>
      </c>
      <c r="K269">
        <v>550</v>
      </c>
      <c r="L269">
        <v>0</v>
      </c>
      <c r="M269">
        <v>0</v>
      </c>
      <c r="N269">
        <v>550</v>
      </c>
    </row>
    <row r="270" spans="1:14" x14ac:dyDescent="0.25">
      <c r="A270">
        <v>138.80498499999999</v>
      </c>
      <c r="B270" s="1">
        <f>DATE(2010,9,16) + TIME(19,19,10)</f>
        <v>40437.804976851854</v>
      </c>
      <c r="C270">
        <v>80</v>
      </c>
      <c r="D270">
        <v>79.731559752999999</v>
      </c>
      <c r="E270">
        <v>50</v>
      </c>
      <c r="F270">
        <v>19.442880630000001</v>
      </c>
      <c r="G270">
        <v>1345.2786865</v>
      </c>
      <c r="H270">
        <v>1340.9938964999999</v>
      </c>
      <c r="I270">
        <v>1316.2581786999999</v>
      </c>
      <c r="J270">
        <v>1307.1066894999999</v>
      </c>
      <c r="K270">
        <v>550</v>
      </c>
      <c r="L270">
        <v>0</v>
      </c>
      <c r="M270">
        <v>0</v>
      </c>
      <c r="N270">
        <v>550</v>
      </c>
    </row>
    <row r="271" spans="1:14" x14ac:dyDescent="0.25">
      <c r="A271">
        <v>139.57754</v>
      </c>
      <c r="B271" s="1">
        <f>DATE(2010,9,17) + TIME(13,51,39)</f>
        <v>40438.577534722222</v>
      </c>
      <c r="C271">
        <v>80</v>
      </c>
      <c r="D271">
        <v>79.731788635000001</v>
      </c>
      <c r="E271">
        <v>50</v>
      </c>
      <c r="F271">
        <v>19.615556717</v>
      </c>
      <c r="G271">
        <v>1345.2674560999999</v>
      </c>
      <c r="H271">
        <v>1340.9840088000001</v>
      </c>
      <c r="I271">
        <v>1316.2781981999999</v>
      </c>
      <c r="J271">
        <v>1307.1447754000001</v>
      </c>
      <c r="K271">
        <v>550</v>
      </c>
      <c r="L271">
        <v>0</v>
      </c>
      <c r="M271">
        <v>0</v>
      </c>
      <c r="N271">
        <v>550</v>
      </c>
    </row>
    <row r="272" spans="1:14" x14ac:dyDescent="0.25">
      <c r="A272">
        <v>140.35009500000001</v>
      </c>
      <c r="B272" s="1">
        <f>DATE(2010,9,18) + TIME(8,24,8)</f>
        <v>40439.350092592591</v>
      </c>
      <c r="C272">
        <v>80</v>
      </c>
      <c r="D272">
        <v>79.732017517000003</v>
      </c>
      <c r="E272">
        <v>50</v>
      </c>
      <c r="F272">
        <v>19.790782927999999</v>
      </c>
      <c r="G272">
        <v>1345.2563477000001</v>
      </c>
      <c r="H272">
        <v>1340.9741211</v>
      </c>
      <c r="I272">
        <v>1316.2982178</v>
      </c>
      <c r="J272">
        <v>1307.1834716999999</v>
      </c>
      <c r="K272">
        <v>550</v>
      </c>
      <c r="L272">
        <v>0</v>
      </c>
      <c r="M272">
        <v>0</v>
      </c>
      <c r="N272">
        <v>550</v>
      </c>
    </row>
    <row r="273" spans="1:14" x14ac:dyDescent="0.25">
      <c r="A273">
        <v>141.895205</v>
      </c>
      <c r="B273" s="1">
        <f>DATE(2010,9,19) + TIME(21,29,5)</f>
        <v>40440.895196759258</v>
      </c>
      <c r="C273">
        <v>80</v>
      </c>
      <c r="D273">
        <v>79.732521057</v>
      </c>
      <c r="E273">
        <v>50</v>
      </c>
      <c r="F273">
        <v>20.090013504000002</v>
      </c>
      <c r="G273">
        <v>1345.2454834</v>
      </c>
      <c r="H273">
        <v>1340.9643555</v>
      </c>
      <c r="I273">
        <v>1316.3082274999999</v>
      </c>
      <c r="J273">
        <v>1307.2320557</v>
      </c>
      <c r="K273">
        <v>550</v>
      </c>
      <c r="L273">
        <v>0</v>
      </c>
      <c r="M273">
        <v>0</v>
      </c>
      <c r="N273">
        <v>550</v>
      </c>
    </row>
    <row r="274" spans="1:14" x14ac:dyDescent="0.25">
      <c r="A274">
        <v>143.44398699999999</v>
      </c>
      <c r="B274" s="1">
        <f>DATE(2010,9,21) + TIME(10,39,20)</f>
        <v>40442.443981481483</v>
      </c>
      <c r="C274">
        <v>80</v>
      </c>
      <c r="D274">
        <v>79.733001709000007</v>
      </c>
      <c r="E274">
        <v>50</v>
      </c>
      <c r="F274">
        <v>20.416913986000001</v>
      </c>
      <c r="G274">
        <v>1345.2233887</v>
      </c>
      <c r="H274">
        <v>1340.9448242000001</v>
      </c>
      <c r="I274">
        <v>1316.3510742000001</v>
      </c>
      <c r="J274">
        <v>1307.3076172000001</v>
      </c>
      <c r="K274">
        <v>550</v>
      </c>
      <c r="L274">
        <v>0</v>
      </c>
      <c r="M274">
        <v>0</v>
      </c>
      <c r="N274">
        <v>550</v>
      </c>
    </row>
    <row r="275" spans="1:14" x14ac:dyDescent="0.25">
      <c r="A275">
        <v>145.019454</v>
      </c>
      <c r="B275" s="1">
        <f>DATE(2010,9,23) + TIME(0,28,0)</f>
        <v>40444.019444444442</v>
      </c>
      <c r="C275">
        <v>80</v>
      </c>
      <c r="D275">
        <v>79.733489989999995</v>
      </c>
      <c r="E275">
        <v>50</v>
      </c>
      <c r="F275">
        <v>20.769714355000001</v>
      </c>
      <c r="G275">
        <v>1345.2015381000001</v>
      </c>
      <c r="H275">
        <v>1340.9254149999999</v>
      </c>
      <c r="I275">
        <v>1316.3931885</v>
      </c>
      <c r="J275">
        <v>1307.3867187999999</v>
      </c>
      <c r="K275">
        <v>550</v>
      </c>
      <c r="L275">
        <v>0</v>
      </c>
      <c r="M275">
        <v>0</v>
      </c>
      <c r="N275">
        <v>550</v>
      </c>
    </row>
    <row r="276" spans="1:14" x14ac:dyDescent="0.25">
      <c r="A276">
        <v>146.62551199999999</v>
      </c>
      <c r="B276" s="1">
        <f>DATE(2010,9,24) + TIME(15,0,44)</f>
        <v>40445.625509259262</v>
      </c>
      <c r="C276">
        <v>80</v>
      </c>
      <c r="D276">
        <v>79.733978270999998</v>
      </c>
      <c r="E276">
        <v>50</v>
      </c>
      <c r="F276">
        <v>21.14632988</v>
      </c>
      <c r="G276">
        <v>1345.1794434000001</v>
      </c>
      <c r="H276">
        <v>1340.9057617000001</v>
      </c>
      <c r="I276">
        <v>1316.4357910000001</v>
      </c>
      <c r="J276">
        <v>1307.4699707</v>
      </c>
      <c r="K276">
        <v>550</v>
      </c>
      <c r="L276">
        <v>0</v>
      </c>
      <c r="M276">
        <v>0</v>
      </c>
      <c r="N276">
        <v>550</v>
      </c>
    </row>
    <row r="277" spans="1:14" x14ac:dyDescent="0.25">
      <c r="A277">
        <v>148.265615</v>
      </c>
      <c r="B277" s="1">
        <f>DATE(2010,9,26) + TIME(6,22,29)</f>
        <v>40447.265613425923</v>
      </c>
      <c r="C277">
        <v>80</v>
      </c>
      <c r="D277">
        <v>79.734474182</v>
      </c>
      <c r="E277">
        <v>50</v>
      </c>
      <c r="F277">
        <v>21.545331955000002</v>
      </c>
      <c r="G277">
        <v>1345.1571045000001</v>
      </c>
      <c r="H277">
        <v>1340.8859863</v>
      </c>
      <c r="I277">
        <v>1316.479126</v>
      </c>
      <c r="J277">
        <v>1307.557251</v>
      </c>
      <c r="K277">
        <v>550</v>
      </c>
      <c r="L277">
        <v>0</v>
      </c>
      <c r="M277">
        <v>0</v>
      </c>
      <c r="N277">
        <v>550</v>
      </c>
    </row>
    <row r="278" spans="1:14" x14ac:dyDescent="0.25">
      <c r="A278">
        <v>149.94345300000001</v>
      </c>
      <c r="B278" s="1">
        <f>DATE(2010,9,27) + TIME(22,38,34)</f>
        <v>40448.943449074075</v>
      </c>
      <c r="C278">
        <v>80</v>
      </c>
      <c r="D278">
        <v>79.734977721999996</v>
      </c>
      <c r="E278">
        <v>50</v>
      </c>
      <c r="F278">
        <v>21.965797424000002</v>
      </c>
      <c r="G278">
        <v>1345.1345214999999</v>
      </c>
      <c r="H278">
        <v>1340.8659668</v>
      </c>
      <c r="I278">
        <v>1316.5234375</v>
      </c>
      <c r="J278">
        <v>1307.6488036999999</v>
      </c>
      <c r="K278">
        <v>550</v>
      </c>
      <c r="L278">
        <v>0</v>
      </c>
      <c r="M278">
        <v>0</v>
      </c>
      <c r="N278">
        <v>550</v>
      </c>
    </row>
    <row r="279" spans="1:14" x14ac:dyDescent="0.25">
      <c r="A279">
        <v>151.65704400000001</v>
      </c>
      <c r="B279" s="1">
        <f>DATE(2010,9,29) + TIME(15,46,8)</f>
        <v>40450.657037037039</v>
      </c>
      <c r="C279">
        <v>80</v>
      </c>
      <c r="D279">
        <v>79.735488892000006</v>
      </c>
      <c r="E279">
        <v>50</v>
      </c>
      <c r="F279">
        <v>22.406181334999999</v>
      </c>
      <c r="G279">
        <v>1345.1116943</v>
      </c>
      <c r="H279">
        <v>1340.8457031</v>
      </c>
      <c r="I279">
        <v>1316.5689697</v>
      </c>
      <c r="J279">
        <v>1307.7445068</v>
      </c>
      <c r="K279">
        <v>550</v>
      </c>
      <c r="L279">
        <v>0</v>
      </c>
      <c r="M279">
        <v>0</v>
      </c>
      <c r="N279">
        <v>550</v>
      </c>
    </row>
    <row r="280" spans="1:14" x14ac:dyDescent="0.25">
      <c r="A280">
        <v>153</v>
      </c>
      <c r="B280" s="1">
        <f>DATE(2010,10,1) + TIME(0,0,0)</f>
        <v>40452</v>
      </c>
      <c r="C280">
        <v>80</v>
      </c>
      <c r="D280">
        <v>79.735870360999996</v>
      </c>
      <c r="E280">
        <v>50</v>
      </c>
      <c r="F280">
        <v>22.790060043</v>
      </c>
      <c r="G280">
        <v>1345.0886230000001</v>
      </c>
      <c r="H280">
        <v>1340.8251952999999</v>
      </c>
      <c r="I280">
        <v>1316.6209716999999</v>
      </c>
      <c r="J280">
        <v>1307.8378906</v>
      </c>
      <c r="K280">
        <v>550</v>
      </c>
      <c r="L280">
        <v>0</v>
      </c>
      <c r="M280">
        <v>0</v>
      </c>
      <c r="N280">
        <v>550</v>
      </c>
    </row>
    <row r="281" spans="1:14" x14ac:dyDescent="0.25">
      <c r="A281">
        <v>154.720168</v>
      </c>
      <c r="B281" s="1">
        <f>DATE(2010,10,2) + TIME(17,17,2)</f>
        <v>40453.72016203704</v>
      </c>
      <c r="C281">
        <v>80</v>
      </c>
      <c r="D281">
        <v>79.736389160000002</v>
      </c>
      <c r="E281">
        <v>50</v>
      </c>
      <c r="F281">
        <v>23.241424560999999</v>
      </c>
      <c r="G281">
        <v>1345.0706786999999</v>
      </c>
      <c r="H281">
        <v>1340.8092041</v>
      </c>
      <c r="I281">
        <v>1316.6524658000001</v>
      </c>
      <c r="J281">
        <v>1307.9256591999999</v>
      </c>
      <c r="K281">
        <v>550</v>
      </c>
      <c r="L281">
        <v>0</v>
      </c>
      <c r="M281">
        <v>0</v>
      </c>
      <c r="N281">
        <v>550</v>
      </c>
    </row>
    <row r="282" spans="1:14" x14ac:dyDescent="0.25">
      <c r="A282">
        <v>156.47212999999999</v>
      </c>
      <c r="B282" s="1">
        <f>DATE(2010,10,4) + TIME(11,19,52)</f>
        <v>40455.472129629627</v>
      </c>
      <c r="C282">
        <v>80</v>
      </c>
      <c r="D282">
        <v>79.736907959000007</v>
      </c>
      <c r="E282">
        <v>50</v>
      </c>
      <c r="F282">
        <v>23.70999527</v>
      </c>
      <c r="G282">
        <v>1345.0479736</v>
      </c>
      <c r="H282">
        <v>1340.7891846</v>
      </c>
      <c r="I282">
        <v>1316.7005615</v>
      </c>
      <c r="J282">
        <v>1308.0288086</v>
      </c>
      <c r="K282">
        <v>550</v>
      </c>
      <c r="L282">
        <v>0</v>
      </c>
      <c r="M282">
        <v>0</v>
      </c>
      <c r="N282">
        <v>550</v>
      </c>
    </row>
    <row r="283" spans="1:14" x14ac:dyDescent="0.25">
      <c r="A283">
        <v>158.249763</v>
      </c>
      <c r="B283" s="1">
        <f>DATE(2010,10,6) + TIME(5,59,39)</f>
        <v>40457.249756944446</v>
      </c>
      <c r="C283">
        <v>80</v>
      </c>
      <c r="D283">
        <v>79.737434386999993</v>
      </c>
      <c r="E283">
        <v>50</v>
      </c>
      <c r="F283">
        <v>24.192670822</v>
      </c>
      <c r="G283">
        <v>1345.0251464999999</v>
      </c>
      <c r="H283">
        <v>1340.7689209</v>
      </c>
      <c r="I283">
        <v>1316.75</v>
      </c>
      <c r="J283">
        <v>1308.1356201000001</v>
      </c>
      <c r="K283">
        <v>550</v>
      </c>
      <c r="L283">
        <v>0</v>
      </c>
      <c r="M283">
        <v>0</v>
      </c>
      <c r="N283">
        <v>550</v>
      </c>
    </row>
    <row r="284" spans="1:14" x14ac:dyDescent="0.25">
      <c r="A284">
        <v>160.058592</v>
      </c>
      <c r="B284" s="1">
        <f>DATE(2010,10,8) + TIME(1,24,22)</f>
        <v>40459.058587962965</v>
      </c>
      <c r="C284">
        <v>80</v>
      </c>
      <c r="D284">
        <v>79.737968445000007</v>
      </c>
      <c r="E284">
        <v>50</v>
      </c>
      <c r="F284">
        <v>24.688358307000001</v>
      </c>
      <c r="G284">
        <v>1345.0023193</v>
      </c>
      <c r="H284">
        <v>1340.7486572</v>
      </c>
      <c r="I284">
        <v>1316.8005370999999</v>
      </c>
      <c r="J284">
        <v>1308.2458495999999</v>
      </c>
      <c r="K284">
        <v>550</v>
      </c>
      <c r="L284">
        <v>0</v>
      </c>
      <c r="M284">
        <v>0</v>
      </c>
      <c r="N284">
        <v>550</v>
      </c>
    </row>
    <row r="285" spans="1:14" x14ac:dyDescent="0.25">
      <c r="A285">
        <v>161.90393399999999</v>
      </c>
      <c r="B285" s="1">
        <f>DATE(2010,10,9) + TIME(21,41,39)</f>
        <v>40460.903923611113</v>
      </c>
      <c r="C285">
        <v>80</v>
      </c>
      <c r="D285">
        <v>79.738502502000003</v>
      </c>
      <c r="E285">
        <v>50</v>
      </c>
      <c r="F285">
        <v>25.196601867999998</v>
      </c>
      <c r="G285">
        <v>1344.9792480000001</v>
      </c>
      <c r="H285">
        <v>1340.7283935999999</v>
      </c>
      <c r="I285">
        <v>1316.8525391000001</v>
      </c>
      <c r="J285">
        <v>1308.359375</v>
      </c>
      <c r="K285">
        <v>550</v>
      </c>
      <c r="L285">
        <v>0</v>
      </c>
      <c r="M285">
        <v>0</v>
      </c>
      <c r="N285">
        <v>550</v>
      </c>
    </row>
    <row r="286" spans="1:14" x14ac:dyDescent="0.25">
      <c r="A286">
        <v>163.791088</v>
      </c>
      <c r="B286" s="1">
        <f>DATE(2010,10,11) + TIME(18,59,10)</f>
        <v>40462.791087962964</v>
      </c>
      <c r="C286">
        <v>80</v>
      </c>
      <c r="D286">
        <v>79.739051818999997</v>
      </c>
      <c r="E286">
        <v>50</v>
      </c>
      <c r="F286">
        <v>25.717205048</v>
      </c>
      <c r="G286">
        <v>1344.9561768000001</v>
      </c>
      <c r="H286">
        <v>1340.7080077999999</v>
      </c>
      <c r="I286">
        <v>1316.9061279</v>
      </c>
      <c r="J286">
        <v>1308.4766846</v>
      </c>
      <c r="K286">
        <v>550</v>
      </c>
      <c r="L286">
        <v>0</v>
      </c>
      <c r="M286">
        <v>0</v>
      </c>
      <c r="N286">
        <v>550</v>
      </c>
    </row>
    <row r="287" spans="1:14" x14ac:dyDescent="0.25">
      <c r="A287">
        <v>165.72521399999999</v>
      </c>
      <c r="B287" s="1">
        <f>DATE(2010,10,13) + TIME(17,24,18)</f>
        <v>40464.725208333337</v>
      </c>
      <c r="C287">
        <v>80</v>
      </c>
      <c r="D287">
        <v>79.739608765</v>
      </c>
      <c r="E287">
        <v>50</v>
      </c>
      <c r="F287">
        <v>26.249725342000001</v>
      </c>
      <c r="G287">
        <v>1344.9329834</v>
      </c>
      <c r="H287">
        <v>1340.6875</v>
      </c>
      <c r="I287">
        <v>1316.9615478999999</v>
      </c>
      <c r="J287">
        <v>1308.5975341999999</v>
      </c>
      <c r="K287">
        <v>550</v>
      </c>
      <c r="L287">
        <v>0</v>
      </c>
      <c r="M287">
        <v>0</v>
      </c>
      <c r="N287">
        <v>550</v>
      </c>
    </row>
    <row r="288" spans="1:14" x14ac:dyDescent="0.25">
      <c r="A288">
        <v>167.68634399999999</v>
      </c>
      <c r="B288" s="1">
        <f>DATE(2010,10,15) + TIME(16,28,20)</f>
        <v>40466.686342592591</v>
      </c>
      <c r="C288">
        <v>80</v>
      </c>
      <c r="D288">
        <v>79.740173339999998</v>
      </c>
      <c r="E288">
        <v>50</v>
      </c>
      <c r="F288">
        <v>26.789812088000001</v>
      </c>
      <c r="G288">
        <v>1344.9094238</v>
      </c>
      <c r="H288">
        <v>1340.6668701000001</v>
      </c>
      <c r="I288">
        <v>1317.0191649999999</v>
      </c>
      <c r="J288">
        <v>1308.7219238</v>
      </c>
      <c r="K288">
        <v>550</v>
      </c>
      <c r="L288">
        <v>0</v>
      </c>
      <c r="M288">
        <v>0</v>
      </c>
      <c r="N288">
        <v>550</v>
      </c>
    </row>
    <row r="289" spans="1:14" x14ac:dyDescent="0.25">
      <c r="A289">
        <v>169.67981399999999</v>
      </c>
      <c r="B289" s="1">
        <f>DATE(2010,10,17) + TIME(16,18,55)</f>
        <v>40468.679803240739</v>
      </c>
      <c r="C289">
        <v>80</v>
      </c>
      <c r="D289">
        <v>79.740737914999997</v>
      </c>
      <c r="E289">
        <v>50</v>
      </c>
      <c r="F289">
        <v>27.336439132999999</v>
      </c>
      <c r="G289">
        <v>1344.8859863</v>
      </c>
      <c r="H289">
        <v>1340.6463623</v>
      </c>
      <c r="I289">
        <v>1317.0782471</v>
      </c>
      <c r="J289">
        <v>1308.848999</v>
      </c>
      <c r="K289">
        <v>550</v>
      </c>
      <c r="L289">
        <v>0</v>
      </c>
      <c r="M289">
        <v>0</v>
      </c>
      <c r="N289">
        <v>550</v>
      </c>
    </row>
    <row r="290" spans="1:14" x14ac:dyDescent="0.25">
      <c r="A290">
        <v>171.70477</v>
      </c>
      <c r="B290" s="1">
        <f>DATE(2010,10,19) + TIME(16,54,52)</f>
        <v>40470.704768518517</v>
      </c>
      <c r="C290">
        <v>80</v>
      </c>
      <c r="D290">
        <v>79.741310119999994</v>
      </c>
      <c r="E290">
        <v>50</v>
      </c>
      <c r="F290">
        <v>27.887990951999999</v>
      </c>
      <c r="G290">
        <v>1344.8626709</v>
      </c>
      <c r="H290">
        <v>1340.6258545000001</v>
      </c>
      <c r="I290">
        <v>1317.1389160000001</v>
      </c>
      <c r="J290">
        <v>1308.9785156</v>
      </c>
      <c r="K290">
        <v>550</v>
      </c>
      <c r="L290">
        <v>0</v>
      </c>
      <c r="M290">
        <v>0</v>
      </c>
      <c r="N290">
        <v>550</v>
      </c>
    </row>
    <row r="291" spans="1:14" x14ac:dyDescent="0.25">
      <c r="A291">
        <v>173.73642799999999</v>
      </c>
      <c r="B291" s="1">
        <f>DATE(2010,10,21) + TIME(17,40,27)</f>
        <v>40472.73642361111</v>
      </c>
      <c r="C291">
        <v>80</v>
      </c>
      <c r="D291">
        <v>79.741874695000007</v>
      </c>
      <c r="E291">
        <v>50</v>
      </c>
      <c r="F291">
        <v>28.439113617</v>
      </c>
      <c r="G291">
        <v>1344.8392334</v>
      </c>
      <c r="H291">
        <v>1340.6055908000001</v>
      </c>
      <c r="I291">
        <v>1317.2014160000001</v>
      </c>
      <c r="J291">
        <v>1309.1099853999999</v>
      </c>
      <c r="K291">
        <v>550</v>
      </c>
      <c r="L291">
        <v>0</v>
      </c>
      <c r="M291">
        <v>0</v>
      </c>
      <c r="N291">
        <v>550</v>
      </c>
    </row>
    <row r="292" spans="1:14" x14ac:dyDescent="0.25">
      <c r="A292">
        <v>175.78010900000001</v>
      </c>
      <c r="B292" s="1">
        <f>DATE(2010,10,23) + TIME(18,43,21)</f>
        <v>40474.780104166668</v>
      </c>
      <c r="C292">
        <v>80</v>
      </c>
      <c r="D292">
        <v>79.742439270000006</v>
      </c>
      <c r="E292">
        <v>50</v>
      </c>
      <c r="F292">
        <v>28.988492965999999</v>
      </c>
      <c r="G292">
        <v>1344.8162841999999</v>
      </c>
      <c r="H292">
        <v>1340.5855713000001</v>
      </c>
      <c r="I292">
        <v>1317.2645264</v>
      </c>
      <c r="J292">
        <v>1309.2421875</v>
      </c>
      <c r="K292">
        <v>550</v>
      </c>
      <c r="L292">
        <v>0</v>
      </c>
      <c r="M292">
        <v>0</v>
      </c>
      <c r="N292">
        <v>550</v>
      </c>
    </row>
    <row r="293" spans="1:14" x14ac:dyDescent="0.25">
      <c r="A293">
        <v>177.84169299999999</v>
      </c>
      <c r="B293" s="1">
        <f>DATE(2010,10,25) + TIME(20,12,2)</f>
        <v>40476.841689814813</v>
      </c>
      <c r="C293">
        <v>80</v>
      </c>
      <c r="D293">
        <v>79.743011475000003</v>
      </c>
      <c r="E293">
        <v>50</v>
      </c>
      <c r="F293">
        <v>29.535675049000002</v>
      </c>
      <c r="G293">
        <v>1344.7935791</v>
      </c>
      <c r="H293">
        <v>1340.565918</v>
      </c>
      <c r="I293">
        <v>1317.3284911999999</v>
      </c>
      <c r="J293">
        <v>1309.3752440999999</v>
      </c>
      <c r="K293">
        <v>550</v>
      </c>
      <c r="L293">
        <v>0</v>
      </c>
      <c r="M293">
        <v>0</v>
      </c>
      <c r="N293">
        <v>550</v>
      </c>
    </row>
    <row r="294" spans="1:14" x14ac:dyDescent="0.25">
      <c r="A294">
        <v>179.92672099999999</v>
      </c>
      <c r="B294" s="1">
        <f>DATE(2010,10,27) + TIME(22,14,28)</f>
        <v>40478.926712962966</v>
      </c>
      <c r="C294">
        <v>80</v>
      </c>
      <c r="D294">
        <v>79.743576050000001</v>
      </c>
      <c r="E294">
        <v>50</v>
      </c>
      <c r="F294">
        <v>30.080627441000001</v>
      </c>
      <c r="G294">
        <v>1344.7711182</v>
      </c>
      <c r="H294">
        <v>1340.5465088000001</v>
      </c>
      <c r="I294">
        <v>1317.3934326000001</v>
      </c>
      <c r="J294">
        <v>1309.5091553</v>
      </c>
      <c r="K294">
        <v>550</v>
      </c>
      <c r="L294">
        <v>0</v>
      </c>
      <c r="M294">
        <v>0</v>
      </c>
      <c r="N294">
        <v>550</v>
      </c>
    </row>
    <row r="295" spans="1:14" x14ac:dyDescent="0.25">
      <c r="A295">
        <v>182.040695</v>
      </c>
      <c r="B295" s="1">
        <f>DATE(2010,10,30) + TIME(0,58,36)</f>
        <v>40481.040694444448</v>
      </c>
      <c r="C295">
        <v>80</v>
      </c>
      <c r="D295">
        <v>79.744148253999995</v>
      </c>
      <c r="E295">
        <v>50</v>
      </c>
      <c r="F295">
        <v>30.623670577999999</v>
      </c>
      <c r="G295">
        <v>1344.7487793</v>
      </c>
      <c r="H295">
        <v>1340.5272216999999</v>
      </c>
      <c r="I295">
        <v>1317.4594727000001</v>
      </c>
      <c r="J295">
        <v>1309.644043</v>
      </c>
      <c r="K295">
        <v>550</v>
      </c>
      <c r="L295">
        <v>0</v>
      </c>
      <c r="M295">
        <v>0</v>
      </c>
      <c r="N295">
        <v>550</v>
      </c>
    </row>
    <row r="296" spans="1:14" x14ac:dyDescent="0.25">
      <c r="A296">
        <v>184</v>
      </c>
      <c r="B296" s="1">
        <f>DATE(2010,11,1) + TIME(0,0,0)</f>
        <v>40483</v>
      </c>
      <c r="C296">
        <v>80</v>
      </c>
      <c r="D296">
        <v>79.744667053000001</v>
      </c>
      <c r="E296">
        <v>50</v>
      </c>
      <c r="F296">
        <v>31.136291503999999</v>
      </c>
      <c r="G296">
        <v>1344.7266846</v>
      </c>
      <c r="H296">
        <v>1340.5083007999999</v>
      </c>
      <c r="I296">
        <v>1317.527832</v>
      </c>
      <c r="J296">
        <v>1309.7768555</v>
      </c>
      <c r="K296">
        <v>550</v>
      </c>
      <c r="L296">
        <v>0</v>
      </c>
      <c r="M296">
        <v>0</v>
      </c>
      <c r="N296">
        <v>550</v>
      </c>
    </row>
    <row r="297" spans="1:14" x14ac:dyDescent="0.25">
      <c r="A297">
        <v>184.000001</v>
      </c>
      <c r="B297" s="1">
        <f>DATE(2010,11,1) + TIME(0,0,0)</f>
        <v>40483</v>
      </c>
      <c r="C297">
        <v>80</v>
      </c>
      <c r="D297">
        <v>79.744636536000002</v>
      </c>
      <c r="E297">
        <v>50</v>
      </c>
      <c r="F297">
        <v>31.136325836000001</v>
      </c>
      <c r="G297">
        <v>1340.3087158000001</v>
      </c>
      <c r="H297">
        <v>1338.7177733999999</v>
      </c>
      <c r="I297">
        <v>1325.3469238</v>
      </c>
      <c r="J297">
        <v>1317.7773437999999</v>
      </c>
      <c r="K297">
        <v>0</v>
      </c>
      <c r="L297">
        <v>550</v>
      </c>
      <c r="M297">
        <v>550</v>
      </c>
      <c r="N297">
        <v>0</v>
      </c>
    </row>
    <row r="298" spans="1:14" x14ac:dyDescent="0.25">
      <c r="A298">
        <v>184.00000399999999</v>
      </c>
      <c r="B298" s="1">
        <f>DATE(2010,11,1) + TIME(0,0,0)</f>
        <v>40483</v>
      </c>
      <c r="C298">
        <v>80</v>
      </c>
      <c r="D298">
        <v>79.744567871000001</v>
      </c>
      <c r="E298">
        <v>50</v>
      </c>
      <c r="F298">
        <v>31.136423110999999</v>
      </c>
      <c r="G298">
        <v>1339.8041992000001</v>
      </c>
      <c r="H298">
        <v>1338.2127685999999</v>
      </c>
      <c r="I298">
        <v>1325.9213867000001</v>
      </c>
      <c r="J298">
        <v>1318.4636230000001</v>
      </c>
      <c r="K298">
        <v>0</v>
      </c>
      <c r="L298">
        <v>550</v>
      </c>
      <c r="M298">
        <v>550</v>
      </c>
      <c r="N298">
        <v>0</v>
      </c>
    </row>
    <row r="299" spans="1:14" x14ac:dyDescent="0.25">
      <c r="A299">
        <v>184.000013</v>
      </c>
      <c r="B299" s="1">
        <f>DATE(2010,11,1) + TIME(0,0,1)</f>
        <v>40483.000011574077</v>
      </c>
      <c r="C299">
        <v>80</v>
      </c>
      <c r="D299">
        <v>79.744422912999994</v>
      </c>
      <c r="E299">
        <v>50</v>
      </c>
      <c r="F299">
        <v>31.136669159</v>
      </c>
      <c r="G299">
        <v>1338.7845459</v>
      </c>
      <c r="H299">
        <v>1337.1912841999999</v>
      </c>
      <c r="I299">
        <v>1327.3520507999999</v>
      </c>
      <c r="J299">
        <v>1320.1098632999999</v>
      </c>
      <c r="K299">
        <v>0</v>
      </c>
      <c r="L299">
        <v>550</v>
      </c>
      <c r="M299">
        <v>550</v>
      </c>
      <c r="N299">
        <v>0</v>
      </c>
    </row>
    <row r="300" spans="1:14" x14ac:dyDescent="0.25">
      <c r="A300">
        <v>184.00004000000001</v>
      </c>
      <c r="B300" s="1">
        <f>DATE(2010,11,1) + TIME(0,0,3)</f>
        <v>40483.000034722223</v>
      </c>
      <c r="C300">
        <v>80</v>
      </c>
      <c r="D300">
        <v>79.744209290000001</v>
      </c>
      <c r="E300">
        <v>50</v>
      </c>
      <c r="F300">
        <v>31.137174605999999</v>
      </c>
      <c r="G300">
        <v>1337.2889404</v>
      </c>
      <c r="H300">
        <v>1335.6879882999999</v>
      </c>
      <c r="I300">
        <v>1330.1633300999999</v>
      </c>
      <c r="J300">
        <v>1323.1335449000001</v>
      </c>
      <c r="K300">
        <v>0</v>
      </c>
      <c r="L300">
        <v>550</v>
      </c>
      <c r="M300">
        <v>550</v>
      </c>
      <c r="N300">
        <v>0</v>
      </c>
    </row>
    <row r="301" spans="1:14" x14ac:dyDescent="0.25">
      <c r="A301">
        <v>184.00012100000001</v>
      </c>
      <c r="B301" s="1">
        <f>DATE(2010,11,1) + TIME(0,0,10)</f>
        <v>40483.000115740739</v>
      </c>
      <c r="C301">
        <v>80</v>
      </c>
      <c r="D301">
        <v>79.743949889999996</v>
      </c>
      <c r="E301">
        <v>50</v>
      </c>
      <c r="F301">
        <v>31.138092041</v>
      </c>
      <c r="G301">
        <v>1335.6011963000001</v>
      </c>
      <c r="H301">
        <v>1333.9799805</v>
      </c>
      <c r="I301">
        <v>1334.1544189000001</v>
      </c>
      <c r="J301">
        <v>1327.1602783000001</v>
      </c>
      <c r="K301">
        <v>0</v>
      </c>
      <c r="L301">
        <v>550</v>
      </c>
      <c r="M301">
        <v>550</v>
      </c>
      <c r="N301">
        <v>0</v>
      </c>
    </row>
    <row r="302" spans="1:14" x14ac:dyDescent="0.25">
      <c r="A302">
        <v>184.00036399999999</v>
      </c>
      <c r="B302" s="1">
        <f>DATE(2010,11,1) + TIME(0,0,31)</f>
        <v>40483.000358796293</v>
      </c>
      <c r="C302">
        <v>80</v>
      </c>
      <c r="D302">
        <v>79.743652343999997</v>
      </c>
      <c r="E302">
        <v>50</v>
      </c>
      <c r="F302">
        <v>31.139966964999999</v>
      </c>
      <c r="G302">
        <v>1333.8298339999999</v>
      </c>
      <c r="H302">
        <v>1332.1451416</v>
      </c>
      <c r="I302">
        <v>1338.5628661999999</v>
      </c>
      <c r="J302">
        <v>1331.5493164</v>
      </c>
      <c r="K302">
        <v>0</v>
      </c>
      <c r="L302">
        <v>550</v>
      </c>
      <c r="M302">
        <v>550</v>
      </c>
      <c r="N302">
        <v>0</v>
      </c>
    </row>
    <row r="303" spans="1:14" x14ac:dyDescent="0.25">
      <c r="A303">
        <v>184.001093</v>
      </c>
      <c r="B303" s="1">
        <f>DATE(2010,11,1) + TIME(0,1,34)</f>
        <v>40483.001087962963</v>
      </c>
      <c r="C303">
        <v>80</v>
      </c>
      <c r="D303">
        <v>79.743209839000002</v>
      </c>
      <c r="E303">
        <v>50</v>
      </c>
      <c r="F303">
        <v>31.144588469999999</v>
      </c>
      <c r="G303">
        <v>1331.9188231999999</v>
      </c>
      <c r="H303">
        <v>1330.1038818</v>
      </c>
      <c r="I303">
        <v>1342.8603516000001</v>
      </c>
      <c r="J303">
        <v>1335.8326416</v>
      </c>
      <c r="K303">
        <v>0</v>
      </c>
      <c r="L303">
        <v>550</v>
      </c>
      <c r="M303">
        <v>550</v>
      </c>
      <c r="N303">
        <v>0</v>
      </c>
    </row>
    <row r="304" spans="1:14" x14ac:dyDescent="0.25">
      <c r="A304">
        <v>184.00327999999999</v>
      </c>
      <c r="B304" s="1">
        <f>DATE(2010,11,1) + TIME(0,4,43)</f>
        <v>40483.003275462965</v>
      </c>
      <c r="C304">
        <v>80</v>
      </c>
      <c r="D304">
        <v>79.742416382000002</v>
      </c>
      <c r="E304">
        <v>50</v>
      </c>
      <c r="F304">
        <v>31.157472609999999</v>
      </c>
      <c r="G304">
        <v>1329.9926757999999</v>
      </c>
      <c r="H304">
        <v>1328.0397949000001</v>
      </c>
      <c r="I304">
        <v>1346.4715576000001</v>
      </c>
      <c r="J304">
        <v>1339.3924560999999</v>
      </c>
      <c r="K304">
        <v>0</v>
      </c>
      <c r="L304">
        <v>550</v>
      </c>
      <c r="M304">
        <v>550</v>
      </c>
      <c r="N304">
        <v>0</v>
      </c>
    </row>
    <row r="305" spans="1:14" x14ac:dyDescent="0.25">
      <c r="A305">
        <v>184.00984099999999</v>
      </c>
      <c r="B305" s="1">
        <f>DATE(2010,11,1) + TIME(0,14,10)</f>
        <v>40483.009837962964</v>
      </c>
      <c r="C305">
        <v>80</v>
      </c>
      <c r="D305">
        <v>79.740592957000004</v>
      </c>
      <c r="E305">
        <v>50</v>
      </c>
      <c r="F305">
        <v>31.195451735999999</v>
      </c>
      <c r="G305">
        <v>1328.4331055</v>
      </c>
      <c r="H305">
        <v>1326.4135742000001</v>
      </c>
      <c r="I305">
        <v>1348.7727050999999</v>
      </c>
      <c r="J305">
        <v>1341.6301269999999</v>
      </c>
      <c r="K305">
        <v>0</v>
      </c>
      <c r="L305">
        <v>550</v>
      </c>
      <c r="M305">
        <v>550</v>
      </c>
      <c r="N305">
        <v>0</v>
      </c>
    </row>
    <row r="306" spans="1:14" x14ac:dyDescent="0.25">
      <c r="A306">
        <v>184.02952400000001</v>
      </c>
      <c r="B306" s="1">
        <f>DATE(2010,11,1) + TIME(0,42,30)</f>
        <v>40483.029513888891</v>
      </c>
      <c r="C306">
        <v>80</v>
      </c>
      <c r="D306">
        <v>79.735649108999993</v>
      </c>
      <c r="E306">
        <v>50</v>
      </c>
      <c r="F306">
        <v>31.30875206</v>
      </c>
      <c r="G306">
        <v>1327.4824219</v>
      </c>
      <c r="H306">
        <v>1325.4468993999999</v>
      </c>
      <c r="I306">
        <v>1349.7950439000001</v>
      </c>
      <c r="J306">
        <v>1342.6253661999999</v>
      </c>
      <c r="K306">
        <v>0</v>
      </c>
      <c r="L306">
        <v>550</v>
      </c>
      <c r="M306">
        <v>550</v>
      </c>
      <c r="N306">
        <v>0</v>
      </c>
    </row>
    <row r="307" spans="1:14" x14ac:dyDescent="0.25">
      <c r="A307">
        <v>184.088573</v>
      </c>
      <c r="B307" s="1">
        <f>DATE(2010,11,1) + TIME(2,7,32)</f>
        <v>40483.088564814818</v>
      </c>
      <c r="C307">
        <v>80</v>
      </c>
      <c r="D307">
        <v>79.721290588000002</v>
      </c>
      <c r="E307">
        <v>50</v>
      </c>
      <c r="F307">
        <v>31.642499923999999</v>
      </c>
      <c r="G307">
        <v>1327.0484618999999</v>
      </c>
      <c r="H307">
        <v>1325.0106201000001</v>
      </c>
      <c r="I307">
        <v>1349.9982910000001</v>
      </c>
      <c r="J307">
        <v>1342.8725586</v>
      </c>
      <c r="K307">
        <v>0</v>
      </c>
      <c r="L307">
        <v>550</v>
      </c>
      <c r="M307">
        <v>550</v>
      </c>
      <c r="N307">
        <v>0</v>
      </c>
    </row>
    <row r="308" spans="1:14" x14ac:dyDescent="0.25">
      <c r="A308">
        <v>184.215316</v>
      </c>
      <c r="B308" s="1">
        <f>DATE(2010,11,1) + TIME(5,10,3)</f>
        <v>40483.215312499997</v>
      </c>
      <c r="C308">
        <v>80</v>
      </c>
      <c r="D308">
        <v>79.691139221</v>
      </c>
      <c r="E308">
        <v>50</v>
      </c>
      <c r="F308">
        <v>32.329792023000003</v>
      </c>
      <c r="G308">
        <v>1326.9244385</v>
      </c>
      <c r="H308">
        <v>1324.8859863</v>
      </c>
      <c r="I308">
        <v>1349.8096923999999</v>
      </c>
      <c r="J308">
        <v>1342.8048096</v>
      </c>
      <c r="K308">
        <v>0</v>
      </c>
      <c r="L308">
        <v>550</v>
      </c>
      <c r="M308">
        <v>550</v>
      </c>
      <c r="N308">
        <v>0</v>
      </c>
    </row>
    <row r="309" spans="1:14" x14ac:dyDescent="0.25">
      <c r="A309">
        <v>184.34546700000001</v>
      </c>
      <c r="B309" s="1">
        <f>DATE(2010,11,1) + TIME(8,17,28)</f>
        <v>40483.345462962963</v>
      </c>
      <c r="C309">
        <v>80</v>
      </c>
      <c r="D309">
        <v>79.660461425999998</v>
      </c>
      <c r="E309">
        <v>50</v>
      </c>
      <c r="F309">
        <v>33.007266997999999</v>
      </c>
      <c r="G309">
        <v>1326.8995361</v>
      </c>
      <c r="H309">
        <v>1324.8603516000001</v>
      </c>
      <c r="I309">
        <v>1349.6190185999999</v>
      </c>
      <c r="J309">
        <v>1342.7232666</v>
      </c>
      <c r="K309">
        <v>0</v>
      </c>
      <c r="L309">
        <v>550</v>
      </c>
      <c r="M309">
        <v>550</v>
      </c>
      <c r="N309">
        <v>0</v>
      </c>
    </row>
    <row r="310" spans="1:14" x14ac:dyDescent="0.25">
      <c r="A310">
        <v>184.47926799999999</v>
      </c>
      <c r="B310" s="1">
        <f>DATE(2010,11,1) + TIME(11,30,8)</f>
        <v>40483.479259259257</v>
      </c>
      <c r="C310">
        <v>80</v>
      </c>
      <c r="D310">
        <v>79.629203795999999</v>
      </c>
      <c r="E310">
        <v>50</v>
      </c>
      <c r="F310">
        <v>33.675182343000003</v>
      </c>
      <c r="G310">
        <v>1326.8919678</v>
      </c>
      <c r="H310">
        <v>1324.8519286999999</v>
      </c>
      <c r="I310">
        <v>1349.4399414</v>
      </c>
      <c r="J310">
        <v>1342.6483154</v>
      </c>
      <c r="K310">
        <v>0</v>
      </c>
      <c r="L310">
        <v>550</v>
      </c>
      <c r="M310">
        <v>550</v>
      </c>
      <c r="N310">
        <v>0</v>
      </c>
    </row>
    <row r="311" spans="1:14" x14ac:dyDescent="0.25">
      <c r="A311">
        <v>184.61692300000001</v>
      </c>
      <c r="B311" s="1">
        <f>DATE(2010,11,1) + TIME(14,48,22)</f>
        <v>40483.6169212963</v>
      </c>
      <c r="C311">
        <v>80</v>
      </c>
      <c r="D311">
        <v>79.597335814999994</v>
      </c>
      <c r="E311">
        <v>50</v>
      </c>
      <c r="F311">
        <v>34.333530426000003</v>
      </c>
      <c r="G311">
        <v>1326.8876952999999</v>
      </c>
      <c r="H311">
        <v>1324.8466797000001</v>
      </c>
      <c r="I311">
        <v>1349.2712402</v>
      </c>
      <c r="J311">
        <v>1342.5788574000001</v>
      </c>
      <c r="K311">
        <v>0</v>
      </c>
      <c r="L311">
        <v>550</v>
      </c>
      <c r="M311">
        <v>550</v>
      </c>
      <c r="N311">
        <v>0</v>
      </c>
    </row>
    <row r="312" spans="1:14" x14ac:dyDescent="0.25">
      <c r="A312">
        <v>184.758702</v>
      </c>
      <c r="B312" s="1">
        <f>DATE(2010,11,1) + TIME(18,12,31)</f>
        <v>40483.758692129632</v>
      </c>
      <c r="C312">
        <v>80</v>
      </c>
      <c r="D312">
        <v>79.564811707000004</v>
      </c>
      <c r="E312">
        <v>50</v>
      </c>
      <c r="F312">
        <v>34.982498169000003</v>
      </c>
      <c r="G312">
        <v>1326.8841553</v>
      </c>
      <c r="H312">
        <v>1324.8420410000001</v>
      </c>
      <c r="I312">
        <v>1349.1114502</v>
      </c>
      <c r="J312">
        <v>1342.5135498</v>
      </c>
      <c r="K312">
        <v>0</v>
      </c>
      <c r="L312">
        <v>550</v>
      </c>
      <c r="M312">
        <v>550</v>
      </c>
      <c r="N312">
        <v>0</v>
      </c>
    </row>
    <row r="313" spans="1:14" x14ac:dyDescent="0.25">
      <c r="A313">
        <v>184.90480199999999</v>
      </c>
      <c r="B313" s="1">
        <f>DATE(2010,11,1) + TIME(21,42,54)</f>
        <v>40483.904791666668</v>
      </c>
      <c r="C313">
        <v>80</v>
      </c>
      <c r="D313">
        <v>79.531600952000005</v>
      </c>
      <c r="E313">
        <v>50</v>
      </c>
      <c r="F313">
        <v>35.621833801000001</v>
      </c>
      <c r="G313">
        <v>1326.8804932</v>
      </c>
      <c r="H313">
        <v>1324.8374022999999</v>
      </c>
      <c r="I313">
        <v>1348.9597168</v>
      </c>
      <c r="J313">
        <v>1342.4517822</v>
      </c>
      <c r="K313">
        <v>0</v>
      </c>
      <c r="L313">
        <v>550</v>
      </c>
      <c r="M313">
        <v>550</v>
      </c>
      <c r="N313">
        <v>0</v>
      </c>
    </row>
    <row r="314" spans="1:14" x14ac:dyDescent="0.25">
      <c r="A314">
        <v>185.05567300000001</v>
      </c>
      <c r="B314" s="1">
        <f>DATE(2010,11,2) + TIME(1,20,10)</f>
        <v>40484.055671296293</v>
      </c>
      <c r="C314">
        <v>80</v>
      </c>
      <c r="D314">
        <v>79.497634887999993</v>
      </c>
      <c r="E314">
        <v>50</v>
      </c>
      <c r="F314">
        <v>36.252220154</v>
      </c>
      <c r="G314">
        <v>1326.8768310999999</v>
      </c>
      <c r="H314">
        <v>1324.8325195</v>
      </c>
      <c r="I314">
        <v>1348.8155518000001</v>
      </c>
      <c r="J314">
        <v>1342.3933105000001</v>
      </c>
      <c r="K314">
        <v>0</v>
      </c>
      <c r="L314">
        <v>550</v>
      </c>
      <c r="M314">
        <v>550</v>
      </c>
      <c r="N314">
        <v>0</v>
      </c>
    </row>
    <row r="315" spans="1:14" x14ac:dyDescent="0.25">
      <c r="A315">
        <v>185.21168800000001</v>
      </c>
      <c r="B315" s="1">
        <f>DATE(2010,11,2) + TIME(5,4,49)</f>
        <v>40484.211678240739</v>
      </c>
      <c r="C315">
        <v>80</v>
      </c>
      <c r="D315">
        <v>79.462844849000007</v>
      </c>
      <c r="E315">
        <v>50</v>
      </c>
      <c r="F315">
        <v>36.873798370000003</v>
      </c>
      <c r="G315">
        <v>1326.8729248</v>
      </c>
      <c r="H315">
        <v>1324.8273925999999</v>
      </c>
      <c r="I315">
        <v>1348.6783447</v>
      </c>
      <c r="J315">
        <v>1342.3378906</v>
      </c>
      <c r="K315">
        <v>0</v>
      </c>
      <c r="L315">
        <v>550</v>
      </c>
      <c r="M315">
        <v>550</v>
      </c>
      <c r="N315">
        <v>0</v>
      </c>
    </row>
    <row r="316" spans="1:14" x14ac:dyDescent="0.25">
      <c r="A316">
        <v>185.37326300000001</v>
      </c>
      <c r="B316" s="1">
        <f>DATE(2010,11,2) + TIME(8,57,29)</f>
        <v>40484.373252314814</v>
      </c>
      <c r="C316">
        <v>80</v>
      </c>
      <c r="D316">
        <v>79.427169800000001</v>
      </c>
      <c r="E316">
        <v>50</v>
      </c>
      <c r="F316">
        <v>37.486682891999997</v>
      </c>
      <c r="G316">
        <v>1326.8688964999999</v>
      </c>
      <c r="H316">
        <v>1324.8220214999999</v>
      </c>
      <c r="I316">
        <v>1348.5479736</v>
      </c>
      <c r="J316">
        <v>1342.2854004000001</v>
      </c>
      <c r="K316">
        <v>0</v>
      </c>
      <c r="L316">
        <v>550</v>
      </c>
      <c r="M316">
        <v>550</v>
      </c>
      <c r="N316">
        <v>0</v>
      </c>
    </row>
    <row r="317" spans="1:14" x14ac:dyDescent="0.25">
      <c r="A317">
        <v>185.54086000000001</v>
      </c>
      <c r="B317" s="1">
        <f>DATE(2010,11,2) + TIME(12,58,50)</f>
        <v>40484.540856481479</v>
      </c>
      <c r="C317">
        <v>80</v>
      </c>
      <c r="D317">
        <v>79.390541076999995</v>
      </c>
      <c r="E317">
        <v>50</v>
      </c>
      <c r="F317">
        <v>38.090950012</v>
      </c>
      <c r="G317">
        <v>1326.864624</v>
      </c>
      <c r="H317">
        <v>1324.8164062000001</v>
      </c>
      <c r="I317">
        <v>1348.4238281</v>
      </c>
      <c r="J317">
        <v>1342.2354736</v>
      </c>
      <c r="K317">
        <v>0</v>
      </c>
      <c r="L317">
        <v>550</v>
      </c>
      <c r="M317">
        <v>550</v>
      </c>
      <c r="N317">
        <v>0</v>
      </c>
    </row>
    <row r="318" spans="1:14" x14ac:dyDescent="0.25">
      <c r="A318">
        <v>185.71488099999999</v>
      </c>
      <c r="B318" s="1">
        <f>DATE(2010,11,2) + TIME(17,9,25)</f>
        <v>40484.714872685188</v>
      </c>
      <c r="C318">
        <v>80</v>
      </c>
      <c r="D318">
        <v>79.352890015</v>
      </c>
      <c r="E318">
        <v>50</v>
      </c>
      <c r="F318">
        <v>38.686279296999999</v>
      </c>
      <c r="G318">
        <v>1326.8602295000001</v>
      </c>
      <c r="H318">
        <v>1324.8104248</v>
      </c>
      <c r="I318">
        <v>1348.3057861</v>
      </c>
      <c r="J318">
        <v>1342.1883545000001</v>
      </c>
      <c r="K318">
        <v>0</v>
      </c>
      <c r="L318">
        <v>550</v>
      </c>
      <c r="M318">
        <v>550</v>
      </c>
      <c r="N318">
        <v>0</v>
      </c>
    </row>
    <row r="319" spans="1:14" x14ac:dyDescent="0.25">
      <c r="A319">
        <v>185.89598799999999</v>
      </c>
      <c r="B319" s="1">
        <f>DATE(2010,11,2) + TIME(21,30,13)</f>
        <v>40484.895983796298</v>
      </c>
      <c r="C319">
        <v>80</v>
      </c>
      <c r="D319">
        <v>79.314117432000003</v>
      </c>
      <c r="E319">
        <v>50</v>
      </c>
      <c r="F319">
        <v>39.272987366000002</v>
      </c>
      <c r="G319">
        <v>1326.8555908000001</v>
      </c>
      <c r="H319">
        <v>1324.8041992000001</v>
      </c>
      <c r="I319">
        <v>1348.1934814000001</v>
      </c>
      <c r="J319">
        <v>1342.1435547000001</v>
      </c>
      <c r="K319">
        <v>0</v>
      </c>
      <c r="L319">
        <v>550</v>
      </c>
      <c r="M319">
        <v>550</v>
      </c>
      <c r="N319">
        <v>0</v>
      </c>
    </row>
    <row r="320" spans="1:14" x14ac:dyDescent="0.25">
      <c r="A320">
        <v>186.08483799999999</v>
      </c>
      <c r="B320" s="1">
        <f>DATE(2010,11,3) + TIME(2,2,9)</f>
        <v>40485.084826388891</v>
      </c>
      <c r="C320">
        <v>80</v>
      </c>
      <c r="D320">
        <v>79.274124146000005</v>
      </c>
      <c r="E320">
        <v>50</v>
      </c>
      <c r="F320">
        <v>39.851058960000003</v>
      </c>
      <c r="G320">
        <v>1326.8508300999999</v>
      </c>
      <c r="H320">
        <v>1324.7977295000001</v>
      </c>
      <c r="I320">
        <v>1348.0865478999999</v>
      </c>
      <c r="J320">
        <v>1342.1010742000001</v>
      </c>
      <c r="K320">
        <v>0</v>
      </c>
      <c r="L320">
        <v>550</v>
      </c>
      <c r="M320">
        <v>550</v>
      </c>
      <c r="N320">
        <v>0</v>
      </c>
    </row>
    <row r="321" spans="1:14" x14ac:dyDescent="0.25">
      <c r="A321">
        <v>186.28216</v>
      </c>
      <c r="B321" s="1">
        <f>DATE(2010,11,3) + TIME(6,46,18)</f>
        <v>40485.282152777778</v>
      </c>
      <c r="C321">
        <v>80</v>
      </c>
      <c r="D321">
        <v>79.232803344999994</v>
      </c>
      <c r="E321">
        <v>50</v>
      </c>
      <c r="F321">
        <v>40.420516968000001</v>
      </c>
      <c r="G321">
        <v>1326.8457031</v>
      </c>
      <c r="H321">
        <v>1324.7908935999999</v>
      </c>
      <c r="I321">
        <v>1347.9847411999999</v>
      </c>
      <c r="J321">
        <v>1342.0606689000001</v>
      </c>
      <c r="K321">
        <v>0</v>
      </c>
      <c r="L321">
        <v>550</v>
      </c>
      <c r="M321">
        <v>550</v>
      </c>
      <c r="N321">
        <v>0</v>
      </c>
    </row>
    <row r="322" spans="1:14" x14ac:dyDescent="0.25">
      <c r="A322">
        <v>186.488786</v>
      </c>
      <c r="B322" s="1">
        <f>DATE(2010,11,3) + TIME(11,43,51)</f>
        <v>40485.48878472222</v>
      </c>
      <c r="C322">
        <v>80</v>
      </c>
      <c r="D322">
        <v>79.190025329999997</v>
      </c>
      <c r="E322">
        <v>50</v>
      </c>
      <c r="F322">
        <v>40.981159210000001</v>
      </c>
      <c r="G322">
        <v>1326.840332</v>
      </c>
      <c r="H322">
        <v>1324.7835693</v>
      </c>
      <c r="I322">
        <v>1347.8876952999999</v>
      </c>
      <c r="J322">
        <v>1342.0222168</v>
      </c>
      <c r="K322">
        <v>0</v>
      </c>
      <c r="L322">
        <v>550</v>
      </c>
      <c r="M322">
        <v>550</v>
      </c>
      <c r="N322">
        <v>0</v>
      </c>
    </row>
    <row r="323" spans="1:14" x14ac:dyDescent="0.25">
      <c r="A323">
        <v>186.70562899999999</v>
      </c>
      <c r="B323" s="1">
        <f>DATE(2010,11,3) + TIME(16,56,6)</f>
        <v>40485.705625000002</v>
      </c>
      <c r="C323">
        <v>80</v>
      </c>
      <c r="D323">
        <v>79.145652771000002</v>
      </c>
      <c r="E323">
        <v>50</v>
      </c>
      <c r="F323">
        <v>41.532684326000002</v>
      </c>
      <c r="G323">
        <v>1326.8347168</v>
      </c>
      <c r="H323">
        <v>1324.7758789</v>
      </c>
      <c r="I323">
        <v>1347.7951660000001</v>
      </c>
      <c r="J323">
        <v>1341.9855957</v>
      </c>
      <c r="K323">
        <v>0</v>
      </c>
      <c r="L323">
        <v>550</v>
      </c>
      <c r="M323">
        <v>550</v>
      </c>
      <c r="N323">
        <v>0</v>
      </c>
    </row>
    <row r="324" spans="1:14" x14ac:dyDescent="0.25">
      <c r="A324">
        <v>186.933796</v>
      </c>
      <c r="B324" s="1">
        <f>DATE(2010,11,3) + TIME(22,24,39)</f>
        <v>40485.93378472222</v>
      </c>
      <c r="C324">
        <v>80</v>
      </c>
      <c r="D324">
        <v>79.099533081000004</v>
      </c>
      <c r="E324">
        <v>50</v>
      </c>
      <c r="F324">
        <v>42.074893951</v>
      </c>
      <c r="G324">
        <v>1326.8287353999999</v>
      </c>
      <c r="H324">
        <v>1324.7678223</v>
      </c>
      <c r="I324">
        <v>1347.7070312000001</v>
      </c>
      <c r="J324">
        <v>1341.9506836</v>
      </c>
      <c r="K324">
        <v>0</v>
      </c>
      <c r="L324">
        <v>550</v>
      </c>
      <c r="M324">
        <v>550</v>
      </c>
      <c r="N324">
        <v>0</v>
      </c>
    </row>
    <row r="325" spans="1:14" x14ac:dyDescent="0.25">
      <c r="A325">
        <v>187.17456200000001</v>
      </c>
      <c r="B325" s="1">
        <f>DATE(2010,11,4) + TIME(4,11,22)</f>
        <v>40486.174560185187</v>
      </c>
      <c r="C325">
        <v>80</v>
      </c>
      <c r="D325">
        <v>79.051475525000001</v>
      </c>
      <c r="E325">
        <v>50</v>
      </c>
      <c r="F325">
        <v>42.607524871999999</v>
      </c>
      <c r="G325">
        <v>1326.8223877</v>
      </c>
      <c r="H325">
        <v>1324.7592772999999</v>
      </c>
      <c r="I325">
        <v>1347.6228027</v>
      </c>
      <c r="J325">
        <v>1341.9172363</v>
      </c>
      <c r="K325">
        <v>0</v>
      </c>
      <c r="L325">
        <v>550</v>
      </c>
      <c r="M325">
        <v>550</v>
      </c>
      <c r="N325">
        <v>0</v>
      </c>
    </row>
    <row r="326" spans="1:14" x14ac:dyDescent="0.25">
      <c r="A326">
        <v>187.42939899999999</v>
      </c>
      <c r="B326" s="1">
        <f>DATE(2010,11,4) + TIME(10,18,20)</f>
        <v>40486.429398148146</v>
      </c>
      <c r="C326">
        <v>80</v>
      </c>
      <c r="D326">
        <v>79.001274108999993</v>
      </c>
      <c r="E326">
        <v>50</v>
      </c>
      <c r="F326">
        <v>43.130210876</v>
      </c>
      <c r="G326">
        <v>1326.8156738</v>
      </c>
      <c r="H326">
        <v>1324.7501221</v>
      </c>
      <c r="I326">
        <v>1347.5423584</v>
      </c>
      <c r="J326">
        <v>1341.8851318</v>
      </c>
      <c r="K326">
        <v>0</v>
      </c>
      <c r="L326">
        <v>550</v>
      </c>
      <c r="M326">
        <v>550</v>
      </c>
      <c r="N326">
        <v>0</v>
      </c>
    </row>
    <row r="327" spans="1:14" x14ac:dyDescent="0.25">
      <c r="A327">
        <v>187.70003800000001</v>
      </c>
      <c r="B327" s="1">
        <f>DATE(2010,11,4) + TIME(16,48,3)</f>
        <v>40486.70003472222</v>
      </c>
      <c r="C327">
        <v>80</v>
      </c>
      <c r="D327">
        <v>78.948684692</v>
      </c>
      <c r="E327">
        <v>50</v>
      </c>
      <c r="F327">
        <v>43.642509459999999</v>
      </c>
      <c r="G327">
        <v>1326.8085937999999</v>
      </c>
      <c r="H327">
        <v>1324.7403564000001</v>
      </c>
      <c r="I327">
        <v>1347.4654541</v>
      </c>
      <c r="J327">
        <v>1341.854126</v>
      </c>
      <c r="K327">
        <v>0</v>
      </c>
      <c r="L327">
        <v>550</v>
      </c>
      <c r="M327">
        <v>550</v>
      </c>
      <c r="N327">
        <v>0</v>
      </c>
    </row>
    <row r="328" spans="1:14" x14ac:dyDescent="0.25">
      <c r="A328">
        <v>187.988527</v>
      </c>
      <c r="B328" s="1">
        <f>DATE(2010,11,4) + TIME(23,43,28)</f>
        <v>40486.988518518519</v>
      </c>
      <c r="C328">
        <v>80</v>
      </c>
      <c r="D328">
        <v>78.893424988000007</v>
      </c>
      <c r="E328">
        <v>50</v>
      </c>
      <c r="F328">
        <v>44.143901825</v>
      </c>
      <c r="G328">
        <v>1326.8009033000001</v>
      </c>
      <c r="H328">
        <v>1324.7299805</v>
      </c>
      <c r="I328">
        <v>1347.3917236</v>
      </c>
      <c r="J328">
        <v>1341.8242187999999</v>
      </c>
      <c r="K328">
        <v>0</v>
      </c>
      <c r="L328">
        <v>550</v>
      </c>
      <c r="M328">
        <v>550</v>
      </c>
      <c r="N328">
        <v>0</v>
      </c>
    </row>
    <row r="329" spans="1:14" x14ac:dyDescent="0.25">
      <c r="A329">
        <v>188.29732200000001</v>
      </c>
      <c r="B329" s="1">
        <f>DATE(2010,11,5) + TIME(7,8,8)</f>
        <v>40487.297314814816</v>
      </c>
      <c r="C329">
        <v>80</v>
      </c>
      <c r="D329">
        <v>78.835151671999995</v>
      </c>
      <c r="E329">
        <v>50</v>
      </c>
      <c r="F329">
        <v>44.633769989000001</v>
      </c>
      <c r="G329">
        <v>1326.7927245999999</v>
      </c>
      <c r="H329">
        <v>1324.7188721</v>
      </c>
      <c r="I329">
        <v>1347.3209228999999</v>
      </c>
      <c r="J329">
        <v>1341.7950439000001</v>
      </c>
      <c r="K329">
        <v>0</v>
      </c>
      <c r="L329">
        <v>550</v>
      </c>
      <c r="M329">
        <v>550</v>
      </c>
      <c r="N329">
        <v>0</v>
      </c>
    </row>
    <row r="330" spans="1:14" x14ac:dyDescent="0.25">
      <c r="A330">
        <v>188.62939</v>
      </c>
      <c r="B330" s="1">
        <f>DATE(2010,11,5) + TIME(15,6,19)</f>
        <v>40487.629386574074</v>
      </c>
      <c r="C330">
        <v>80</v>
      </c>
      <c r="D330">
        <v>78.773460388000004</v>
      </c>
      <c r="E330">
        <v>50</v>
      </c>
      <c r="F330">
        <v>45.111404419000003</v>
      </c>
      <c r="G330">
        <v>1326.7839355000001</v>
      </c>
      <c r="H330">
        <v>1324.7067870999999</v>
      </c>
      <c r="I330">
        <v>1347.2529297000001</v>
      </c>
      <c r="J330">
        <v>1341.7664795000001</v>
      </c>
      <c r="K330">
        <v>0</v>
      </c>
      <c r="L330">
        <v>550</v>
      </c>
      <c r="M330">
        <v>550</v>
      </c>
      <c r="N330">
        <v>0</v>
      </c>
    </row>
    <row r="331" spans="1:14" x14ac:dyDescent="0.25">
      <c r="A331">
        <v>188.98836900000001</v>
      </c>
      <c r="B331" s="1">
        <f>DATE(2010,11,5) + TIME(23,43,15)</f>
        <v>40487.988368055558</v>
      </c>
      <c r="C331">
        <v>80</v>
      </c>
      <c r="D331">
        <v>78.707878113000007</v>
      </c>
      <c r="E331">
        <v>50</v>
      </c>
      <c r="F331">
        <v>45.575969696000001</v>
      </c>
      <c r="G331">
        <v>1326.7742920000001</v>
      </c>
      <c r="H331">
        <v>1324.6938477000001</v>
      </c>
      <c r="I331">
        <v>1347.1872559000001</v>
      </c>
      <c r="J331">
        <v>1341.7381591999999</v>
      </c>
      <c r="K331">
        <v>0</v>
      </c>
      <c r="L331">
        <v>550</v>
      </c>
      <c r="M331">
        <v>550</v>
      </c>
      <c r="N331">
        <v>0</v>
      </c>
    </row>
    <row r="332" spans="1:14" x14ac:dyDescent="0.25">
      <c r="A332">
        <v>189.37877</v>
      </c>
      <c r="B332" s="1">
        <f>DATE(2010,11,6) + TIME(9,5,25)</f>
        <v>40488.378761574073</v>
      </c>
      <c r="C332">
        <v>80</v>
      </c>
      <c r="D332">
        <v>78.637809752999999</v>
      </c>
      <c r="E332">
        <v>50</v>
      </c>
      <c r="F332">
        <v>46.026504516999999</v>
      </c>
      <c r="G332">
        <v>1326.7637939000001</v>
      </c>
      <c r="H332">
        <v>1324.6796875</v>
      </c>
      <c r="I332">
        <v>1347.1236572</v>
      </c>
      <c r="J332">
        <v>1341.7100829999999</v>
      </c>
      <c r="K332">
        <v>0</v>
      </c>
      <c r="L332">
        <v>550</v>
      </c>
      <c r="M332">
        <v>550</v>
      </c>
      <c r="N332">
        <v>0</v>
      </c>
    </row>
    <row r="333" spans="1:14" x14ac:dyDescent="0.25">
      <c r="A333">
        <v>189.80628400000001</v>
      </c>
      <c r="B333" s="1">
        <f>DATE(2010,11,6) + TIME(19,21,2)</f>
        <v>40488.806273148148</v>
      </c>
      <c r="C333">
        <v>80</v>
      </c>
      <c r="D333">
        <v>78.562522888000004</v>
      </c>
      <c r="E333">
        <v>50</v>
      </c>
      <c r="F333">
        <v>46.461887359999999</v>
      </c>
      <c r="G333">
        <v>1326.7524414</v>
      </c>
      <c r="H333">
        <v>1324.6641846</v>
      </c>
      <c r="I333">
        <v>1347.0618896000001</v>
      </c>
      <c r="J333">
        <v>1341.6816406</v>
      </c>
      <c r="K333">
        <v>0</v>
      </c>
      <c r="L333">
        <v>550</v>
      </c>
      <c r="M333">
        <v>550</v>
      </c>
      <c r="N333">
        <v>0</v>
      </c>
    </row>
    <row r="334" spans="1:14" x14ac:dyDescent="0.25">
      <c r="A334">
        <v>190.27809999999999</v>
      </c>
      <c r="B334" s="1">
        <f>DATE(2010,11,7) + TIME(6,40,27)</f>
        <v>40489.278090277781</v>
      </c>
      <c r="C334">
        <v>80</v>
      </c>
      <c r="D334">
        <v>78.481109618999994</v>
      </c>
      <c r="E334">
        <v>50</v>
      </c>
      <c r="F334">
        <v>46.880737304999997</v>
      </c>
      <c r="G334">
        <v>1326.7397461</v>
      </c>
      <c r="H334">
        <v>1324.6472168</v>
      </c>
      <c r="I334">
        <v>1347.0014647999999</v>
      </c>
      <c r="J334">
        <v>1341.652832</v>
      </c>
      <c r="K334">
        <v>0</v>
      </c>
      <c r="L334">
        <v>550</v>
      </c>
      <c r="M334">
        <v>550</v>
      </c>
      <c r="N334">
        <v>0</v>
      </c>
    </row>
    <row r="335" spans="1:14" x14ac:dyDescent="0.25">
      <c r="A335">
        <v>190.803864</v>
      </c>
      <c r="B335" s="1">
        <f>DATE(2010,11,7) + TIME(19,17,33)</f>
        <v>40489.803854166668</v>
      </c>
      <c r="C335">
        <v>80</v>
      </c>
      <c r="D335">
        <v>78.392395019999995</v>
      </c>
      <c r="E335">
        <v>50</v>
      </c>
      <c r="F335">
        <v>47.281635283999996</v>
      </c>
      <c r="G335">
        <v>1326.7257079999999</v>
      </c>
      <c r="H335">
        <v>1324.6282959</v>
      </c>
      <c r="I335">
        <v>1346.9420166</v>
      </c>
      <c r="J335">
        <v>1341.6230469</v>
      </c>
      <c r="K335">
        <v>0</v>
      </c>
      <c r="L335">
        <v>550</v>
      </c>
      <c r="M335">
        <v>550</v>
      </c>
      <c r="N335">
        <v>0</v>
      </c>
    </row>
    <row r="336" spans="1:14" x14ac:dyDescent="0.25">
      <c r="A336">
        <v>191.340608</v>
      </c>
      <c r="B336" s="1">
        <f>DATE(2010,11,8) + TIME(8,10,28)</f>
        <v>40490.340601851851</v>
      </c>
      <c r="C336">
        <v>80</v>
      </c>
      <c r="D336">
        <v>78.303115844999994</v>
      </c>
      <c r="E336">
        <v>50</v>
      </c>
      <c r="F336">
        <v>47.632190704000003</v>
      </c>
      <c r="G336">
        <v>1326.7099608999999</v>
      </c>
      <c r="H336">
        <v>1324.6074219</v>
      </c>
      <c r="I336">
        <v>1346.8900146000001</v>
      </c>
      <c r="J336">
        <v>1341.5949707</v>
      </c>
      <c r="K336">
        <v>0</v>
      </c>
      <c r="L336">
        <v>550</v>
      </c>
      <c r="M336">
        <v>550</v>
      </c>
      <c r="N336">
        <v>0</v>
      </c>
    </row>
    <row r="337" spans="1:14" x14ac:dyDescent="0.25">
      <c r="A337">
        <v>191.88717</v>
      </c>
      <c r="B337" s="1">
        <f>DATE(2010,11,8) + TIME(21,17,31)</f>
        <v>40490.887164351851</v>
      </c>
      <c r="C337">
        <v>80</v>
      </c>
      <c r="D337">
        <v>78.213439941000004</v>
      </c>
      <c r="E337">
        <v>50</v>
      </c>
      <c r="F337">
        <v>47.937103270999998</v>
      </c>
      <c r="G337">
        <v>1326.6937256000001</v>
      </c>
      <c r="H337">
        <v>1324.5859375</v>
      </c>
      <c r="I337">
        <v>1346.8420410000001</v>
      </c>
      <c r="J337">
        <v>1341.5676269999999</v>
      </c>
      <c r="K337">
        <v>0</v>
      </c>
      <c r="L337">
        <v>550</v>
      </c>
      <c r="M337">
        <v>550</v>
      </c>
      <c r="N337">
        <v>0</v>
      </c>
    </row>
    <row r="338" spans="1:14" x14ac:dyDescent="0.25">
      <c r="A338">
        <v>192.44442000000001</v>
      </c>
      <c r="B338" s="1">
        <f>DATE(2010,11,9) + TIME(10,39,57)</f>
        <v>40491.444409722222</v>
      </c>
      <c r="C338">
        <v>80</v>
      </c>
      <c r="D338">
        <v>78.123252868999998</v>
      </c>
      <c r="E338">
        <v>50</v>
      </c>
      <c r="F338">
        <v>48.201866150000001</v>
      </c>
      <c r="G338">
        <v>1326.677124</v>
      </c>
      <c r="H338">
        <v>1324.5638428</v>
      </c>
      <c r="I338">
        <v>1346.7974853999999</v>
      </c>
      <c r="J338">
        <v>1341.5408935999999</v>
      </c>
      <c r="K338">
        <v>0</v>
      </c>
      <c r="L338">
        <v>550</v>
      </c>
      <c r="M338">
        <v>550</v>
      </c>
      <c r="N338">
        <v>0</v>
      </c>
    </row>
    <row r="339" spans="1:14" x14ac:dyDescent="0.25">
      <c r="A339">
        <v>193.01450299999999</v>
      </c>
      <c r="B339" s="1">
        <f>DATE(2010,11,10) + TIME(0,20,53)</f>
        <v>40492.014502314814</v>
      </c>
      <c r="C339">
        <v>80</v>
      </c>
      <c r="D339">
        <v>78.032241821</v>
      </c>
      <c r="E339">
        <v>50</v>
      </c>
      <c r="F339">
        <v>48.431774138999998</v>
      </c>
      <c r="G339">
        <v>1326.6597899999999</v>
      </c>
      <c r="H339">
        <v>1324.5411377</v>
      </c>
      <c r="I339">
        <v>1346.7553711</v>
      </c>
      <c r="J339">
        <v>1341.5142822</v>
      </c>
      <c r="K339">
        <v>0</v>
      </c>
      <c r="L339">
        <v>550</v>
      </c>
      <c r="M339">
        <v>550</v>
      </c>
      <c r="N339">
        <v>0</v>
      </c>
    </row>
    <row r="340" spans="1:14" x14ac:dyDescent="0.25">
      <c r="A340">
        <v>193.60006100000001</v>
      </c>
      <c r="B340" s="1">
        <f>DATE(2010,11,10) + TIME(14,24,5)</f>
        <v>40492.600057870368</v>
      </c>
      <c r="C340">
        <v>80</v>
      </c>
      <c r="D340">
        <v>77.940048218000001</v>
      </c>
      <c r="E340">
        <v>50</v>
      </c>
      <c r="F340">
        <v>48.631423949999999</v>
      </c>
      <c r="G340">
        <v>1326.6419678</v>
      </c>
      <c r="H340">
        <v>1324.5175781</v>
      </c>
      <c r="I340">
        <v>1346.715332</v>
      </c>
      <c r="J340">
        <v>1341.487793</v>
      </c>
      <c r="K340">
        <v>0</v>
      </c>
      <c r="L340">
        <v>550</v>
      </c>
      <c r="M340">
        <v>550</v>
      </c>
      <c r="N340">
        <v>0</v>
      </c>
    </row>
    <row r="341" spans="1:14" x14ac:dyDescent="0.25">
      <c r="A341">
        <v>194.20373900000001</v>
      </c>
      <c r="B341" s="1">
        <f>DATE(2010,11,11) + TIME(4,53,23)</f>
        <v>40493.203738425924</v>
      </c>
      <c r="C341">
        <v>80</v>
      </c>
      <c r="D341">
        <v>77.846336364999999</v>
      </c>
      <c r="E341">
        <v>50</v>
      </c>
      <c r="F341">
        <v>48.804660796999997</v>
      </c>
      <c r="G341">
        <v>1326.6235352000001</v>
      </c>
      <c r="H341">
        <v>1324.4932861</v>
      </c>
      <c r="I341">
        <v>1346.6768798999999</v>
      </c>
      <c r="J341">
        <v>1341.4613036999999</v>
      </c>
      <c r="K341">
        <v>0</v>
      </c>
      <c r="L341">
        <v>550</v>
      </c>
      <c r="M341">
        <v>550</v>
      </c>
      <c r="N341">
        <v>0</v>
      </c>
    </row>
    <row r="342" spans="1:14" x14ac:dyDescent="0.25">
      <c r="A342">
        <v>194.826627</v>
      </c>
      <c r="B342" s="1">
        <f>DATE(2010,11,11) + TIME(19,50,20)</f>
        <v>40493.826620370368</v>
      </c>
      <c r="C342">
        <v>80</v>
      </c>
      <c r="D342">
        <v>77.750991821</v>
      </c>
      <c r="E342">
        <v>50</v>
      </c>
      <c r="F342">
        <v>48.954406738000003</v>
      </c>
      <c r="G342">
        <v>1326.6042480000001</v>
      </c>
      <c r="H342">
        <v>1324.4678954999999</v>
      </c>
      <c r="I342">
        <v>1346.6397704999999</v>
      </c>
      <c r="J342">
        <v>1341.4346923999999</v>
      </c>
      <c r="K342">
        <v>0</v>
      </c>
      <c r="L342">
        <v>550</v>
      </c>
      <c r="M342">
        <v>550</v>
      </c>
      <c r="N342">
        <v>0</v>
      </c>
    </row>
    <row r="343" spans="1:14" x14ac:dyDescent="0.25">
      <c r="A343">
        <v>195.47201200000001</v>
      </c>
      <c r="B343" s="1">
        <f>DATE(2010,11,12) + TIME(11,19,41)</f>
        <v>40494.472002314818</v>
      </c>
      <c r="C343">
        <v>80</v>
      </c>
      <c r="D343">
        <v>77.653602599999999</v>
      </c>
      <c r="E343">
        <v>50</v>
      </c>
      <c r="F343">
        <v>49.083709716999998</v>
      </c>
      <c r="G343">
        <v>1326.5842285000001</v>
      </c>
      <c r="H343">
        <v>1324.4416504000001</v>
      </c>
      <c r="I343">
        <v>1346.6036377</v>
      </c>
      <c r="J343">
        <v>1341.4079589999999</v>
      </c>
      <c r="K343">
        <v>0</v>
      </c>
      <c r="L343">
        <v>550</v>
      </c>
      <c r="M343">
        <v>550</v>
      </c>
      <c r="N343">
        <v>0</v>
      </c>
    </row>
    <row r="344" spans="1:14" x14ac:dyDescent="0.25">
      <c r="A344">
        <v>196.143304</v>
      </c>
      <c r="B344" s="1">
        <f>DATE(2010,11,13) + TIME(3,26,21)</f>
        <v>40495.14329861111</v>
      </c>
      <c r="C344">
        <v>80</v>
      </c>
      <c r="D344">
        <v>77.553787231000001</v>
      </c>
      <c r="E344">
        <v>50</v>
      </c>
      <c r="F344">
        <v>49.195137023999997</v>
      </c>
      <c r="G344">
        <v>1326.5632324000001</v>
      </c>
      <c r="H344">
        <v>1324.4140625</v>
      </c>
      <c r="I344">
        <v>1346.5683594</v>
      </c>
      <c r="J344">
        <v>1341.3809814000001</v>
      </c>
      <c r="K344">
        <v>0</v>
      </c>
      <c r="L344">
        <v>550</v>
      </c>
      <c r="M344">
        <v>550</v>
      </c>
      <c r="N344">
        <v>0</v>
      </c>
    </row>
    <row r="345" spans="1:14" x14ac:dyDescent="0.25">
      <c r="A345">
        <v>196.84436099999999</v>
      </c>
      <c r="B345" s="1">
        <f>DATE(2010,11,13) + TIME(20,15,52)</f>
        <v>40495.844351851854</v>
      </c>
      <c r="C345">
        <v>80</v>
      </c>
      <c r="D345">
        <v>77.451110839999998</v>
      </c>
      <c r="E345">
        <v>50</v>
      </c>
      <c r="F345">
        <v>49.290912628000001</v>
      </c>
      <c r="G345">
        <v>1326.5412598</v>
      </c>
      <c r="H345">
        <v>1324.3852539</v>
      </c>
      <c r="I345">
        <v>1346.5335693</v>
      </c>
      <c r="J345">
        <v>1341.3537598</v>
      </c>
      <c r="K345">
        <v>0</v>
      </c>
      <c r="L345">
        <v>550</v>
      </c>
      <c r="M345">
        <v>550</v>
      </c>
      <c r="N345">
        <v>0</v>
      </c>
    </row>
    <row r="346" spans="1:14" x14ac:dyDescent="0.25">
      <c r="A346">
        <v>197.577504</v>
      </c>
      <c r="B346" s="1">
        <f>DATE(2010,11,14) + TIME(13,51,36)</f>
        <v>40496.577499999999</v>
      </c>
      <c r="C346">
        <v>80</v>
      </c>
      <c r="D346">
        <v>77.345344542999996</v>
      </c>
      <c r="E346">
        <v>50</v>
      </c>
      <c r="F346">
        <v>49.372798920000001</v>
      </c>
      <c r="G346">
        <v>1326.5181885</v>
      </c>
      <c r="H346">
        <v>1324.3549805</v>
      </c>
      <c r="I346">
        <v>1346.4992675999999</v>
      </c>
      <c r="J346">
        <v>1341.3260498</v>
      </c>
      <c r="K346">
        <v>0</v>
      </c>
      <c r="L346">
        <v>550</v>
      </c>
      <c r="M346">
        <v>550</v>
      </c>
      <c r="N346">
        <v>0</v>
      </c>
    </row>
    <row r="347" spans="1:14" x14ac:dyDescent="0.25">
      <c r="A347">
        <v>198.347487</v>
      </c>
      <c r="B347" s="1">
        <f>DATE(2010,11,15) + TIME(8,20,22)</f>
        <v>40497.34747685185</v>
      </c>
      <c r="C347">
        <v>80</v>
      </c>
      <c r="D347">
        <v>77.236000060999999</v>
      </c>
      <c r="E347">
        <v>50</v>
      </c>
      <c r="F347">
        <v>49.442584990999997</v>
      </c>
      <c r="G347">
        <v>1326.4938964999999</v>
      </c>
      <c r="H347">
        <v>1324.3231201000001</v>
      </c>
      <c r="I347">
        <v>1346.4652100000001</v>
      </c>
      <c r="J347">
        <v>1341.2980957</v>
      </c>
      <c r="K347">
        <v>0</v>
      </c>
      <c r="L347">
        <v>550</v>
      </c>
      <c r="M347">
        <v>550</v>
      </c>
      <c r="N347">
        <v>0</v>
      </c>
    </row>
    <row r="348" spans="1:14" x14ac:dyDescent="0.25">
      <c r="A348">
        <v>199.15980500000001</v>
      </c>
      <c r="B348" s="1">
        <f>DATE(2010,11,16) + TIME(3,50,7)</f>
        <v>40498.159803240742</v>
      </c>
      <c r="C348">
        <v>80</v>
      </c>
      <c r="D348">
        <v>77.122512817</v>
      </c>
      <c r="E348">
        <v>50</v>
      </c>
      <c r="F348">
        <v>49.501846313000001</v>
      </c>
      <c r="G348">
        <v>1326.4681396000001</v>
      </c>
      <c r="H348">
        <v>1324.2894286999999</v>
      </c>
      <c r="I348">
        <v>1346.4312743999999</v>
      </c>
      <c r="J348">
        <v>1341.2696533000001</v>
      </c>
      <c r="K348">
        <v>0</v>
      </c>
      <c r="L348">
        <v>550</v>
      </c>
      <c r="M348">
        <v>550</v>
      </c>
      <c r="N348">
        <v>0</v>
      </c>
    </row>
    <row r="349" spans="1:14" x14ac:dyDescent="0.25">
      <c r="A349">
        <v>200.019982</v>
      </c>
      <c r="B349" s="1">
        <f>DATE(2010,11,17) + TIME(0,28,46)</f>
        <v>40499.019976851851</v>
      </c>
      <c r="C349">
        <v>80</v>
      </c>
      <c r="D349">
        <v>77.004348754999995</v>
      </c>
      <c r="E349">
        <v>50</v>
      </c>
      <c r="F349">
        <v>49.551918030000003</v>
      </c>
      <c r="G349">
        <v>1326.440918</v>
      </c>
      <c r="H349">
        <v>1324.2536620999999</v>
      </c>
      <c r="I349">
        <v>1346.3972168</v>
      </c>
      <c r="J349">
        <v>1341.2406006000001</v>
      </c>
      <c r="K349">
        <v>0</v>
      </c>
      <c r="L349">
        <v>550</v>
      </c>
      <c r="M349">
        <v>550</v>
      </c>
      <c r="N349">
        <v>0</v>
      </c>
    </row>
    <row r="350" spans="1:14" x14ac:dyDescent="0.25">
      <c r="A350">
        <v>200.93350799999999</v>
      </c>
      <c r="B350" s="1">
        <f>DATE(2010,11,17) + TIME(22,24,15)</f>
        <v>40499.933506944442</v>
      </c>
      <c r="C350">
        <v>80</v>
      </c>
      <c r="D350">
        <v>76.881004333000007</v>
      </c>
      <c r="E350">
        <v>50</v>
      </c>
      <c r="F350">
        <v>49.593967438</v>
      </c>
      <c r="G350">
        <v>1326.4117432</v>
      </c>
      <c r="H350">
        <v>1324.2154541</v>
      </c>
      <c r="I350">
        <v>1346.3630370999999</v>
      </c>
      <c r="J350">
        <v>1341.2110596</v>
      </c>
      <c r="K350">
        <v>0</v>
      </c>
      <c r="L350">
        <v>550</v>
      </c>
      <c r="M350">
        <v>550</v>
      </c>
      <c r="N350">
        <v>0</v>
      </c>
    </row>
    <row r="351" spans="1:14" x14ac:dyDescent="0.25">
      <c r="A351">
        <v>201.90911199999999</v>
      </c>
      <c r="B351" s="1">
        <f>DATE(2010,11,18) + TIME(21,49,7)</f>
        <v>40500.909108796295</v>
      </c>
      <c r="C351">
        <v>80</v>
      </c>
      <c r="D351">
        <v>76.751663207999997</v>
      </c>
      <c r="E351">
        <v>50</v>
      </c>
      <c r="F351">
        <v>49.629138947000001</v>
      </c>
      <c r="G351">
        <v>1326.3806152</v>
      </c>
      <c r="H351">
        <v>1324.1746826000001</v>
      </c>
      <c r="I351">
        <v>1346.3286132999999</v>
      </c>
      <c r="J351">
        <v>1341.1809082</v>
      </c>
      <c r="K351">
        <v>0</v>
      </c>
      <c r="L351">
        <v>550</v>
      </c>
      <c r="M351">
        <v>550</v>
      </c>
      <c r="N351">
        <v>0</v>
      </c>
    </row>
    <row r="352" spans="1:14" x14ac:dyDescent="0.25">
      <c r="A352">
        <v>202.955163</v>
      </c>
      <c r="B352" s="1">
        <f>DATE(2010,11,19) + TIME(22,55,26)</f>
        <v>40501.95516203704</v>
      </c>
      <c r="C352">
        <v>80</v>
      </c>
      <c r="D352">
        <v>76.615592957000004</v>
      </c>
      <c r="E352">
        <v>50</v>
      </c>
      <c r="F352">
        <v>49.658386229999998</v>
      </c>
      <c r="G352">
        <v>1326.3472899999999</v>
      </c>
      <c r="H352">
        <v>1324.1307373</v>
      </c>
      <c r="I352">
        <v>1346.2938231999999</v>
      </c>
      <c r="J352">
        <v>1341.1500243999999</v>
      </c>
      <c r="K352">
        <v>0</v>
      </c>
      <c r="L352">
        <v>550</v>
      </c>
      <c r="M352">
        <v>550</v>
      </c>
      <c r="N352">
        <v>0</v>
      </c>
    </row>
    <row r="353" spans="1:14" x14ac:dyDescent="0.25">
      <c r="A353">
        <v>204.048194</v>
      </c>
      <c r="B353" s="1">
        <f>DATE(2010,11,21) + TIME(1,9,23)</f>
        <v>40503.048182870371</v>
      </c>
      <c r="C353">
        <v>80</v>
      </c>
      <c r="D353">
        <v>76.475402832</v>
      </c>
      <c r="E353">
        <v>50</v>
      </c>
      <c r="F353">
        <v>49.682014465000002</v>
      </c>
      <c r="G353">
        <v>1326.3112793</v>
      </c>
      <c r="H353">
        <v>1324.0836182</v>
      </c>
      <c r="I353">
        <v>1346.2585449000001</v>
      </c>
      <c r="J353">
        <v>1341.1185303</v>
      </c>
      <c r="K353">
        <v>0</v>
      </c>
      <c r="L353">
        <v>550</v>
      </c>
      <c r="M353">
        <v>550</v>
      </c>
      <c r="N353">
        <v>0</v>
      </c>
    </row>
    <row r="354" spans="1:14" x14ac:dyDescent="0.25">
      <c r="A354">
        <v>205.15105399999999</v>
      </c>
      <c r="B354" s="1">
        <f>DATE(2010,11,22) + TIME(3,37,31)</f>
        <v>40504.151053240741</v>
      </c>
      <c r="C354">
        <v>80</v>
      </c>
      <c r="D354">
        <v>76.335037231000001</v>
      </c>
      <c r="E354">
        <v>50</v>
      </c>
      <c r="F354">
        <v>49.700546265</v>
      </c>
      <c r="G354">
        <v>1326.2735596</v>
      </c>
      <c r="H354">
        <v>1324.0341797000001</v>
      </c>
      <c r="I354">
        <v>1346.2237548999999</v>
      </c>
      <c r="J354">
        <v>1341.0871582</v>
      </c>
      <c r="K354">
        <v>0</v>
      </c>
      <c r="L354">
        <v>550</v>
      </c>
      <c r="M354">
        <v>550</v>
      </c>
      <c r="N354">
        <v>0</v>
      </c>
    </row>
    <row r="355" spans="1:14" x14ac:dyDescent="0.25">
      <c r="A355">
        <v>206.26601600000001</v>
      </c>
      <c r="B355" s="1">
        <f>DATE(2010,11,23) + TIME(6,23,3)</f>
        <v>40505.266006944446</v>
      </c>
      <c r="C355">
        <v>80</v>
      </c>
      <c r="D355">
        <v>76.194427489999995</v>
      </c>
      <c r="E355">
        <v>50</v>
      </c>
      <c r="F355">
        <v>49.715202331999997</v>
      </c>
      <c r="G355">
        <v>1326.2351074000001</v>
      </c>
      <c r="H355">
        <v>1323.9836425999999</v>
      </c>
      <c r="I355">
        <v>1346.1903076000001</v>
      </c>
      <c r="J355">
        <v>1341.0568848</v>
      </c>
      <c r="K355">
        <v>0</v>
      </c>
      <c r="L355">
        <v>550</v>
      </c>
      <c r="M355">
        <v>550</v>
      </c>
      <c r="N355">
        <v>0</v>
      </c>
    </row>
    <row r="356" spans="1:14" x14ac:dyDescent="0.25">
      <c r="A356">
        <v>207.399022</v>
      </c>
      <c r="B356" s="1">
        <f>DATE(2010,11,24) + TIME(9,34,35)</f>
        <v>40506.399016203701</v>
      </c>
      <c r="C356">
        <v>80</v>
      </c>
      <c r="D356">
        <v>76.053085327000005</v>
      </c>
      <c r="E356">
        <v>50</v>
      </c>
      <c r="F356">
        <v>49.726928710999999</v>
      </c>
      <c r="G356">
        <v>1326.1956786999999</v>
      </c>
      <c r="H356">
        <v>1323.9318848</v>
      </c>
      <c r="I356">
        <v>1346.1583252</v>
      </c>
      <c r="J356">
        <v>1341.0275879000001</v>
      </c>
      <c r="K356">
        <v>0</v>
      </c>
      <c r="L356">
        <v>550</v>
      </c>
      <c r="M356">
        <v>550</v>
      </c>
      <c r="N356">
        <v>0</v>
      </c>
    </row>
    <row r="357" spans="1:14" x14ac:dyDescent="0.25">
      <c r="A357">
        <v>208.55613700000001</v>
      </c>
      <c r="B357" s="1">
        <f>DATE(2010,11,25) + TIME(13,20,50)</f>
        <v>40507.556134259263</v>
      </c>
      <c r="C357">
        <v>80</v>
      </c>
      <c r="D357">
        <v>75.910499572999996</v>
      </c>
      <c r="E357">
        <v>50</v>
      </c>
      <c r="F357">
        <v>49.736415862999998</v>
      </c>
      <c r="G357">
        <v>1326.1553954999999</v>
      </c>
      <c r="H357">
        <v>1323.8787841999999</v>
      </c>
      <c r="I357">
        <v>1346.1273193</v>
      </c>
      <c r="J357">
        <v>1340.9992675999999</v>
      </c>
      <c r="K357">
        <v>0</v>
      </c>
      <c r="L357">
        <v>550</v>
      </c>
      <c r="M357">
        <v>550</v>
      </c>
      <c r="N357">
        <v>0</v>
      </c>
    </row>
    <row r="358" spans="1:14" x14ac:dyDescent="0.25">
      <c r="A358">
        <v>209.743528</v>
      </c>
      <c r="B358" s="1">
        <f>DATE(2010,11,26) + TIME(17,50,40)</f>
        <v>40508.743518518517</v>
      </c>
      <c r="C358">
        <v>80</v>
      </c>
      <c r="D358">
        <v>75.766159058</v>
      </c>
      <c r="E358">
        <v>50</v>
      </c>
      <c r="F358">
        <v>49.744182586999997</v>
      </c>
      <c r="G358">
        <v>1326.1138916</v>
      </c>
      <c r="H358">
        <v>1323.8239745999999</v>
      </c>
      <c r="I358">
        <v>1346.097168</v>
      </c>
      <c r="J358">
        <v>1340.9715576000001</v>
      </c>
      <c r="K358">
        <v>0</v>
      </c>
      <c r="L358">
        <v>550</v>
      </c>
      <c r="M358">
        <v>550</v>
      </c>
      <c r="N358">
        <v>0</v>
      </c>
    </row>
    <row r="359" spans="1:14" x14ac:dyDescent="0.25">
      <c r="A359">
        <v>210.96331799999999</v>
      </c>
      <c r="B359" s="1">
        <f>DATE(2010,11,27) + TIME(23,7,10)</f>
        <v>40509.963310185187</v>
      </c>
      <c r="C359">
        <v>80</v>
      </c>
      <c r="D359">
        <v>75.619926453000005</v>
      </c>
      <c r="E359">
        <v>50</v>
      </c>
      <c r="F359">
        <v>49.750595093000001</v>
      </c>
      <c r="G359">
        <v>1326.0710449000001</v>
      </c>
      <c r="H359">
        <v>1323.7673339999999</v>
      </c>
      <c r="I359">
        <v>1346.067749</v>
      </c>
      <c r="J359">
        <v>1340.9444579999999</v>
      </c>
      <c r="K359">
        <v>0</v>
      </c>
      <c r="L359">
        <v>550</v>
      </c>
      <c r="M359">
        <v>550</v>
      </c>
      <c r="N359">
        <v>0</v>
      </c>
    </row>
    <row r="360" spans="1:14" x14ac:dyDescent="0.25">
      <c r="A360">
        <v>212.22056900000001</v>
      </c>
      <c r="B360" s="1">
        <f>DATE(2010,11,29) + TIME(5,17,37)</f>
        <v>40511.220567129632</v>
      </c>
      <c r="C360">
        <v>80</v>
      </c>
      <c r="D360">
        <v>75.471382141000007</v>
      </c>
      <c r="E360">
        <v>50</v>
      </c>
      <c r="F360">
        <v>49.755950927999997</v>
      </c>
      <c r="G360">
        <v>1326.0267334</v>
      </c>
      <c r="H360">
        <v>1323.7086182</v>
      </c>
      <c r="I360">
        <v>1346.0389404</v>
      </c>
      <c r="J360">
        <v>1340.9178466999999</v>
      </c>
      <c r="K360">
        <v>0</v>
      </c>
      <c r="L360">
        <v>550</v>
      </c>
      <c r="M360">
        <v>550</v>
      </c>
      <c r="N360">
        <v>0</v>
      </c>
    </row>
    <row r="361" spans="1:14" x14ac:dyDescent="0.25">
      <c r="A361">
        <v>213.52231399999999</v>
      </c>
      <c r="B361" s="1">
        <f>DATE(2010,11,30) + TIME(12,32,7)</f>
        <v>40512.522303240738</v>
      </c>
      <c r="C361">
        <v>80</v>
      </c>
      <c r="D361">
        <v>75.319953917999996</v>
      </c>
      <c r="E361">
        <v>50</v>
      </c>
      <c r="F361">
        <v>49.760482787999997</v>
      </c>
      <c r="G361">
        <v>1325.9807129000001</v>
      </c>
      <c r="H361">
        <v>1323.6475829999999</v>
      </c>
      <c r="I361">
        <v>1346.0106201000001</v>
      </c>
      <c r="J361">
        <v>1340.8917236</v>
      </c>
      <c r="K361">
        <v>0</v>
      </c>
      <c r="L361">
        <v>550</v>
      </c>
      <c r="M361">
        <v>550</v>
      </c>
      <c r="N361">
        <v>0</v>
      </c>
    </row>
    <row r="362" spans="1:14" x14ac:dyDescent="0.25">
      <c r="A362">
        <v>214</v>
      </c>
      <c r="B362" s="1">
        <f>DATE(2010,12,1) + TIME(0,0,0)</f>
        <v>40513</v>
      </c>
      <c r="C362">
        <v>80</v>
      </c>
      <c r="D362">
        <v>75.255874633999994</v>
      </c>
      <c r="E362">
        <v>50</v>
      </c>
      <c r="F362">
        <v>49.762008667000003</v>
      </c>
      <c r="G362">
        <v>1325.9366454999999</v>
      </c>
      <c r="H362">
        <v>1323.5920410000001</v>
      </c>
      <c r="I362">
        <v>1345.9826660000001</v>
      </c>
      <c r="J362">
        <v>1340.8657227000001</v>
      </c>
      <c r="K362">
        <v>0</v>
      </c>
      <c r="L362">
        <v>550</v>
      </c>
      <c r="M362">
        <v>550</v>
      </c>
      <c r="N362">
        <v>0</v>
      </c>
    </row>
    <row r="363" spans="1:14" x14ac:dyDescent="0.25">
      <c r="A363">
        <v>215.35405600000001</v>
      </c>
      <c r="B363" s="1">
        <f>DATE(2010,12,2) + TIME(8,29,50)</f>
        <v>40514.354050925926</v>
      </c>
      <c r="C363">
        <v>80</v>
      </c>
      <c r="D363">
        <v>75.103401184000006</v>
      </c>
      <c r="E363">
        <v>50</v>
      </c>
      <c r="F363">
        <v>49.765625</v>
      </c>
      <c r="G363">
        <v>1325.9135742000001</v>
      </c>
      <c r="H363">
        <v>1323.5579834</v>
      </c>
      <c r="I363">
        <v>1345.9729004000001</v>
      </c>
      <c r="J363">
        <v>1340.8566894999999</v>
      </c>
      <c r="K363">
        <v>0</v>
      </c>
      <c r="L363">
        <v>550</v>
      </c>
      <c r="M363">
        <v>550</v>
      </c>
      <c r="N363">
        <v>0</v>
      </c>
    </row>
    <row r="364" spans="1:14" x14ac:dyDescent="0.25">
      <c r="A364">
        <v>216.786293</v>
      </c>
      <c r="B364" s="1">
        <f>DATE(2010,12,3) + TIME(18,52,15)</f>
        <v>40515.78628472222</v>
      </c>
      <c r="C364">
        <v>80</v>
      </c>
      <c r="D364">
        <v>74.944854735999996</v>
      </c>
      <c r="E364">
        <v>50</v>
      </c>
      <c r="F364">
        <v>49.768821715999998</v>
      </c>
      <c r="G364">
        <v>1325.8637695</v>
      </c>
      <c r="H364">
        <v>1323.4916992000001</v>
      </c>
      <c r="I364">
        <v>1345.9456786999999</v>
      </c>
      <c r="J364">
        <v>1340.8314209</v>
      </c>
      <c r="K364">
        <v>0</v>
      </c>
      <c r="L364">
        <v>550</v>
      </c>
      <c r="M364">
        <v>550</v>
      </c>
      <c r="N364">
        <v>0</v>
      </c>
    </row>
    <row r="365" spans="1:14" x14ac:dyDescent="0.25">
      <c r="A365">
        <v>218.28448900000001</v>
      </c>
      <c r="B365" s="1">
        <f>DATE(2010,12,5) + TIME(6,49,39)</f>
        <v>40517.284479166665</v>
      </c>
      <c r="C365">
        <v>80</v>
      </c>
      <c r="D365">
        <v>74.781234741000006</v>
      </c>
      <c r="E365">
        <v>50</v>
      </c>
      <c r="F365">
        <v>49.771636962999999</v>
      </c>
      <c r="G365">
        <v>1325.8107910000001</v>
      </c>
      <c r="H365">
        <v>1323.4211425999999</v>
      </c>
      <c r="I365">
        <v>1345.9182129000001</v>
      </c>
      <c r="J365">
        <v>1340.8059082</v>
      </c>
      <c r="K365">
        <v>0</v>
      </c>
      <c r="L365">
        <v>550</v>
      </c>
      <c r="M365">
        <v>550</v>
      </c>
      <c r="N365">
        <v>0</v>
      </c>
    </row>
    <row r="366" spans="1:14" x14ac:dyDescent="0.25">
      <c r="A366">
        <v>219.86087499999999</v>
      </c>
      <c r="B366" s="1">
        <f>DATE(2010,12,6) + TIME(20,39,39)</f>
        <v>40518.860868055555</v>
      </c>
      <c r="C366">
        <v>80</v>
      </c>
      <c r="D366">
        <v>74.611724854000002</v>
      </c>
      <c r="E366">
        <v>50</v>
      </c>
      <c r="F366">
        <v>49.774154662999997</v>
      </c>
      <c r="G366">
        <v>1325.7547606999999</v>
      </c>
      <c r="H366">
        <v>1323.3465576000001</v>
      </c>
      <c r="I366">
        <v>1345.8908690999999</v>
      </c>
      <c r="J366">
        <v>1340.7803954999999</v>
      </c>
      <c r="K366">
        <v>0</v>
      </c>
      <c r="L366">
        <v>550</v>
      </c>
      <c r="M366">
        <v>550</v>
      </c>
      <c r="N366">
        <v>0</v>
      </c>
    </row>
    <row r="367" spans="1:14" x14ac:dyDescent="0.25">
      <c r="A367">
        <v>221.528909</v>
      </c>
      <c r="B367" s="1">
        <f>DATE(2010,12,8) + TIME(12,41,37)</f>
        <v>40520.528900462959</v>
      </c>
      <c r="C367">
        <v>80</v>
      </c>
      <c r="D367">
        <v>74.435333252000007</v>
      </c>
      <c r="E367">
        <v>50</v>
      </c>
      <c r="F367">
        <v>49.776432036999999</v>
      </c>
      <c r="G367">
        <v>1325.6954346</v>
      </c>
      <c r="H367">
        <v>1323.2673339999999</v>
      </c>
      <c r="I367">
        <v>1345.8635254000001</v>
      </c>
      <c r="J367">
        <v>1340.7548827999999</v>
      </c>
      <c r="K367">
        <v>0</v>
      </c>
      <c r="L367">
        <v>550</v>
      </c>
      <c r="M367">
        <v>550</v>
      </c>
      <c r="N367">
        <v>0</v>
      </c>
    </row>
    <row r="368" spans="1:14" x14ac:dyDescent="0.25">
      <c r="A368">
        <v>223.25674900000001</v>
      </c>
      <c r="B368" s="1">
        <f>DATE(2010,12,10) + TIME(6,9,43)</f>
        <v>40522.256747685184</v>
      </c>
      <c r="C368">
        <v>80</v>
      </c>
      <c r="D368">
        <v>74.254463196000003</v>
      </c>
      <c r="E368">
        <v>50</v>
      </c>
      <c r="F368">
        <v>49.778469086000001</v>
      </c>
      <c r="G368">
        <v>1325.6324463000001</v>
      </c>
      <c r="H368">
        <v>1323.1831055</v>
      </c>
      <c r="I368">
        <v>1345.8359375</v>
      </c>
      <c r="J368">
        <v>1340.729126</v>
      </c>
      <c r="K368">
        <v>0</v>
      </c>
      <c r="L368">
        <v>550</v>
      </c>
      <c r="M368">
        <v>550</v>
      </c>
      <c r="N368">
        <v>0</v>
      </c>
    </row>
    <row r="369" spans="1:14" x14ac:dyDescent="0.25">
      <c r="A369">
        <v>225.00844000000001</v>
      </c>
      <c r="B369" s="1">
        <f>DATE(2010,12,12) + TIME(0,12,9)</f>
        <v>40524.008437500001</v>
      </c>
      <c r="C369">
        <v>80</v>
      </c>
      <c r="D369">
        <v>74.071929932000003</v>
      </c>
      <c r="E369">
        <v>50</v>
      </c>
      <c r="F369">
        <v>49.780269623000002</v>
      </c>
      <c r="G369">
        <v>1325.5667725000001</v>
      </c>
      <c r="H369">
        <v>1323.0952147999999</v>
      </c>
      <c r="I369">
        <v>1345.8087158000001</v>
      </c>
      <c r="J369">
        <v>1340.7037353999999</v>
      </c>
      <c r="K369">
        <v>0</v>
      </c>
      <c r="L369">
        <v>550</v>
      </c>
      <c r="M369">
        <v>550</v>
      </c>
      <c r="N369">
        <v>0</v>
      </c>
    </row>
    <row r="370" spans="1:14" x14ac:dyDescent="0.25">
      <c r="A370">
        <v>226.78021200000001</v>
      </c>
      <c r="B370" s="1">
        <f>DATE(2010,12,13) + TIME(18,43,30)</f>
        <v>40525.78020833333</v>
      </c>
      <c r="C370">
        <v>80</v>
      </c>
      <c r="D370">
        <v>73.888313292999996</v>
      </c>
      <c r="E370">
        <v>50</v>
      </c>
      <c r="F370">
        <v>49.781879425</v>
      </c>
      <c r="G370">
        <v>1325.4993896000001</v>
      </c>
      <c r="H370">
        <v>1323.0050048999999</v>
      </c>
      <c r="I370">
        <v>1345.7825928</v>
      </c>
      <c r="J370">
        <v>1340.6791992000001</v>
      </c>
      <c r="K370">
        <v>0</v>
      </c>
      <c r="L370">
        <v>550</v>
      </c>
      <c r="M370">
        <v>550</v>
      </c>
      <c r="N370">
        <v>0</v>
      </c>
    </row>
    <row r="371" spans="1:14" x14ac:dyDescent="0.25">
      <c r="A371">
        <v>228.58253999999999</v>
      </c>
      <c r="B371" s="1">
        <f>DATE(2010,12,15) + TIME(13,58,51)</f>
        <v>40527.58253472222</v>
      </c>
      <c r="C371">
        <v>80</v>
      </c>
      <c r="D371">
        <v>73.703056334999999</v>
      </c>
      <c r="E371">
        <v>50</v>
      </c>
      <c r="F371">
        <v>49.783336638999998</v>
      </c>
      <c r="G371">
        <v>1325.4306641000001</v>
      </c>
      <c r="H371">
        <v>1322.9124756000001</v>
      </c>
      <c r="I371">
        <v>1345.7574463000001</v>
      </c>
      <c r="J371">
        <v>1340.6555175999999</v>
      </c>
      <c r="K371">
        <v>0</v>
      </c>
      <c r="L371">
        <v>550</v>
      </c>
      <c r="M371">
        <v>550</v>
      </c>
      <c r="N371">
        <v>0</v>
      </c>
    </row>
    <row r="372" spans="1:14" x14ac:dyDescent="0.25">
      <c r="A372">
        <v>230.42555999999999</v>
      </c>
      <c r="B372" s="1">
        <f>DATE(2010,12,17) + TIME(10,12,48)</f>
        <v>40529.425555555557</v>
      </c>
      <c r="C372">
        <v>80</v>
      </c>
      <c r="D372">
        <v>73.515464782999999</v>
      </c>
      <c r="E372">
        <v>50</v>
      </c>
      <c r="F372">
        <v>49.784675598</v>
      </c>
      <c r="G372">
        <v>1325.3601074000001</v>
      </c>
      <c r="H372">
        <v>1322.8173827999999</v>
      </c>
      <c r="I372">
        <v>1345.7330322</v>
      </c>
      <c r="J372">
        <v>1340.6326904</v>
      </c>
      <c r="K372">
        <v>0</v>
      </c>
      <c r="L372">
        <v>550</v>
      </c>
      <c r="M372">
        <v>550</v>
      </c>
      <c r="N372">
        <v>0</v>
      </c>
    </row>
    <row r="373" spans="1:14" x14ac:dyDescent="0.25">
      <c r="A373">
        <v>232.319873</v>
      </c>
      <c r="B373" s="1">
        <f>DATE(2010,12,19) + TIME(7,40,36)</f>
        <v>40531.319861111115</v>
      </c>
      <c r="C373">
        <v>80</v>
      </c>
      <c r="D373">
        <v>73.324699401999993</v>
      </c>
      <c r="E373">
        <v>50</v>
      </c>
      <c r="F373">
        <v>49.785923003999997</v>
      </c>
      <c r="G373">
        <v>1325.2874756000001</v>
      </c>
      <c r="H373">
        <v>1322.7192382999999</v>
      </c>
      <c r="I373">
        <v>1345.7092285000001</v>
      </c>
      <c r="J373">
        <v>1340.6103516000001</v>
      </c>
      <c r="K373">
        <v>0</v>
      </c>
      <c r="L373">
        <v>550</v>
      </c>
      <c r="M373">
        <v>550</v>
      </c>
      <c r="N373">
        <v>0</v>
      </c>
    </row>
    <row r="374" spans="1:14" x14ac:dyDescent="0.25">
      <c r="A374">
        <v>234.26751899999999</v>
      </c>
      <c r="B374" s="1">
        <f>DATE(2010,12,21) + TIME(6,25,13)</f>
        <v>40533.267511574071</v>
      </c>
      <c r="C374">
        <v>80</v>
      </c>
      <c r="D374">
        <v>73.130409240999995</v>
      </c>
      <c r="E374">
        <v>50</v>
      </c>
      <c r="F374">
        <v>49.787094115999999</v>
      </c>
      <c r="G374">
        <v>1325.2125243999999</v>
      </c>
      <c r="H374">
        <v>1322.6177978999999</v>
      </c>
      <c r="I374">
        <v>1345.6859131000001</v>
      </c>
      <c r="J374">
        <v>1340.5883789</v>
      </c>
      <c r="K374">
        <v>0</v>
      </c>
      <c r="L374">
        <v>550</v>
      </c>
      <c r="M374">
        <v>550</v>
      </c>
      <c r="N374">
        <v>0</v>
      </c>
    </row>
    <row r="375" spans="1:14" x14ac:dyDescent="0.25">
      <c r="A375">
        <v>236.27752599999999</v>
      </c>
      <c r="B375" s="1">
        <f>DATE(2010,12,23) + TIME(6,39,38)</f>
        <v>40535.27752314815</v>
      </c>
      <c r="C375">
        <v>80</v>
      </c>
      <c r="D375">
        <v>72.931755065999994</v>
      </c>
      <c r="E375">
        <v>50</v>
      </c>
      <c r="F375">
        <v>49.788208007999998</v>
      </c>
      <c r="G375">
        <v>1325.1350098</v>
      </c>
      <c r="H375">
        <v>1322.5126952999999</v>
      </c>
      <c r="I375">
        <v>1345.6630858999999</v>
      </c>
      <c r="J375">
        <v>1340.5668945</v>
      </c>
      <c r="K375">
        <v>0</v>
      </c>
      <c r="L375">
        <v>550</v>
      </c>
      <c r="M375">
        <v>550</v>
      </c>
      <c r="N375">
        <v>0</v>
      </c>
    </row>
    <row r="376" spans="1:14" x14ac:dyDescent="0.25">
      <c r="A376">
        <v>238.362447</v>
      </c>
      <c r="B376" s="1">
        <f>DATE(2010,12,25) + TIME(8,41,55)</f>
        <v>40537.362442129626</v>
      </c>
      <c r="C376">
        <v>80</v>
      </c>
      <c r="D376">
        <v>72.727577209000003</v>
      </c>
      <c r="E376">
        <v>50</v>
      </c>
      <c r="F376">
        <v>49.789279938</v>
      </c>
      <c r="G376">
        <v>1325.0546875</v>
      </c>
      <c r="H376">
        <v>1322.4034423999999</v>
      </c>
      <c r="I376">
        <v>1345.6405029</v>
      </c>
      <c r="J376">
        <v>1340.5456543</v>
      </c>
      <c r="K376">
        <v>0</v>
      </c>
      <c r="L376">
        <v>550</v>
      </c>
      <c r="M376">
        <v>550</v>
      </c>
      <c r="N376">
        <v>0</v>
      </c>
    </row>
    <row r="377" spans="1:14" x14ac:dyDescent="0.25">
      <c r="A377">
        <v>240.536473</v>
      </c>
      <c r="B377" s="1">
        <f>DATE(2010,12,27) + TIME(12,52,31)</f>
        <v>40539.536469907405</v>
      </c>
      <c r="C377">
        <v>80</v>
      </c>
      <c r="D377">
        <v>72.516494750999996</v>
      </c>
      <c r="E377">
        <v>50</v>
      </c>
      <c r="F377">
        <v>49.790321349999999</v>
      </c>
      <c r="G377">
        <v>1324.9710693</v>
      </c>
      <c r="H377">
        <v>1322.2894286999999</v>
      </c>
      <c r="I377">
        <v>1345.6181641000001</v>
      </c>
      <c r="J377">
        <v>1340.5247803</v>
      </c>
      <c r="K377">
        <v>0</v>
      </c>
      <c r="L377">
        <v>550</v>
      </c>
      <c r="M377">
        <v>550</v>
      </c>
      <c r="N377">
        <v>0</v>
      </c>
    </row>
    <row r="378" spans="1:14" x14ac:dyDescent="0.25">
      <c r="A378">
        <v>242.785349</v>
      </c>
      <c r="B378" s="1">
        <f>DATE(2010,12,29) + TIME(18,50,54)</f>
        <v>40541.78534722222</v>
      </c>
      <c r="C378">
        <v>80</v>
      </c>
      <c r="D378">
        <v>72.298805236999996</v>
      </c>
      <c r="E378">
        <v>50</v>
      </c>
      <c r="F378">
        <v>49.791336059999999</v>
      </c>
      <c r="G378">
        <v>1324.8835449000001</v>
      </c>
      <c r="H378">
        <v>1322.1700439000001</v>
      </c>
      <c r="I378">
        <v>1345.5959473</v>
      </c>
      <c r="J378">
        <v>1340.5037841999999</v>
      </c>
      <c r="K378">
        <v>0</v>
      </c>
      <c r="L378">
        <v>550</v>
      </c>
      <c r="M378">
        <v>550</v>
      </c>
      <c r="N378">
        <v>0</v>
      </c>
    </row>
    <row r="379" spans="1:14" x14ac:dyDescent="0.25">
      <c r="A379">
        <v>245</v>
      </c>
      <c r="B379" s="1">
        <f>DATE(2011,1,1) + TIME(0,0,0)</f>
        <v>40544</v>
      </c>
      <c r="C379">
        <v>80</v>
      </c>
      <c r="D379">
        <v>72.080955505000006</v>
      </c>
      <c r="E379">
        <v>50</v>
      </c>
      <c r="F379">
        <v>49.792278289999999</v>
      </c>
      <c r="G379">
        <v>1324.7930908000001</v>
      </c>
      <c r="H379">
        <v>1322.0465088000001</v>
      </c>
      <c r="I379">
        <v>1345.5738524999999</v>
      </c>
      <c r="J379">
        <v>1340.4831543</v>
      </c>
      <c r="K379">
        <v>0</v>
      </c>
      <c r="L379">
        <v>550</v>
      </c>
      <c r="M379">
        <v>550</v>
      </c>
      <c r="N379">
        <v>0</v>
      </c>
    </row>
    <row r="380" spans="1:14" x14ac:dyDescent="0.25">
      <c r="A380">
        <v>247.285617</v>
      </c>
      <c r="B380" s="1">
        <f>DATE(2011,1,3) + TIME(6,51,17)</f>
        <v>40546.285613425927</v>
      </c>
      <c r="C380">
        <v>80</v>
      </c>
      <c r="D380">
        <v>71.857101439999994</v>
      </c>
      <c r="E380">
        <v>50</v>
      </c>
      <c r="F380">
        <v>49.793209075999997</v>
      </c>
      <c r="G380">
        <v>1324.7025146000001</v>
      </c>
      <c r="H380">
        <v>1321.9221190999999</v>
      </c>
      <c r="I380">
        <v>1345.5532227000001</v>
      </c>
      <c r="J380">
        <v>1340.4637451000001</v>
      </c>
      <c r="K380">
        <v>0</v>
      </c>
      <c r="L380">
        <v>550</v>
      </c>
      <c r="M380">
        <v>550</v>
      </c>
      <c r="N380">
        <v>0</v>
      </c>
    </row>
    <row r="381" spans="1:14" x14ac:dyDescent="0.25">
      <c r="A381">
        <v>249.64458300000001</v>
      </c>
      <c r="B381" s="1">
        <f>DATE(2011,1,5) + TIME(15,28,11)</f>
        <v>40548.644571759258</v>
      </c>
      <c r="C381">
        <v>80</v>
      </c>
      <c r="D381">
        <v>71.626220703000001</v>
      </c>
      <c r="E381">
        <v>50</v>
      </c>
      <c r="F381">
        <v>49.794128418</v>
      </c>
      <c r="G381">
        <v>1324.6088867000001</v>
      </c>
      <c r="H381">
        <v>1321.7932129000001</v>
      </c>
      <c r="I381">
        <v>1345.5327147999999</v>
      </c>
      <c r="J381">
        <v>1340.4445800999999</v>
      </c>
      <c r="K381">
        <v>0</v>
      </c>
      <c r="L381">
        <v>550</v>
      </c>
      <c r="M381">
        <v>550</v>
      </c>
      <c r="N381">
        <v>0</v>
      </c>
    </row>
    <row r="382" spans="1:14" x14ac:dyDescent="0.25">
      <c r="A382">
        <v>252.04709199999999</v>
      </c>
      <c r="B382" s="1">
        <f>DATE(2011,1,8) + TIME(1,7,48)</f>
        <v>40551.047083333331</v>
      </c>
      <c r="C382">
        <v>80</v>
      </c>
      <c r="D382">
        <v>71.389266968000001</v>
      </c>
      <c r="E382">
        <v>50</v>
      </c>
      <c r="F382">
        <v>49.795028686999999</v>
      </c>
      <c r="G382">
        <v>1324.512207</v>
      </c>
      <c r="H382">
        <v>1321.6600341999999</v>
      </c>
      <c r="I382">
        <v>1345.5125731999999</v>
      </c>
      <c r="J382">
        <v>1340.4256591999999</v>
      </c>
      <c r="K382">
        <v>0</v>
      </c>
      <c r="L382">
        <v>550</v>
      </c>
      <c r="M382">
        <v>550</v>
      </c>
      <c r="N382">
        <v>0</v>
      </c>
    </row>
    <row r="383" spans="1:14" x14ac:dyDescent="0.25">
      <c r="A383">
        <v>254.498322</v>
      </c>
      <c r="B383" s="1">
        <f>DATE(2011,1,10) + TIME(11,57,34)</f>
        <v>40553.498310185183</v>
      </c>
      <c r="C383">
        <v>80</v>
      </c>
      <c r="D383">
        <v>71.145523071</v>
      </c>
      <c r="E383">
        <v>50</v>
      </c>
      <c r="F383">
        <v>49.795913696</v>
      </c>
      <c r="G383">
        <v>1324.4134521000001</v>
      </c>
      <c r="H383">
        <v>1321.5234375</v>
      </c>
      <c r="I383">
        <v>1345.4927978999999</v>
      </c>
      <c r="J383">
        <v>1340.4072266000001</v>
      </c>
      <c r="K383">
        <v>0</v>
      </c>
      <c r="L383">
        <v>550</v>
      </c>
      <c r="M383">
        <v>550</v>
      </c>
      <c r="N383">
        <v>0</v>
      </c>
    </row>
    <row r="384" spans="1:14" x14ac:dyDescent="0.25">
      <c r="A384">
        <v>257.00303500000001</v>
      </c>
      <c r="B384" s="1">
        <f>DATE(2011,1,13) + TIME(0,4,22)</f>
        <v>40556.003032407411</v>
      </c>
      <c r="C384">
        <v>80</v>
      </c>
      <c r="D384">
        <v>70.894073485999996</v>
      </c>
      <c r="E384">
        <v>50</v>
      </c>
      <c r="F384">
        <v>49.796794890999998</v>
      </c>
      <c r="G384">
        <v>1324.3122559000001</v>
      </c>
      <c r="H384">
        <v>1321.3831786999999</v>
      </c>
      <c r="I384">
        <v>1345.4733887</v>
      </c>
      <c r="J384">
        <v>1340.3892822</v>
      </c>
      <c r="K384">
        <v>0</v>
      </c>
      <c r="L384">
        <v>550</v>
      </c>
      <c r="M384">
        <v>550</v>
      </c>
      <c r="N384">
        <v>0</v>
      </c>
    </row>
    <row r="385" spans="1:14" x14ac:dyDescent="0.25">
      <c r="A385">
        <v>259.565833</v>
      </c>
      <c r="B385" s="1">
        <f>DATE(2011,1,15) + TIME(13,34,47)</f>
        <v>40558.565821759257</v>
      </c>
      <c r="C385">
        <v>80</v>
      </c>
      <c r="D385">
        <v>70.633918761999993</v>
      </c>
      <c r="E385">
        <v>50</v>
      </c>
      <c r="F385">
        <v>49.797672272</v>
      </c>
      <c r="G385">
        <v>1324.2088623</v>
      </c>
      <c r="H385">
        <v>1321.2392577999999</v>
      </c>
      <c r="I385">
        <v>1345.4543457</v>
      </c>
      <c r="J385">
        <v>1340.3717041</v>
      </c>
      <c r="K385">
        <v>0</v>
      </c>
      <c r="L385">
        <v>550</v>
      </c>
      <c r="M385">
        <v>550</v>
      </c>
      <c r="N385">
        <v>0</v>
      </c>
    </row>
    <row r="386" spans="1:14" x14ac:dyDescent="0.25">
      <c r="A386">
        <v>262.16106400000001</v>
      </c>
      <c r="B386" s="1">
        <f>DATE(2011,1,18) + TIME(3,51,55)</f>
        <v>40561.161053240743</v>
      </c>
      <c r="C386">
        <v>80</v>
      </c>
      <c r="D386">
        <v>70.365798949999999</v>
      </c>
      <c r="E386">
        <v>50</v>
      </c>
      <c r="F386">
        <v>49.798538207999997</v>
      </c>
      <c r="G386">
        <v>1324.1029053</v>
      </c>
      <c r="H386">
        <v>1321.0915527</v>
      </c>
      <c r="I386">
        <v>1345.4356689000001</v>
      </c>
      <c r="J386">
        <v>1340.3543701000001</v>
      </c>
      <c r="K386">
        <v>0</v>
      </c>
      <c r="L386">
        <v>550</v>
      </c>
      <c r="M386">
        <v>550</v>
      </c>
      <c r="N386">
        <v>0</v>
      </c>
    </row>
    <row r="387" spans="1:14" x14ac:dyDescent="0.25">
      <c r="A387">
        <v>264.794758</v>
      </c>
      <c r="B387" s="1">
        <f>DATE(2011,1,20) + TIME(19,4,27)</f>
        <v>40563.794756944444</v>
      </c>
      <c r="C387">
        <v>80</v>
      </c>
      <c r="D387">
        <v>70.088981627999999</v>
      </c>
      <c r="E387">
        <v>50</v>
      </c>
      <c r="F387">
        <v>49.799396514999998</v>
      </c>
      <c r="G387">
        <v>1323.9954834</v>
      </c>
      <c r="H387">
        <v>1320.9411620999999</v>
      </c>
      <c r="I387">
        <v>1345.4174805</v>
      </c>
      <c r="J387">
        <v>1340.3376464999999</v>
      </c>
      <c r="K387">
        <v>0</v>
      </c>
      <c r="L387">
        <v>550</v>
      </c>
      <c r="M387">
        <v>550</v>
      </c>
      <c r="N387">
        <v>0</v>
      </c>
    </row>
    <row r="388" spans="1:14" x14ac:dyDescent="0.25">
      <c r="A388">
        <v>267.47255899999999</v>
      </c>
      <c r="B388" s="1">
        <f>DATE(2011,1,23) + TIME(11,20,29)</f>
        <v>40566.472557870373</v>
      </c>
      <c r="C388">
        <v>80</v>
      </c>
      <c r="D388">
        <v>69.802261353000006</v>
      </c>
      <c r="E388">
        <v>50</v>
      </c>
      <c r="F388">
        <v>49.800251007</v>
      </c>
      <c r="G388">
        <v>1323.8863524999999</v>
      </c>
      <c r="H388">
        <v>1320.7878418</v>
      </c>
      <c r="I388">
        <v>1345.3996582</v>
      </c>
      <c r="J388">
        <v>1340.3212891000001</v>
      </c>
      <c r="K388">
        <v>0</v>
      </c>
      <c r="L388">
        <v>550</v>
      </c>
      <c r="M388">
        <v>550</v>
      </c>
      <c r="N388">
        <v>0</v>
      </c>
    </row>
    <row r="389" spans="1:14" x14ac:dyDescent="0.25">
      <c r="A389">
        <v>270.20024799999999</v>
      </c>
      <c r="B389" s="1">
        <f>DATE(2011,1,26) + TIME(4,48,21)</f>
        <v>40569.200243055559</v>
      </c>
      <c r="C389">
        <v>80</v>
      </c>
      <c r="D389">
        <v>69.504508971999996</v>
      </c>
      <c r="E389">
        <v>50</v>
      </c>
      <c r="F389">
        <v>49.801105499000002</v>
      </c>
      <c r="G389">
        <v>1323.7756348</v>
      </c>
      <c r="H389">
        <v>1320.6317139</v>
      </c>
      <c r="I389">
        <v>1345.3820800999999</v>
      </c>
      <c r="J389">
        <v>1340.3052978999999</v>
      </c>
      <c r="K389">
        <v>0</v>
      </c>
      <c r="L389">
        <v>550</v>
      </c>
      <c r="M389">
        <v>550</v>
      </c>
      <c r="N389">
        <v>0</v>
      </c>
    </row>
    <row r="390" spans="1:14" x14ac:dyDescent="0.25">
      <c r="A390">
        <v>272.98391800000002</v>
      </c>
      <c r="B390" s="1">
        <f>DATE(2011,1,28) + TIME(23,36,50)</f>
        <v>40571.983912037038</v>
      </c>
      <c r="C390">
        <v>80</v>
      </c>
      <c r="D390">
        <v>69.194450377999999</v>
      </c>
      <c r="E390">
        <v>50</v>
      </c>
      <c r="F390">
        <v>49.801963806000003</v>
      </c>
      <c r="G390">
        <v>1323.6629639</v>
      </c>
      <c r="H390">
        <v>1320.4722899999999</v>
      </c>
      <c r="I390">
        <v>1345.3648682</v>
      </c>
      <c r="J390">
        <v>1340.2897949000001</v>
      </c>
      <c r="K390">
        <v>0</v>
      </c>
      <c r="L390">
        <v>550</v>
      </c>
      <c r="M390">
        <v>550</v>
      </c>
      <c r="N390">
        <v>0</v>
      </c>
    </row>
    <row r="391" spans="1:14" x14ac:dyDescent="0.25">
      <c r="A391">
        <v>275.82035999999999</v>
      </c>
      <c r="B391" s="1">
        <f>DATE(2011,1,31) + TIME(19,41,19)</f>
        <v>40574.8203587963</v>
      </c>
      <c r="C391">
        <v>80</v>
      </c>
      <c r="D391">
        <v>68.871292113999999</v>
      </c>
      <c r="E391">
        <v>50</v>
      </c>
      <c r="F391">
        <v>49.802822112999998</v>
      </c>
      <c r="G391">
        <v>1323.5483397999999</v>
      </c>
      <c r="H391">
        <v>1320.3096923999999</v>
      </c>
      <c r="I391">
        <v>1345.3479004000001</v>
      </c>
      <c r="J391">
        <v>1340.2744141000001</v>
      </c>
      <c r="K391">
        <v>0</v>
      </c>
      <c r="L391">
        <v>550</v>
      </c>
      <c r="M391">
        <v>550</v>
      </c>
      <c r="N391">
        <v>0</v>
      </c>
    </row>
    <row r="392" spans="1:14" x14ac:dyDescent="0.25">
      <c r="A392">
        <v>276</v>
      </c>
      <c r="B392" s="1">
        <f>DATE(2011,2,1) + TIME(0,0,0)</f>
        <v>40575</v>
      </c>
      <c r="C392">
        <v>80</v>
      </c>
      <c r="D392">
        <v>68.835639954000001</v>
      </c>
      <c r="E392">
        <v>50</v>
      </c>
      <c r="F392">
        <v>49.802871703999998</v>
      </c>
      <c r="G392">
        <v>1323.4465332</v>
      </c>
      <c r="H392">
        <v>1320.1804199000001</v>
      </c>
      <c r="I392">
        <v>1345.3298339999999</v>
      </c>
      <c r="J392">
        <v>1340.2585449000001</v>
      </c>
      <c r="K392">
        <v>0</v>
      </c>
      <c r="L392">
        <v>550</v>
      </c>
      <c r="M392">
        <v>550</v>
      </c>
      <c r="N392">
        <v>0</v>
      </c>
    </row>
    <row r="393" spans="1:14" x14ac:dyDescent="0.25">
      <c r="A393">
        <v>278.87588499999998</v>
      </c>
      <c r="B393" s="1">
        <f>DATE(2011,2,3) + TIME(21,1,16)</f>
        <v>40577.875879629632</v>
      </c>
      <c r="C393">
        <v>80</v>
      </c>
      <c r="D393">
        <v>68.505081176999994</v>
      </c>
      <c r="E393">
        <v>50</v>
      </c>
      <c r="F393">
        <v>49.803730010999999</v>
      </c>
      <c r="G393">
        <v>1323.4223632999999</v>
      </c>
      <c r="H393">
        <v>1320.1292725000001</v>
      </c>
      <c r="I393">
        <v>1345.3300781</v>
      </c>
      <c r="J393">
        <v>1340.2584228999999</v>
      </c>
      <c r="K393">
        <v>0</v>
      </c>
      <c r="L393">
        <v>550</v>
      </c>
      <c r="M393">
        <v>550</v>
      </c>
      <c r="N393">
        <v>0</v>
      </c>
    </row>
    <row r="394" spans="1:14" x14ac:dyDescent="0.25">
      <c r="A394">
        <v>281.80216300000001</v>
      </c>
      <c r="B394" s="1">
        <f>DATE(2011,2,6) + TIME(19,15,6)</f>
        <v>40580.802152777775</v>
      </c>
      <c r="C394">
        <v>80</v>
      </c>
      <c r="D394">
        <v>68.157424926999994</v>
      </c>
      <c r="E394">
        <v>50</v>
      </c>
      <c r="F394">
        <v>49.804588318</v>
      </c>
      <c r="G394">
        <v>1323.3060303</v>
      </c>
      <c r="H394">
        <v>1319.9630127</v>
      </c>
      <c r="I394">
        <v>1345.3135986</v>
      </c>
      <c r="J394">
        <v>1340.2437743999999</v>
      </c>
      <c r="K394">
        <v>0</v>
      </c>
      <c r="L394">
        <v>550</v>
      </c>
      <c r="M394">
        <v>550</v>
      </c>
      <c r="N394">
        <v>0</v>
      </c>
    </row>
    <row r="395" spans="1:14" x14ac:dyDescent="0.25">
      <c r="A395">
        <v>284.78365000000002</v>
      </c>
      <c r="B395" s="1">
        <f>DATE(2011,2,9) + TIME(18,48,27)</f>
        <v>40583.783645833333</v>
      </c>
      <c r="C395">
        <v>80</v>
      </c>
      <c r="D395">
        <v>67.792694092000005</v>
      </c>
      <c r="E395">
        <v>50</v>
      </c>
      <c r="F395">
        <v>49.805446625000002</v>
      </c>
      <c r="G395">
        <v>1323.1878661999999</v>
      </c>
      <c r="H395">
        <v>1319.7933350000001</v>
      </c>
      <c r="I395">
        <v>1345.2972411999999</v>
      </c>
      <c r="J395">
        <v>1340.2293701000001</v>
      </c>
      <c r="K395">
        <v>0</v>
      </c>
      <c r="L395">
        <v>550</v>
      </c>
      <c r="M395">
        <v>550</v>
      </c>
      <c r="N395">
        <v>0</v>
      </c>
    </row>
    <row r="396" spans="1:14" x14ac:dyDescent="0.25">
      <c r="A396">
        <v>287.82854700000001</v>
      </c>
      <c r="B396" s="1">
        <f>DATE(2011,2,12) + TIME(19,53,6)</f>
        <v>40586.828541666669</v>
      </c>
      <c r="C396">
        <v>80</v>
      </c>
      <c r="D396">
        <v>67.410125731999997</v>
      </c>
      <c r="E396">
        <v>50</v>
      </c>
      <c r="F396">
        <v>49.806312560999999</v>
      </c>
      <c r="G396">
        <v>1323.0678711</v>
      </c>
      <c r="H396">
        <v>1319.6202393000001</v>
      </c>
      <c r="I396">
        <v>1345.2811279</v>
      </c>
      <c r="J396">
        <v>1340.2152100000001</v>
      </c>
      <c r="K396">
        <v>0</v>
      </c>
      <c r="L396">
        <v>550</v>
      </c>
      <c r="M396">
        <v>550</v>
      </c>
      <c r="N396">
        <v>0</v>
      </c>
    </row>
    <row r="397" spans="1:14" x14ac:dyDescent="0.25">
      <c r="A397">
        <v>290.93939399999999</v>
      </c>
      <c r="B397" s="1">
        <f>DATE(2011,2,15) + TIME(22,32,43)</f>
        <v>40589.939386574071</v>
      </c>
      <c r="C397">
        <v>80</v>
      </c>
      <c r="D397">
        <v>67.008918761999993</v>
      </c>
      <c r="E397">
        <v>50</v>
      </c>
      <c r="F397">
        <v>49.807178497000002</v>
      </c>
      <c r="G397">
        <v>1322.9462891000001</v>
      </c>
      <c r="H397">
        <v>1319.4440918</v>
      </c>
      <c r="I397">
        <v>1345.2650146000001</v>
      </c>
      <c r="J397">
        <v>1340.2012939000001</v>
      </c>
      <c r="K397">
        <v>0</v>
      </c>
      <c r="L397">
        <v>550</v>
      </c>
      <c r="M397">
        <v>550</v>
      </c>
      <c r="N397">
        <v>0</v>
      </c>
    </row>
    <row r="398" spans="1:14" x14ac:dyDescent="0.25">
      <c r="A398">
        <v>294.10083400000002</v>
      </c>
      <c r="B398" s="1">
        <f>DATE(2011,2,19) + TIME(2,25,12)</f>
        <v>40593.10083333333</v>
      </c>
      <c r="C398">
        <v>80</v>
      </c>
      <c r="D398">
        <v>66.589477539000001</v>
      </c>
      <c r="E398">
        <v>50</v>
      </c>
      <c r="F398">
        <v>49.808048247999999</v>
      </c>
      <c r="G398">
        <v>1322.8232422000001</v>
      </c>
      <c r="H398">
        <v>1319.2648925999999</v>
      </c>
      <c r="I398">
        <v>1345.2490233999999</v>
      </c>
      <c r="J398">
        <v>1340.1875</v>
      </c>
      <c r="K398">
        <v>0</v>
      </c>
      <c r="L398">
        <v>550</v>
      </c>
      <c r="M398">
        <v>550</v>
      </c>
      <c r="N398">
        <v>0</v>
      </c>
    </row>
    <row r="399" spans="1:14" x14ac:dyDescent="0.25">
      <c r="A399">
        <v>297.32340099999999</v>
      </c>
      <c r="B399" s="1">
        <f>DATE(2011,2,22) + TIME(7,45,41)</f>
        <v>40596.323391203703</v>
      </c>
      <c r="C399">
        <v>80</v>
      </c>
      <c r="D399">
        <v>66.151039123999993</v>
      </c>
      <c r="E399">
        <v>50</v>
      </c>
      <c r="F399">
        <v>49.808921814000001</v>
      </c>
      <c r="G399">
        <v>1322.6993408000001</v>
      </c>
      <c r="H399">
        <v>1319.0834961</v>
      </c>
      <c r="I399">
        <v>1345.2331543</v>
      </c>
      <c r="J399">
        <v>1340.1738281</v>
      </c>
      <c r="K399">
        <v>0</v>
      </c>
      <c r="L399">
        <v>550</v>
      </c>
      <c r="M399">
        <v>550</v>
      </c>
      <c r="N399">
        <v>0</v>
      </c>
    </row>
    <row r="400" spans="1:14" x14ac:dyDescent="0.25">
      <c r="A400">
        <v>300.61801500000001</v>
      </c>
      <c r="B400" s="1">
        <f>DATE(2011,2,25) + TIME(14,49,56)</f>
        <v>40599.618009259262</v>
      </c>
      <c r="C400">
        <v>80</v>
      </c>
      <c r="D400">
        <v>65.692367554</v>
      </c>
      <c r="E400">
        <v>50</v>
      </c>
      <c r="F400">
        <v>49.809803008999999</v>
      </c>
      <c r="G400">
        <v>1322.5744629000001</v>
      </c>
      <c r="H400">
        <v>1318.8999022999999</v>
      </c>
      <c r="I400">
        <v>1345.2172852000001</v>
      </c>
      <c r="J400">
        <v>1340.1604004000001</v>
      </c>
      <c r="K400">
        <v>0</v>
      </c>
      <c r="L400">
        <v>550</v>
      </c>
      <c r="M400">
        <v>550</v>
      </c>
      <c r="N400">
        <v>0</v>
      </c>
    </row>
    <row r="401" spans="1:14" x14ac:dyDescent="0.25">
      <c r="A401">
        <v>304</v>
      </c>
      <c r="B401" s="1">
        <f>DATE(2011,3,1) + TIME(0,0,0)</f>
        <v>40603</v>
      </c>
      <c r="C401">
        <v>80</v>
      </c>
      <c r="D401">
        <v>65.211654663000004</v>
      </c>
      <c r="E401">
        <v>50</v>
      </c>
      <c r="F401">
        <v>49.810691833</v>
      </c>
      <c r="G401">
        <v>1322.4484863</v>
      </c>
      <c r="H401">
        <v>1318.7136230000001</v>
      </c>
      <c r="I401">
        <v>1345.2015381000001</v>
      </c>
      <c r="J401">
        <v>1340.1470947</v>
      </c>
      <c r="K401">
        <v>0</v>
      </c>
      <c r="L401">
        <v>550</v>
      </c>
      <c r="M401">
        <v>550</v>
      </c>
      <c r="N401">
        <v>0</v>
      </c>
    </row>
    <row r="402" spans="1:14" x14ac:dyDescent="0.25">
      <c r="A402">
        <v>307.37293299999999</v>
      </c>
      <c r="B402" s="1">
        <f>DATE(2011,3,4) + TIME(8,57,1)</f>
        <v>40606.372928240744</v>
      </c>
      <c r="C402">
        <v>80</v>
      </c>
      <c r="D402">
        <v>64.714988708000007</v>
      </c>
      <c r="E402">
        <v>50</v>
      </c>
      <c r="F402">
        <v>49.811561584000003</v>
      </c>
      <c r="G402">
        <v>1322.3215332</v>
      </c>
      <c r="H402">
        <v>1318.5252685999999</v>
      </c>
      <c r="I402">
        <v>1345.1855469</v>
      </c>
      <c r="J402">
        <v>1340.1337891000001</v>
      </c>
      <c r="K402">
        <v>0</v>
      </c>
      <c r="L402">
        <v>550</v>
      </c>
      <c r="M402">
        <v>550</v>
      </c>
      <c r="N402">
        <v>0</v>
      </c>
    </row>
    <row r="403" spans="1:14" x14ac:dyDescent="0.25">
      <c r="A403">
        <v>310.87287500000002</v>
      </c>
      <c r="B403" s="1">
        <f>DATE(2011,3,7) + TIME(20,56,56)</f>
        <v>40609.872870370367</v>
      </c>
      <c r="C403">
        <v>80</v>
      </c>
      <c r="D403">
        <v>64.195983886999997</v>
      </c>
      <c r="E403">
        <v>50</v>
      </c>
      <c r="F403">
        <v>49.812454224</v>
      </c>
      <c r="G403">
        <v>1322.1958007999999</v>
      </c>
      <c r="H403">
        <v>1318.3370361</v>
      </c>
      <c r="I403">
        <v>1345.1699219</v>
      </c>
      <c r="J403">
        <v>1340.1208495999999</v>
      </c>
      <c r="K403">
        <v>0</v>
      </c>
      <c r="L403">
        <v>550</v>
      </c>
      <c r="M403">
        <v>550</v>
      </c>
      <c r="N403">
        <v>0</v>
      </c>
    </row>
    <row r="404" spans="1:14" x14ac:dyDescent="0.25">
      <c r="A404">
        <v>314.450155</v>
      </c>
      <c r="B404" s="1">
        <f>DATE(2011,3,11) + TIME(10,48,13)</f>
        <v>40613.450150462966</v>
      </c>
      <c r="C404">
        <v>80</v>
      </c>
      <c r="D404">
        <v>63.654628754000001</v>
      </c>
      <c r="E404">
        <v>50</v>
      </c>
      <c r="F404">
        <v>49.813354492000002</v>
      </c>
      <c r="G404">
        <v>1322.0686035000001</v>
      </c>
      <c r="H404">
        <v>1318.145874</v>
      </c>
      <c r="I404">
        <v>1345.1539307</v>
      </c>
      <c r="J404">
        <v>1340.1076660000001</v>
      </c>
      <c r="K404">
        <v>0</v>
      </c>
      <c r="L404">
        <v>550</v>
      </c>
      <c r="M404">
        <v>550</v>
      </c>
      <c r="N404">
        <v>0</v>
      </c>
    </row>
    <row r="405" spans="1:14" x14ac:dyDescent="0.25">
      <c r="A405">
        <v>318.11729800000001</v>
      </c>
      <c r="B405" s="1">
        <f>DATE(2011,3,15) + TIME(2,48,54)</f>
        <v>40617.117291666669</v>
      </c>
      <c r="C405">
        <v>80</v>
      </c>
      <c r="D405">
        <v>63.090461730999998</v>
      </c>
      <c r="E405">
        <v>50</v>
      </c>
      <c r="F405">
        <v>49.814262390000003</v>
      </c>
      <c r="G405">
        <v>1321.940918</v>
      </c>
      <c r="H405">
        <v>1317.953125</v>
      </c>
      <c r="I405">
        <v>1345.1379394999999</v>
      </c>
      <c r="J405">
        <v>1340.0946045000001</v>
      </c>
      <c r="K405">
        <v>0</v>
      </c>
      <c r="L405">
        <v>550</v>
      </c>
      <c r="M405">
        <v>550</v>
      </c>
      <c r="N405">
        <v>0</v>
      </c>
    </row>
    <row r="406" spans="1:14" x14ac:dyDescent="0.25">
      <c r="A406">
        <v>321.86925500000001</v>
      </c>
      <c r="B406" s="1">
        <f>DATE(2011,3,18) + TIME(20,51,43)</f>
        <v>40620.869247685187</v>
      </c>
      <c r="C406">
        <v>80</v>
      </c>
      <c r="D406">
        <v>62.503837584999999</v>
      </c>
      <c r="E406">
        <v>50</v>
      </c>
      <c r="F406">
        <v>49.815174102999997</v>
      </c>
      <c r="G406">
        <v>1321.8129882999999</v>
      </c>
      <c r="H406">
        <v>1317.7585449000001</v>
      </c>
      <c r="I406">
        <v>1345.1217041</v>
      </c>
      <c r="J406">
        <v>1340.081543</v>
      </c>
      <c r="K406">
        <v>0</v>
      </c>
      <c r="L406">
        <v>550</v>
      </c>
      <c r="M406">
        <v>550</v>
      </c>
      <c r="N406">
        <v>0</v>
      </c>
    </row>
    <row r="407" spans="1:14" x14ac:dyDescent="0.25">
      <c r="A407">
        <v>325.69213300000001</v>
      </c>
      <c r="B407" s="1">
        <f>DATE(2011,3,22) + TIME(16,36,40)</f>
        <v>40624.692129629628</v>
      </c>
      <c r="C407">
        <v>80</v>
      </c>
      <c r="D407">
        <v>61.896564484000002</v>
      </c>
      <c r="E407">
        <v>50</v>
      </c>
      <c r="F407">
        <v>49.81608963</v>
      </c>
      <c r="G407">
        <v>1321.6850586</v>
      </c>
      <c r="H407">
        <v>1317.5631103999999</v>
      </c>
      <c r="I407">
        <v>1345.1053466999999</v>
      </c>
      <c r="J407">
        <v>1340.0683594</v>
      </c>
      <c r="K407">
        <v>0</v>
      </c>
      <c r="L407">
        <v>550</v>
      </c>
      <c r="M407">
        <v>550</v>
      </c>
      <c r="N407">
        <v>0</v>
      </c>
    </row>
    <row r="408" spans="1:14" x14ac:dyDescent="0.25">
      <c r="A408">
        <v>329.59986800000001</v>
      </c>
      <c r="B408" s="1">
        <f>DATE(2011,3,26) + TIME(14,23,48)</f>
        <v>40628.599861111114</v>
      </c>
      <c r="C408">
        <v>80</v>
      </c>
      <c r="D408">
        <v>61.269165039000001</v>
      </c>
      <c r="E408">
        <v>50</v>
      </c>
      <c r="F408">
        <v>49.817012787000003</v>
      </c>
      <c r="G408">
        <v>1321.5579834</v>
      </c>
      <c r="H408">
        <v>1317.3674315999999</v>
      </c>
      <c r="I408">
        <v>1345.0888672000001</v>
      </c>
      <c r="J408">
        <v>1340.0551757999999</v>
      </c>
      <c r="K408">
        <v>0</v>
      </c>
      <c r="L408">
        <v>550</v>
      </c>
      <c r="M408">
        <v>550</v>
      </c>
      <c r="N408">
        <v>0</v>
      </c>
    </row>
    <row r="409" spans="1:14" x14ac:dyDescent="0.25">
      <c r="A409">
        <v>333.60720300000003</v>
      </c>
      <c r="B409" s="1">
        <f>DATE(2011,3,30) + TIME(14,34,22)</f>
        <v>40632.607199074075</v>
      </c>
      <c r="C409">
        <v>80</v>
      </c>
      <c r="D409">
        <v>60.621299743999998</v>
      </c>
      <c r="E409">
        <v>50</v>
      </c>
      <c r="F409">
        <v>49.817943573000001</v>
      </c>
      <c r="G409">
        <v>1321.4316406</v>
      </c>
      <c r="H409">
        <v>1317.1715088000001</v>
      </c>
      <c r="I409">
        <v>1345.0722656</v>
      </c>
      <c r="J409">
        <v>1340.0419922000001</v>
      </c>
      <c r="K409">
        <v>0</v>
      </c>
      <c r="L409">
        <v>550</v>
      </c>
      <c r="M409">
        <v>550</v>
      </c>
      <c r="N409">
        <v>0</v>
      </c>
    </row>
    <row r="410" spans="1:14" x14ac:dyDescent="0.25">
      <c r="A410">
        <v>335</v>
      </c>
      <c r="B410" s="1">
        <f>DATE(2011,4,1) + TIME(0,0,0)</f>
        <v>40634</v>
      </c>
      <c r="C410">
        <v>80</v>
      </c>
      <c r="D410">
        <v>60.259700774999999</v>
      </c>
      <c r="E410">
        <v>50</v>
      </c>
      <c r="F410">
        <v>49.818237304999997</v>
      </c>
      <c r="G410">
        <v>1321.3103027</v>
      </c>
      <c r="H410">
        <v>1317.0026855000001</v>
      </c>
      <c r="I410">
        <v>1345.0546875</v>
      </c>
      <c r="J410">
        <v>1340.0279541</v>
      </c>
      <c r="K410">
        <v>0</v>
      </c>
      <c r="L410">
        <v>550</v>
      </c>
      <c r="M410">
        <v>550</v>
      </c>
      <c r="N410">
        <v>0</v>
      </c>
    </row>
    <row r="411" spans="1:14" x14ac:dyDescent="0.25">
      <c r="A411">
        <v>339.12332900000001</v>
      </c>
      <c r="B411" s="1">
        <f>DATE(2011,4,5) + TIME(2,57,35)</f>
        <v>40638.12332175926</v>
      </c>
      <c r="C411">
        <v>80</v>
      </c>
      <c r="D411">
        <v>59.662597656000003</v>
      </c>
      <c r="E411">
        <v>50</v>
      </c>
      <c r="F411">
        <v>49.819194793999998</v>
      </c>
      <c r="G411">
        <v>1321.2546387</v>
      </c>
      <c r="H411">
        <v>1316.8900146000001</v>
      </c>
      <c r="I411">
        <v>1345.0495605000001</v>
      </c>
      <c r="J411">
        <v>1340.0239257999999</v>
      </c>
      <c r="K411">
        <v>0</v>
      </c>
      <c r="L411">
        <v>550</v>
      </c>
      <c r="M411">
        <v>550</v>
      </c>
      <c r="N411">
        <v>0</v>
      </c>
    </row>
    <row r="412" spans="1:14" x14ac:dyDescent="0.25">
      <c r="A412">
        <v>343.35020900000001</v>
      </c>
      <c r="B412" s="1">
        <f>DATE(2011,4,9) + TIME(8,24,18)</f>
        <v>40642.350208333337</v>
      </c>
      <c r="C412">
        <v>80</v>
      </c>
      <c r="D412">
        <v>59.003929137999997</v>
      </c>
      <c r="E412">
        <v>50</v>
      </c>
      <c r="F412">
        <v>49.820144653</v>
      </c>
      <c r="G412">
        <v>1321.1359863</v>
      </c>
      <c r="H412">
        <v>1316.7058105000001</v>
      </c>
      <c r="I412">
        <v>1345.0323486</v>
      </c>
      <c r="J412">
        <v>1340.0104980000001</v>
      </c>
      <c r="K412">
        <v>0</v>
      </c>
      <c r="L412">
        <v>550</v>
      </c>
      <c r="M412">
        <v>550</v>
      </c>
      <c r="N412">
        <v>0</v>
      </c>
    </row>
    <row r="413" spans="1:14" x14ac:dyDescent="0.25">
      <c r="A413">
        <v>347.67370599999998</v>
      </c>
      <c r="B413" s="1">
        <f>DATE(2011,4,13) + TIME(16,10,8)</f>
        <v>40646.673703703702</v>
      </c>
      <c r="C413">
        <v>80</v>
      </c>
      <c r="D413">
        <v>58.309753418</v>
      </c>
      <c r="E413">
        <v>50</v>
      </c>
      <c r="F413">
        <v>49.821098327999998</v>
      </c>
      <c r="G413">
        <v>1321.0161132999999</v>
      </c>
      <c r="H413">
        <v>1316.5167236</v>
      </c>
      <c r="I413">
        <v>1345.0148925999999</v>
      </c>
      <c r="J413">
        <v>1339.9968262</v>
      </c>
      <c r="K413">
        <v>0</v>
      </c>
      <c r="L413">
        <v>550</v>
      </c>
      <c r="M413">
        <v>550</v>
      </c>
      <c r="N413">
        <v>0</v>
      </c>
    </row>
    <row r="414" spans="1:14" x14ac:dyDescent="0.25">
      <c r="A414">
        <v>352.10092200000003</v>
      </c>
      <c r="B414" s="1">
        <f>DATE(2011,4,18) + TIME(2,25,19)</f>
        <v>40651.100914351853</v>
      </c>
      <c r="C414">
        <v>80</v>
      </c>
      <c r="D414">
        <v>57.592468261999997</v>
      </c>
      <c r="E414">
        <v>50</v>
      </c>
      <c r="F414">
        <v>49.822059631000002</v>
      </c>
      <c r="G414">
        <v>1320.8969727000001</v>
      </c>
      <c r="H414">
        <v>1316.3266602000001</v>
      </c>
      <c r="I414">
        <v>1344.9970702999999</v>
      </c>
      <c r="J414">
        <v>1339.9830322</v>
      </c>
      <c r="K414">
        <v>0</v>
      </c>
      <c r="L414">
        <v>550</v>
      </c>
      <c r="M414">
        <v>550</v>
      </c>
      <c r="N414">
        <v>0</v>
      </c>
    </row>
    <row r="415" spans="1:14" x14ac:dyDescent="0.25">
      <c r="A415">
        <v>356.63358699999998</v>
      </c>
      <c r="B415" s="1">
        <f>DATE(2011,4,22) + TIME(15,12,21)</f>
        <v>40655.633576388886</v>
      </c>
      <c r="C415">
        <v>80</v>
      </c>
      <c r="D415">
        <v>56.858486176</v>
      </c>
      <c r="E415">
        <v>50</v>
      </c>
      <c r="F415">
        <v>49.823028563999998</v>
      </c>
      <c r="G415">
        <v>1320.7794189000001</v>
      </c>
      <c r="H415">
        <v>1316.1374512</v>
      </c>
      <c r="I415">
        <v>1344.979126</v>
      </c>
      <c r="J415">
        <v>1339.9691161999999</v>
      </c>
      <c r="K415">
        <v>0</v>
      </c>
      <c r="L415">
        <v>550</v>
      </c>
      <c r="M415">
        <v>550</v>
      </c>
      <c r="N415">
        <v>0</v>
      </c>
    </row>
    <row r="416" spans="1:14" x14ac:dyDescent="0.25">
      <c r="A416">
        <v>361.27425899999997</v>
      </c>
      <c r="B416" s="1">
        <f>DATE(2011,4,27) + TIME(6,34,55)</f>
        <v>40660.274247685185</v>
      </c>
      <c r="C416">
        <v>80</v>
      </c>
      <c r="D416">
        <v>56.111854553000001</v>
      </c>
      <c r="E416">
        <v>50</v>
      </c>
      <c r="F416">
        <v>49.824001312</v>
      </c>
      <c r="G416">
        <v>1320.6643065999999</v>
      </c>
      <c r="H416">
        <v>1315.9503173999999</v>
      </c>
      <c r="I416">
        <v>1344.9608154</v>
      </c>
      <c r="J416">
        <v>1339.9549560999999</v>
      </c>
      <c r="K416">
        <v>0</v>
      </c>
      <c r="L416">
        <v>550</v>
      </c>
      <c r="M416">
        <v>550</v>
      </c>
      <c r="N416">
        <v>0</v>
      </c>
    </row>
    <row r="417" spans="1:14" x14ac:dyDescent="0.25">
      <c r="A417">
        <v>365</v>
      </c>
      <c r="B417" s="1">
        <f>DATE(2011,5,1) + TIME(0,0,0)</f>
        <v>40664</v>
      </c>
      <c r="C417">
        <v>80</v>
      </c>
      <c r="D417">
        <v>55.429405211999999</v>
      </c>
      <c r="E417">
        <v>50</v>
      </c>
      <c r="F417">
        <v>49.824752808</v>
      </c>
      <c r="G417">
        <v>1320.5522461</v>
      </c>
      <c r="H417">
        <v>1315.7722168</v>
      </c>
      <c r="I417">
        <v>1344.9420166</v>
      </c>
      <c r="J417">
        <v>1339.9404297000001</v>
      </c>
      <c r="K417">
        <v>0</v>
      </c>
      <c r="L417">
        <v>550</v>
      </c>
      <c r="M417">
        <v>550</v>
      </c>
      <c r="N417">
        <v>0</v>
      </c>
    </row>
    <row r="418" spans="1:14" x14ac:dyDescent="0.25">
      <c r="A418">
        <v>365.000001</v>
      </c>
      <c r="B418" s="1">
        <f>DATE(2011,5,1) + TIME(0,0,0)</f>
        <v>40664</v>
      </c>
      <c r="C418">
        <v>80</v>
      </c>
      <c r="D418">
        <v>55.429447174000003</v>
      </c>
      <c r="E418">
        <v>50</v>
      </c>
      <c r="F418">
        <v>49.824729918999999</v>
      </c>
      <c r="G418">
        <v>1326.4902344</v>
      </c>
      <c r="H418">
        <v>1320.8118896000001</v>
      </c>
      <c r="I418">
        <v>1339.7403564000001</v>
      </c>
      <c r="J418">
        <v>1335.9499512</v>
      </c>
      <c r="K418">
        <v>550</v>
      </c>
      <c r="L418">
        <v>0</v>
      </c>
      <c r="M418">
        <v>0</v>
      </c>
      <c r="N418">
        <v>550</v>
      </c>
    </row>
    <row r="419" spans="1:14" x14ac:dyDescent="0.25">
      <c r="A419">
        <v>365.00000399999999</v>
      </c>
      <c r="B419" s="1">
        <f>DATE(2011,5,1) + TIME(0,0,0)</f>
        <v>40664</v>
      </c>
      <c r="C419">
        <v>80</v>
      </c>
      <c r="D419">
        <v>55.429561614999997</v>
      </c>
      <c r="E419">
        <v>50</v>
      </c>
      <c r="F419">
        <v>49.824661255000002</v>
      </c>
      <c r="G419">
        <v>1327.057251</v>
      </c>
      <c r="H419">
        <v>1321.4910889</v>
      </c>
      <c r="I419">
        <v>1339.206543</v>
      </c>
      <c r="J419">
        <v>1335.4152832</v>
      </c>
      <c r="K419">
        <v>550</v>
      </c>
      <c r="L419">
        <v>0</v>
      </c>
      <c r="M419">
        <v>0</v>
      </c>
      <c r="N419">
        <v>550</v>
      </c>
    </row>
    <row r="420" spans="1:14" x14ac:dyDescent="0.25">
      <c r="A420">
        <v>365.00001300000002</v>
      </c>
      <c r="B420" s="1">
        <f>DATE(2011,5,1) + TIME(0,0,1)</f>
        <v>40664.000011574077</v>
      </c>
      <c r="C420">
        <v>80</v>
      </c>
      <c r="D420">
        <v>55.429832458</v>
      </c>
      <c r="E420">
        <v>50</v>
      </c>
      <c r="F420">
        <v>49.824508667000003</v>
      </c>
      <c r="G420">
        <v>1328.3614502</v>
      </c>
      <c r="H420">
        <v>1322.9614257999999</v>
      </c>
      <c r="I420">
        <v>1338.0083007999999</v>
      </c>
      <c r="J420">
        <v>1334.2156981999999</v>
      </c>
      <c r="K420">
        <v>550</v>
      </c>
      <c r="L420">
        <v>0</v>
      </c>
      <c r="M420">
        <v>0</v>
      </c>
      <c r="N420">
        <v>550</v>
      </c>
    </row>
    <row r="421" spans="1:14" x14ac:dyDescent="0.25">
      <c r="A421">
        <v>365.00004000000001</v>
      </c>
      <c r="B421" s="1">
        <f>DATE(2011,5,1) + TIME(0,0,3)</f>
        <v>40664.000034722223</v>
      </c>
      <c r="C421">
        <v>80</v>
      </c>
      <c r="D421">
        <v>55.430377960000001</v>
      </c>
      <c r="E421">
        <v>50</v>
      </c>
      <c r="F421">
        <v>49.824256896999998</v>
      </c>
      <c r="G421">
        <v>1330.6414795000001</v>
      </c>
      <c r="H421">
        <v>1325.3328856999999</v>
      </c>
      <c r="I421">
        <v>1336.0020752</v>
      </c>
      <c r="J421">
        <v>1332.2100829999999</v>
      </c>
      <c r="K421">
        <v>550</v>
      </c>
      <c r="L421">
        <v>0</v>
      </c>
      <c r="M421">
        <v>0</v>
      </c>
      <c r="N421">
        <v>550</v>
      </c>
    </row>
    <row r="422" spans="1:14" x14ac:dyDescent="0.25">
      <c r="A422">
        <v>365.00012099999998</v>
      </c>
      <c r="B422" s="1">
        <f>DATE(2011,5,1) + TIME(0,0,10)</f>
        <v>40664.000115740739</v>
      </c>
      <c r="C422">
        <v>80</v>
      </c>
      <c r="D422">
        <v>55.431476592999999</v>
      </c>
      <c r="E422">
        <v>50</v>
      </c>
      <c r="F422">
        <v>49.823936461999999</v>
      </c>
      <c r="G422">
        <v>1333.5709228999999</v>
      </c>
      <c r="H422">
        <v>1328.2164307</v>
      </c>
      <c r="I422">
        <v>1333.5427245999999</v>
      </c>
      <c r="J422">
        <v>1329.7563477000001</v>
      </c>
      <c r="K422">
        <v>550</v>
      </c>
      <c r="L422">
        <v>0</v>
      </c>
      <c r="M422">
        <v>0</v>
      </c>
      <c r="N422">
        <v>550</v>
      </c>
    </row>
    <row r="423" spans="1:14" x14ac:dyDescent="0.25">
      <c r="A423">
        <v>365.00036399999999</v>
      </c>
      <c r="B423" s="1">
        <f>DATE(2011,5,1) + TIME(0,0,31)</f>
        <v>40664.000358796293</v>
      </c>
      <c r="C423">
        <v>80</v>
      </c>
      <c r="D423">
        <v>55.434085846000002</v>
      </c>
      <c r="E423">
        <v>50</v>
      </c>
      <c r="F423">
        <v>49.823574065999999</v>
      </c>
      <c r="G423">
        <v>1336.7161865</v>
      </c>
      <c r="H423">
        <v>1331.2845459</v>
      </c>
      <c r="I423">
        <v>1330.9797363</v>
      </c>
      <c r="J423">
        <v>1327.1925048999999</v>
      </c>
      <c r="K423">
        <v>550</v>
      </c>
      <c r="L423">
        <v>0</v>
      </c>
      <c r="M423">
        <v>0</v>
      </c>
      <c r="N423">
        <v>550</v>
      </c>
    </row>
    <row r="424" spans="1:14" x14ac:dyDescent="0.25">
      <c r="A424">
        <v>365.00109300000003</v>
      </c>
      <c r="B424" s="1">
        <f>DATE(2011,5,1) + TIME(0,1,34)</f>
        <v>40664.001087962963</v>
      </c>
      <c r="C424">
        <v>80</v>
      </c>
      <c r="D424">
        <v>55.441192627</v>
      </c>
      <c r="E424">
        <v>50</v>
      </c>
      <c r="F424">
        <v>49.823116302000003</v>
      </c>
      <c r="G424">
        <v>1339.9353027</v>
      </c>
      <c r="H424">
        <v>1334.4484863</v>
      </c>
      <c r="I424">
        <v>1328.3453368999999</v>
      </c>
      <c r="J424">
        <v>1324.5205077999999</v>
      </c>
      <c r="K424">
        <v>550</v>
      </c>
      <c r="L424">
        <v>0</v>
      </c>
      <c r="M424">
        <v>0</v>
      </c>
      <c r="N424">
        <v>550</v>
      </c>
    </row>
    <row r="425" spans="1:14" x14ac:dyDescent="0.25">
      <c r="A425">
        <v>365.00328000000002</v>
      </c>
      <c r="B425" s="1">
        <f>DATE(2011,5,1) + TIME(0,4,43)</f>
        <v>40664.003275462965</v>
      </c>
      <c r="C425">
        <v>80</v>
      </c>
      <c r="D425">
        <v>55.461738586000003</v>
      </c>
      <c r="E425">
        <v>50</v>
      </c>
      <c r="F425">
        <v>49.822410583</v>
      </c>
      <c r="G425">
        <v>1342.9000243999999</v>
      </c>
      <c r="H425">
        <v>1337.3942870999999</v>
      </c>
      <c r="I425">
        <v>1325.8127440999999</v>
      </c>
      <c r="J425">
        <v>1321.9093018000001</v>
      </c>
      <c r="K425">
        <v>550</v>
      </c>
      <c r="L425">
        <v>0</v>
      </c>
      <c r="M425">
        <v>0</v>
      </c>
      <c r="N425">
        <v>550</v>
      </c>
    </row>
    <row r="426" spans="1:14" x14ac:dyDescent="0.25">
      <c r="A426">
        <v>365.00984099999999</v>
      </c>
      <c r="B426" s="1">
        <f>DATE(2011,5,1) + TIME(0,14,10)</f>
        <v>40664.009837962964</v>
      </c>
      <c r="C426">
        <v>80</v>
      </c>
      <c r="D426">
        <v>55.522281647</v>
      </c>
      <c r="E426">
        <v>50</v>
      </c>
      <c r="F426">
        <v>49.820991515999999</v>
      </c>
      <c r="G426">
        <v>1345.0303954999999</v>
      </c>
      <c r="H426">
        <v>1339.5363769999999</v>
      </c>
      <c r="I426">
        <v>1323.8887939000001</v>
      </c>
      <c r="J426">
        <v>1319.9118652</v>
      </c>
      <c r="K426">
        <v>550</v>
      </c>
      <c r="L426">
        <v>0</v>
      </c>
      <c r="M426">
        <v>0</v>
      </c>
      <c r="N426">
        <v>550</v>
      </c>
    </row>
    <row r="427" spans="1:14" x14ac:dyDescent="0.25">
      <c r="A427">
        <v>365.02952399999998</v>
      </c>
      <c r="B427" s="1">
        <f>DATE(2011,5,1) + TIME(0,42,30)</f>
        <v>40664.029513888891</v>
      </c>
      <c r="C427">
        <v>80</v>
      </c>
      <c r="D427">
        <v>55.701702118</v>
      </c>
      <c r="E427">
        <v>50</v>
      </c>
      <c r="F427">
        <v>49.817333220999998</v>
      </c>
      <c r="G427">
        <v>1346.1468506000001</v>
      </c>
      <c r="H427">
        <v>1340.6740723</v>
      </c>
      <c r="I427">
        <v>1322.8294678</v>
      </c>
      <c r="J427">
        <v>1318.8173827999999</v>
      </c>
      <c r="K427">
        <v>550</v>
      </c>
      <c r="L427">
        <v>0</v>
      </c>
      <c r="M427">
        <v>0</v>
      </c>
      <c r="N427">
        <v>550</v>
      </c>
    </row>
    <row r="428" spans="1:14" x14ac:dyDescent="0.25">
      <c r="A428">
        <v>365.088573</v>
      </c>
      <c r="B428" s="1">
        <f>DATE(2011,5,1) + TIME(2,7,32)</f>
        <v>40664.088564814818</v>
      </c>
      <c r="C428">
        <v>80</v>
      </c>
      <c r="D428">
        <v>56.227714538999997</v>
      </c>
      <c r="E428">
        <v>50</v>
      </c>
      <c r="F428">
        <v>49.806831359999997</v>
      </c>
      <c r="G428">
        <v>1346.5372314000001</v>
      </c>
      <c r="H428">
        <v>1341.1101074000001</v>
      </c>
      <c r="I428">
        <v>1322.4559326000001</v>
      </c>
      <c r="J428">
        <v>1318.434082</v>
      </c>
      <c r="K428">
        <v>550</v>
      </c>
      <c r="L428">
        <v>0</v>
      </c>
      <c r="M428">
        <v>0</v>
      </c>
      <c r="N428">
        <v>550</v>
      </c>
    </row>
    <row r="429" spans="1:14" x14ac:dyDescent="0.25">
      <c r="A429">
        <v>365.181985</v>
      </c>
      <c r="B429" s="1">
        <f>DATE(2011,5,1) + TIME(4,22,3)</f>
        <v>40664.181979166664</v>
      </c>
      <c r="C429">
        <v>80</v>
      </c>
      <c r="D429">
        <v>57.032718658</v>
      </c>
      <c r="E429">
        <v>50</v>
      </c>
      <c r="F429">
        <v>49.790512085000003</v>
      </c>
      <c r="G429">
        <v>1346.5686035000001</v>
      </c>
      <c r="H429">
        <v>1341.1998291</v>
      </c>
      <c r="I429">
        <v>1322.4074707</v>
      </c>
      <c r="J429">
        <v>1318.3836670000001</v>
      </c>
      <c r="K429">
        <v>550</v>
      </c>
      <c r="L429">
        <v>0</v>
      </c>
      <c r="M429">
        <v>0</v>
      </c>
      <c r="N429">
        <v>550</v>
      </c>
    </row>
    <row r="430" spans="1:14" x14ac:dyDescent="0.25">
      <c r="A430">
        <v>365.27729599999998</v>
      </c>
      <c r="B430" s="1">
        <f>DATE(2011,5,1) + TIME(6,39,18)</f>
        <v>40664.277291666665</v>
      </c>
      <c r="C430">
        <v>80</v>
      </c>
      <c r="D430">
        <v>57.828479766999997</v>
      </c>
      <c r="E430">
        <v>50</v>
      </c>
      <c r="F430">
        <v>49.774009704999997</v>
      </c>
      <c r="G430">
        <v>1346.5396728999999</v>
      </c>
      <c r="H430">
        <v>1341.2165527</v>
      </c>
      <c r="I430">
        <v>1322.4090576000001</v>
      </c>
      <c r="J430">
        <v>1318.3841553</v>
      </c>
      <c r="K430">
        <v>550</v>
      </c>
      <c r="L430">
        <v>0</v>
      </c>
      <c r="M430">
        <v>0</v>
      </c>
      <c r="N430">
        <v>550</v>
      </c>
    </row>
    <row r="431" spans="1:14" x14ac:dyDescent="0.25">
      <c r="A431">
        <v>365.37466899999998</v>
      </c>
      <c r="B431" s="1">
        <f>DATE(2011,5,1) + TIME(8,59,31)</f>
        <v>40664.374664351853</v>
      </c>
      <c r="C431">
        <v>80</v>
      </c>
      <c r="D431">
        <v>58.615489959999998</v>
      </c>
      <c r="E431">
        <v>50</v>
      </c>
      <c r="F431">
        <v>49.757293701000002</v>
      </c>
      <c r="G431">
        <v>1346.4962158000001</v>
      </c>
      <c r="H431">
        <v>1341.2163086</v>
      </c>
      <c r="I431">
        <v>1322.4123535000001</v>
      </c>
      <c r="J431">
        <v>1318.3863524999999</v>
      </c>
      <c r="K431">
        <v>550</v>
      </c>
      <c r="L431">
        <v>0</v>
      </c>
      <c r="M431">
        <v>0</v>
      </c>
      <c r="N431">
        <v>550</v>
      </c>
    </row>
    <row r="432" spans="1:14" x14ac:dyDescent="0.25">
      <c r="A432">
        <v>365.47415999999998</v>
      </c>
      <c r="B432" s="1">
        <f>DATE(2011,5,1) + TIME(11,22,47)</f>
        <v>40664.47415509259</v>
      </c>
      <c r="C432">
        <v>80</v>
      </c>
      <c r="D432">
        <v>59.393299102999997</v>
      </c>
      <c r="E432">
        <v>50</v>
      </c>
      <c r="F432">
        <v>49.740364075000002</v>
      </c>
      <c r="G432">
        <v>1346.4522704999999</v>
      </c>
      <c r="H432">
        <v>1341.2132568</v>
      </c>
      <c r="I432">
        <v>1322.4141846</v>
      </c>
      <c r="J432">
        <v>1318.3870850000001</v>
      </c>
      <c r="K432">
        <v>550</v>
      </c>
      <c r="L432">
        <v>0</v>
      </c>
      <c r="M432">
        <v>0</v>
      </c>
      <c r="N432">
        <v>550</v>
      </c>
    </row>
    <row r="433" spans="1:14" x14ac:dyDescent="0.25">
      <c r="A433">
        <v>365.575784</v>
      </c>
      <c r="B433" s="1">
        <f>DATE(2011,5,1) + TIME(13,49,7)</f>
        <v>40664.575775462959</v>
      </c>
      <c r="C433">
        <v>80</v>
      </c>
      <c r="D433">
        <v>60.161010742000002</v>
      </c>
      <c r="E433">
        <v>50</v>
      </c>
      <c r="F433">
        <v>49.723220824999999</v>
      </c>
      <c r="G433">
        <v>1346.4111327999999</v>
      </c>
      <c r="H433">
        <v>1341.2109375</v>
      </c>
      <c r="I433">
        <v>1322.4151611</v>
      </c>
      <c r="J433">
        <v>1318.3869629000001</v>
      </c>
      <c r="K433">
        <v>550</v>
      </c>
      <c r="L433">
        <v>0</v>
      </c>
      <c r="M433">
        <v>0</v>
      </c>
      <c r="N433">
        <v>550</v>
      </c>
    </row>
    <row r="434" spans="1:14" x14ac:dyDescent="0.25">
      <c r="A434">
        <v>365.67965099999998</v>
      </c>
      <c r="B434" s="1">
        <f>DATE(2011,5,1) + TIME(16,18,41)</f>
        <v>40664.6796412037</v>
      </c>
      <c r="C434">
        <v>80</v>
      </c>
      <c r="D434">
        <v>60.918220519999998</v>
      </c>
      <c r="E434">
        <v>50</v>
      </c>
      <c r="F434">
        <v>49.705852509000003</v>
      </c>
      <c r="G434">
        <v>1346.3736572</v>
      </c>
      <c r="H434">
        <v>1341.2099608999999</v>
      </c>
      <c r="I434">
        <v>1322.4158935999999</v>
      </c>
      <c r="J434">
        <v>1318.3865966999999</v>
      </c>
      <c r="K434">
        <v>550</v>
      </c>
      <c r="L434">
        <v>0</v>
      </c>
      <c r="M434">
        <v>0</v>
      </c>
      <c r="N434">
        <v>550</v>
      </c>
    </row>
    <row r="435" spans="1:14" x14ac:dyDescent="0.25">
      <c r="A435">
        <v>365.78588000000002</v>
      </c>
      <c r="B435" s="1">
        <f>DATE(2011,5,1) + TIME(18,51,40)</f>
        <v>40664.785879629628</v>
      </c>
      <c r="C435">
        <v>80</v>
      </c>
      <c r="D435">
        <v>61.665229797000002</v>
      </c>
      <c r="E435">
        <v>50</v>
      </c>
      <c r="F435">
        <v>49.688243866000001</v>
      </c>
      <c r="G435">
        <v>1346.3395995999999</v>
      </c>
      <c r="H435">
        <v>1341.2105713000001</v>
      </c>
      <c r="I435">
        <v>1322.4165039</v>
      </c>
      <c r="J435">
        <v>1318.3859863</v>
      </c>
      <c r="K435">
        <v>550</v>
      </c>
      <c r="L435">
        <v>0</v>
      </c>
      <c r="M435">
        <v>0</v>
      </c>
      <c r="N435">
        <v>550</v>
      </c>
    </row>
    <row r="436" spans="1:14" x14ac:dyDescent="0.25">
      <c r="A436">
        <v>365.89459499999998</v>
      </c>
      <c r="B436" s="1">
        <f>DATE(2011,5,1) + TIME(21,28,12)</f>
        <v>40664.894583333335</v>
      </c>
      <c r="C436">
        <v>80</v>
      </c>
      <c r="D436">
        <v>62.401897429999998</v>
      </c>
      <c r="E436">
        <v>50</v>
      </c>
      <c r="F436">
        <v>49.670387267999999</v>
      </c>
      <c r="G436">
        <v>1346.3089600000001</v>
      </c>
      <c r="H436">
        <v>1341.2126464999999</v>
      </c>
      <c r="I436">
        <v>1322.4171143000001</v>
      </c>
      <c r="J436">
        <v>1318.3852539</v>
      </c>
      <c r="K436">
        <v>550</v>
      </c>
      <c r="L436">
        <v>0</v>
      </c>
      <c r="M436">
        <v>0</v>
      </c>
      <c r="N436">
        <v>550</v>
      </c>
    </row>
    <row r="437" spans="1:14" x14ac:dyDescent="0.25">
      <c r="A437">
        <v>366.00592799999998</v>
      </c>
      <c r="B437" s="1">
        <f>DATE(2011,5,2) + TIME(0,8,32)</f>
        <v>40665.005925925929</v>
      </c>
      <c r="C437">
        <v>80</v>
      </c>
      <c r="D437">
        <v>63.128051757999998</v>
      </c>
      <c r="E437">
        <v>50</v>
      </c>
      <c r="F437">
        <v>49.652263640999998</v>
      </c>
      <c r="G437">
        <v>1346.2817382999999</v>
      </c>
      <c r="H437">
        <v>1341.2161865</v>
      </c>
      <c r="I437">
        <v>1322.4177245999999</v>
      </c>
      <c r="J437">
        <v>1318.3845214999999</v>
      </c>
      <c r="K437">
        <v>550</v>
      </c>
      <c r="L437">
        <v>0</v>
      </c>
      <c r="M437">
        <v>0</v>
      </c>
      <c r="N437">
        <v>550</v>
      </c>
    </row>
    <row r="438" spans="1:14" x14ac:dyDescent="0.25">
      <c r="A438">
        <v>366.12002200000001</v>
      </c>
      <c r="B438" s="1">
        <f>DATE(2011,5,2) + TIME(2,52,49)</f>
        <v>40665.120011574072</v>
      </c>
      <c r="C438">
        <v>80</v>
      </c>
      <c r="D438">
        <v>63.843494415000002</v>
      </c>
      <c r="E438">
        <v>50</v>
      </c>
      <c r="F438">
        <v>49.633861541999998</v>
      </c>
      <c r="G438">
        <v>1346.2575684000001</v>
      </c>
      <c r="H438">
        <v>1341.2211914</v>
      </c>
      <c r="I438">
        <v>1322.4182129000001</v>
      </c>
      <c r="J438">
        <v>1318.3836670000001</v>
      </c>
      <c r="K438">
        <v>550</v>
      </c>
      <c r="L438">
        <v>0</v>
      </c>
      <c r="M438">
        <v>0</v>
      </c>
      <c r="N438">
        <v>550</v>
      </c>
    </row>
    <row r="439" spans="1:14" x14ac:dyDescent="0.25">
      <c r="A439">
        <v>366.23702800000001</v>
      </c>
      <c r="B439" s="1">
        <f>DATE(2011,5,2) + TIME(5,41,19)</f>
        <v>40665.237025462964</v>
      </c>
      <c r="C439">
        <v>80</v>
      </c>
      <c r="D439">
        <v>64.547996521000002</v>
      </c>
      <c r="E439">
        <v>50</v>
      </c>
      <c r="F439">
        <v>49.615158080999997</v>
      </c>
      <c r="G439">
        <v>1346.2364502</v>
      </c>
      <c r="H439">
        <v>1341.2275391000001</v>
      </c>
      <c r="I439">
        <v>1322.4187012</v>
      </c>
      <c r="J439">
        <v>1318.3828125</v>
      </c>
      <c r="K439">
        <v>550</v>
      </c>
      <c r="L439">
        <v>0</v>
      </c>
      <c r="M439">
        <v>0</v>
      </c>
      <c r="N439">
        <v>550</v>
      </c>
    </row>
    <row r="440" spans="1:14" x14ac:dyDescent="0.25">
      <c r="A440">
        <v>366.35710699999998</v>
      </c>
      <c r="B440" s="1">
        <f>DATE(2011,5,2) + TIME(8,34,14)</f>
        <v>40665.357106481482</v>
      </c>
      <c r="C440">
        <v>80</v>
      </c>
      <c r="D440">
        <v>65.241371154999996</v>
      </c>
      <c r="E440">
        <v>50</v>
      </c>
      <c r="F440">
        <v>49.596145630000002</v>
      </c>
      <c r="G440">
        <v>1346.2181396000001</v>
      </c>
      <c r="H440">
        <v>1341.2349853999999</v>
      </c>
      <c r="I440">
        <v>1322.4191894999999</v>
      </c>
      <c r="J440">
        <v>1318.3818358999999</v>
      </c>
      <c r="K440">
        <v>550</v>
      </c>
      <c r="L440">
        <v>0</v>
      </c>
      <c r="M440">
        <v>0</v>
      </c>
      <c r="N440">
        <v>550</v>
      </c>
    </row>
    <row r="441" spans="1:14" x14ac:dyDescent="0.25">
      <c r="A441">
        <v>366.48034100000001</v>
      </c>
      <c r="B441" s="1">
        <f>DATE(2011,5,2) + TIME(11,31,41)</f>
        <v>40665.48033564815</v>
      </c>
      <c r="C441">
        <v>80</v>
      </c>
      <c r="D441">
        <v>65.922904967999997</v>
      </c>
      <c r="E441">
        <v>50</v>
      </c>
      <c r="F441">
        <v>49.576812744000001</v>
      </c>
      <c r="G441">
        <v>1346.2026367000001</v>
      </c>
      <c r="H441">
        <v>1341.2436522999999</v>
      </c>
      <c r="I441">
        <v>1322.4195557</v>
      </c>
      <c r="J441">
        <v>1318.3807373</v>
      </c>
      <c r="K441">
        <v>550</v>
      </c>
      <c r="L441">
        <v>0</v>
      </c>
      <c r="M441">
        <v>0</v>
      </c>
      <c r="N441">
        <v>550</v>
      </c>
    </row>
    <row r="442" spans="1:14" x14ac:dyDescent="0.25">
      <c r="A442">
        <v>366.60687799999999</v>
      </c>
      <c r="B442" s="1">
        <f>DATE(2011,5,2) + TIME(14,33,54)</f>
        <v>40665.606874999998</v>
      </c>
      <c r="C442">
        <v>80</v>
      </c>
      <c r="D442">
        <v>66.592063904</v>
      </c>
      <c r="E442">
        <v>50</v>
      </c>
      <c r="F442">
        <v>49.557147980000003</v>
      </c>
      <c r="G442">
        <v>1346.1896973</v>
      </c>
      <c r="H442">
        <v>1341.253418</v>
      </c>
      <c r="I442">
        <v>1322.4200439000001</v>
      </c>
      <c r="J442">
        <v>1318.3796387</v>
      </c>
      <c r="K442">
        <v>550</v>
      </c>
      <c r="L442">
        <v>0</v>
      </c>
      <c r="M442">
        <v>0</v>
      </c>
      <c r="N442">
        <v>550</v>
      </c>
    </row>
    <row r="443" spans="1:14" x14ac:dyDescent="0.25">
      <c r="A443">
        <v>366.73690900000003</v>
      </c>
      <c r="B443" s="1">
        <f>DATE(2011,5,2) + TIME(17,41,8)</f>
        <v>40665.736898148149</v>
      </c>
      <c r="C443">
        <v>80</v>
      </c>
      <c r="D443">
        <v>67.248565674000005</v>
      </c>
      <c r="E443">
        <v>50</v>
      </c>
      <c r="F443">
        <v>49.537132262999997</v>
      </c>
      <c r="G443">
        <v>1346.1790771000001</v>
      </c>
      <c r="H443">
        <v>1341.2641602000001</v>
      </c>
      <c r="I443">
        <v>1322.4204102000001</v>
      </c>
      <c r="J443">
        <v>1318.378418</v>
      </c>
      <c r="K443">
        <v>550</v>
      </c>
      <c r="L443">
        <v>0</v>
      </c>
      <c r="M443">
        <v>0</v>
      </c>
      <c r="N443">
        <v>550</v>
      </c>
    </row>
    <row r="444" spans="1:14" x14ac:dyDescent="0.25">
      <c r="A444">
        <v>366.87063999999998</v>
      </c>
      <c r="B444" s="1">
        <f>DATE(2011,5,2) + TIME(20,53,43)</f>
        <v>40665.870636574073</v>
      </c>
      <c r="C444">
        <v>80</v>
      </c>
      <c r="D444">
        <v>67.892112732000001</v>
      </c>
      <c r="E444">
        <v>50</v>
      </c>
      <c r="F444">
        <v>49.516742706000002</v>
      </c>
      <c r="G444">
        <v>1346.1707764</v>
      </c>
      <c r="H444">
        <v>1341.2757568</v>
      </c>
      <c r="I444">
        <v>1322.4207764</v>
      </c>
      <c r="J444">
        <v>1318.3771973</v>
      </c>
      <c r="K444">
        <v>550</v>
      </c>
      <c r="L444">
        <v>0</v>
      </c>
      <c r="M444">
        <v>0</v>
      </c>
      <c r="N444">
        <v>550</v>
      </c>
    </row>
    <row r="445" spans="1:14" x14ac:dyDescent="0.25">
      <c r="A445">
        <v>367.008284</v>
      </c>
      <c r="B445" s="1">
        <f>DATE(2011,5,3) + TIME(0,11,55)</f>
        <v>40666.008275462962</v>
      </c>
      <c r="C445">
        <v>80</v>
      </c>
      <c r="D445">
        <v>68.522331238000007</v>
      </c>
      <c r="E445">
        <v>50</v>
      </c>
      <c r="F445">
        <v>49.495964049999998</v>
      </c>
      <c r="G445">
        <v>1346.1646728999999</v>
      </c>
      <c r="H445">
        <v>1341.2882079999999</v>
      </c>
      <c r="I445">
        <v>1322.4210204999999</v>
      </c>
      <c r="J445">
        <v>1318.3758545000001</v>
      </c>
      <c r="K445">
        <v>550</v>
      </c>
      <c r="L445">
        <v>0</v>
      </c>
      <c r="M445">
        <v>0</v>
      </c>
      <c r="N445">
        <v>550</v>
      </c>
    </row>
    <row r="446" spans="1:14" x14ac:dyDescent="0.25">
      <c r="A446">
        <v>367.150057</v>
      </c>
      <c r="B446" s="1">
        <f>DATE(2011,5,3) + TIME(3,36,4)</f>
        <v>40666.150046296294</v>
      </c>
      <c r="C446">
        <v>80</v>
      </c>
      <c r="D446">
        <v>69.138801575000002</v>
      </c>
      <c r="E446">
        <v>50</v>
      </c>
      <c r="F446">
        <v>49.474765777999998</v>
      </c>
      <c r="G446">
        <v>1346.1606445</v>
      </c>
      <c r="H446">
        <v>1341.3013916</v>
      </c>
      <c r="I446">
        <v>1322.4213867000001</v>
      </c>
      <c r="J446">
        <v>1318.3743896000001</v>
      </c>
      <c r="K446">
        <v>550</v>
      </c>
      <c r="L446">
        <v>0</v>
      </c>
      <c r="M446">
        <v>0</v>
      </c>
      <c r="N446">
        <v>550</v>
      </c>
    </row>
    <row r="447" spans="1:14" x14ac:dyDescent="0.25">
      <c r="A447">
        <v>367.29623900000001</v>
      </c>
      <c r="B447" s="1">
        <f>DATE(2011,5,3) + TIME(7,6,35)</f>
        <v>40666.296238425923</v>
      </c>
      <c r="C447">
        <v>80</v>
      </c>
      <c r="D447">
        <v>69.741256714000002</v>
      </c>
      <c r="E447">
        <v>50</v>
      </c>
      <c r="F447">
        <v>49.453128814999999</v>
      </c>
      <c r="G447">
        <v>1346.1583252</v>
      </c>
      <c r="H447">
        <v>1341.3151855000001</v>
      </c>
      <c r="I447">
        <v>1322.4216309000001</v>
      </c>
      <c r="J447">
        <v>1318.3729248</v>
      </c>
      <c r="K447">
        <v>550</v>
      </c>
      <c r="L447">
        <v>0</v>
      </c>
      <c r="M447">
        <v>0</v>
      </c>
      <c r="N447">
        <v>550</v>
      </c>
    </row>
    <row r="448" spans="1:14" x14ac:dyDescent="0.25">
      <c r="A448">
        <v>367.44710300000003</v>
      </c>
      <c r="B448" s="1">
        <f>DATE(2011,5,3) + TIME(10,43,49)</f>
        <v>40666.447094907409</v>
      </c>
      <c r="C448">
        <v>80</v>
      </c>
      <c r="D448">
        <v>70.329063415999997</v>
      </c>
      <c r="E448">
        <v>50</v>
      </c>
      <c r="F448">
        <v>49.431022644000002</v>
      </c>
      <c r="G448">
        <v>1346.1578368999999</v>
      </c>
      <c r="H448">
        <v>1341.3295897999999</v>
      </c>
      <c r="I448">
        <v>1322.421875</v>
      </c>
      <c r="J448">
        <v>1318.3713379000001</v>
      </c>
      <c r="K448">
        <v>550</v>
      </c>
      <c r="L448">
        <v>0</v>
      </c>
      <c r="M448">
        <v>0</v>
      </c>
      <c r="N448">
        <v>550</v>
      </c>
    </row>
    <row r="449" spans="1:14" x14ac:dyDescent="0.25">
      <c r="A449">
        <v>367.60294900000002</v>
      </c>
      <c r="B449" s="1">
        <f>DATE(2011,5,3) + TIME(14,28,14)</f>
        <v>40666.602939814817</v>
      </c>
      <c r="C449">
        <v>80</v>
      </c>
      <c r="D449">
        <v>70.901847838999998</v>
      </c>
      <c r="E449">
        <v>50</v>
      </c>
      <c r="F449">
        <v>49.408412933000001</v>
      </c>
      <c r="G449">
        <v>1346.1589355000001</v>
      </c>
      <c r="H449">
        <v>1341.3446045000001</v>
      </c>
      <c r="I449">
        <v>1322.4219971</v>
      </c>
      <c r="J449">
        <v>1318.369751</v>
      </c>
      <c r="K449">
        <v>550</v>
      </c>
      <c r="L449">
        <v>0</v>
      </c>
      <c r="M449">
        <v>0</v>
      </c>
      <c r="N449">
        <v>550</v>
      </c>
    </row>
    <row r="450" spans="1:14" x14ac:dyDescent="0.25">
      <c r="A450">
        <v>367.76409899999999</v>
      </c>
      <c r="B450" s="1">
        <f>DATE(2011,5,3) + TIME(18,20,18)</f>
        <v>40666.764097222222</v>
      </c>
      <c r="C450">
        <v>80</v>
      </c>
      <c r="D450">
        <v>71.459381104000002</v>
      </c>
      <c r="E450">
        <v>50</v>
      </c>
      <c r="F450">
        <v>49.385276793999999</v>
      </c>
      <c r="G450">
        <v>1346.1616211</v>
      </c>
      <c r="H450">
        <v>1341.3598632999999</v>
      </c>
      <c r="I450">
        <v>1322.4221190999999</v>
      </c>
      <c r="J450">
        <v>1318.3680420000001</v>
      </c>
      <c r="K450">
        <v>550</v>
      </c>
      <c r="L450">
        <v>0</v>
      </c>
      <c r="M450">
        <v>0</v>
      </c>
      <c r="N450">
        <v>550</v>
      </c>
    </row>
    <row r="451" spans="1:14" x14ac:dyDescent="0.25">
      <c r="A451">
        <v>367.930902</v>
      </c>
      <c r="B451" s="1">
        <f>DATE(2011,5,3) + TIME(22,20,29)</f>
        <v>40666.930891203701</v>
      </c>
      <c r="C451">
        <v>80</v>
      </c>
      <c r="D451">
        <v>72.001228333</v>
      </c>
      <c r="E451">
        <v>50</v>
      </c>
      <c r="F451">
        <v>49.361576079999999</v>
      </c>
      <c r="G451">
        <v>1346.1656493999999</v>
      </c>
      <c r="H451">
        <v>1341.3754882999999</v>
      </c>
      <c r="I451">
        <v>1322.4222411999999</v>
      </c>
      <c r="J451">
        <v>1318.3662108999999</v>
      </c>
      <c r="K451">
        <v>550</v>
      </c>
      <c r="L451">
        <v>0</v>
      </c>
      <c r="M451">
        <v>0</v>
      </c>
      <c r="N451">
        <v>550</v>
      </c>
    </row>
    <row r="452" spans="1:14" x14ac:dyDescent="0.25">
      <c r="A452">
        <v>368.10374000000002</v>
      </c>
      <c r="B452" s="1">
        <f>DATE(2011,5,4) + TIME(2,29,23)</f>
        <v>40667.103738425925</v>
      </c>
      <c r="C452">
        <v>80</v>
      </c>
      <c r="D452">
        <v>72.526947020999998</v>
      </c>
      <c r="E452">
        <v>50</v>
      </c>
      <c r="F452">
        <v>49.337276459000002</v>
      </c>
      <c r="G452">
        <v>1346.1707764</v>
      </c>
      <c r="H452">
        <v>1341.3914795000001</v>
      </c>
      <c r="I452">
        <v>1322.4223632999999</v>
      </c>
      <c r="J452">
        <v>1318.3642577999999</v>
      </c>
      <c r="K452">
        <v>550</v>
      </c>
      <c r="L452">
        <v>0</v>
      </c>
      <c r="M452">
        <v>0</v>
      </c>
      <c r="N452">
        <v>550</v>
      </c>
    </row>
    <row r="453" spans="1:14" x14ac:dyDescent="0.25">
      <c r="A453">
        <v>368.283028</v>
      </c>
      <c r="B453" s="1">
        <f>DATE(2011,5,4) + TIME(6,47,33)</f>
        <v>40667.283020833333</v>
      </c>
      <c r="C453">
        <v>80</v>
      </c>
      <c r="D453">
        <v>73.036094665999997</v>
      </c>
      <c r="E453">
        <v>50</v>
      </c>
      <c r="F453">
        <v>49.312339782999999</v>
      </c>
      <c r="G453">
        <v>1346.1772461</v>
      </c>
      <c r="H453">
        <v>1341.4074707</v>
      </c>
      <c r="I453">
        <v>1322.4223632999999</v>
      </c>
      <c r="J453">
        <v>1318.3623047000001</v>
      </c>
      <c r="K453">
        <v>550</v>
      </c>
      <c r="L453">
        <v>0</v>
      </c>
      <c r="M453">
        <v>0</v>
      </c>
      <c r="N453">
        <v>550</v>
      </c>
    </row>
    <row r="454" spans="1:14" x14ac:dyDescent="0.25">
      <c r="A454">
        <v>368.469221</v>
      </c>
      <c r="B454" s="1">
        <f>DATE(2011,5,4) + TIME(11,15,40)</f>
        <v>40667.469212962962</v>
      </c>
      <c r="C454">
        <v>80</v>
      </c>
      <c r="D454">
        <v>73.528221130000006</v>
      </c>
      <c r="E454">
        <v>50</v>
      </c>
      <c r="F454">
        <v>49.286720275999997</v>
      </c>
      <c r="G454">
        <v>1346.1845702999999</v>
      </c>
      <c r="H454">
        <v>1341.4237060999999</v>
      </c>
      <c r="I454">
        <v>1322.4222411999999</v>
      </c>
      <c r="J454">
        <v>1318.3602295000001</v>
      </c>
      <c r="K454">
        <v>550</v>
      </c>
      <c r="L454">
        <v>0</v>
      </c>
      <c r="M454">
        <v>0</v>
      </c>
      <c r="N454">
        <v>550</v>
      </c>
    </row>
    <row r="455" spans="1:14" x14ac:dyDescent="0.25">
      <c r="A455">
        <v>368.66281700000002</v>
      </c>
      <c r="B455" s="1">
        <f>DATE(2011,5,4) + TIME(15,54,27)</f>
        <v>40667.662812499999</v>
      </c>
      <c r="C455">
        <v>80</v>
      </c>
      <c r="D455">
        <v>74.002883910999998</v>
      </c>
      <c r="E455">
        <v>50</v>
      </c>
      <c r="F455">
        <v>49.260372162000003</v>
      </c>
      <c r="G455">
        <v>1346.192749</v>
      </c>
      <c r="H455">
        <v>1341.4398193</v>
      </c>
      <c r="I455">
        <v>1322.4222411999999</v>
      </c>
      <c r="J455">
        <v>1318.3580322</v>
      </c>
      <c r="K455">
        <v>550</v>
      </c>
      <c r="L455">
        <v>0</v>
      </c>
      <c r="M455">
        <v>0</v>
      </c>
      <c r="N455">
        <v>550</v>
      </c>
    </row>
    <row r="456" spans="1:14" x14ac:dyDescent="0.25">
      <c r="A456">
        <v>368.86444299999999</v>
      </c>
      <c r="B456" s="1">
        <f>DATE(2011,5,4) + TIME(20,44,47)</f>
        <v>40667.864432870374</v>
      </c>
      <c r="C456">
        <v>80</v>
      </c>
      <c r="D456">
        <v>74.459823607999994</v>
      </c>
      <c r="E456">
        <v>50</v>
      </c>
      <c r="F456">
        <v>49.233234406000001</v>
      </c>
      <c r="G456">
        <v>1346.2016602000001</v>
      </c>
      <c r="H456">
        <v>1341.4559326000001</v>
      </c>
      <c r="I456">
        <v>1322.4219971</v>
      </c>
      <c r="J456">
        <v>1318.3558350000001</v>
      </c>
      <c r="K456">
        <v>550</v>
      </c>
      <c r="L456">
        <v>0</v>
      </c>
      <c r="M456">
        <v>0</v>
      </c>
      <c r="N456">
        <v>550</v>
      </c>
    </row>
    <row r="457" spans="1:14" x14ac:dyDescent="0.25">
      <c r="A457">
        <v>369.07464800000002</v>
      </c>
      <c r="B457" s="1">
        <f>DATE(2011,5,5) + TIME(1,47,29)</f>
        <v>40668.074641203704</v>
      </c>
      <c r="C457">
        <v>80</v>
      </c>
      <c r="D457">
        <v>74.898468018000003</v>
      </c>
      <c r="E457">
        <v>50</v>
      </c>
      <c r="F457">
        <v>49.205261229999998</v>
      </c>
      <c r="G457">
        <v>1346.2113036999999</v>
      </c>
      <c r="H457">
        <v>1341.4718018000001</v>
      </c>
      <c r="I457">
        <v>1322.421875</v>
      </c>
      <c r="J457">
        <v>1318.3533935999999</v>
      </c>
      <c r="K457">
        <v>550</v>
      </c>
      <c r="L457">
        <v>0</v>
      </c>
      <c r="M457">
        <v>0</v>
      </c>
      <c r="N457">
        <v>550</v>
      </c>
    </row>
    <row r="458" spans="1:14" x14ac:dyDescent="0.25">
      <c r="A458">
        <v>369.294084</v>
      </c>
      <c r="B458" s="1">
        <f>DATE(2011,5,5) + TIME(7,3,28)</f>
        <v>40668.294074074074</v>
      </c>
      <c r="C458">
        <v>80</v>
      </c>
      <c r="D458">
        <v>75.318153381000002</v>
      </c>
      <c r="E458">
        <v>50</v>
      </c>
      <c r="F458">
        <v>49.176391602000002</v>
      </c>
      <c r="G458">
        <v>1346.2214355000001</v>
      </c>
      <c r="H458">
        <v>1341.4874268000001</v>
      </c>
      <c r="I458">
        <v>1322.4215088000001</v>
      </c>
      <c r="J458">
        <v>1318.3508300999999</v>
      </c>
      <c r="K458">
        <v>550</v>
      </c>
      <c r="L458">
        <v>0</v>
      </c>
      <c r="M458">
        <v>0</v>
      </c>
      <c r="N458">
        <v>550</v>
      </c>
    </row>
    <row r="459" spans="1:14" x14ac:dyDescent="0.25">
      <c r="A459">
        <v>369.52349299999997</v>
      </c>
      <c r="B459" s="1">
        <f>DATE(2011,5,5) + TIME(12,33,49)</f>
        <v>40668.5234837963</v>
      </c>
      <c r="C459">
        <v>80</v>
      </c>
      <c r="D459">
        <v>75.718650818</v>
      </c>
      <c r="E459">
        <v>50</v>
      </c>
      <c r="F459">
        <v>49.146560669000003</v>
      </c>
      <c r="G459">
        <v>1346.2318115</v>
      </c>
      <c r="H459">
        <v>1341.5028076000001</v>
      </c>
      <c r="I459">
        <v>1322.4211425999999</v>
      </c>
      <c r="J459">
        <v>1318.3481445</v>
      </c>
      <c r="K459">
        <v>550</v>
      </c>
      <c r="L459">
        <v>0</v>
      </c>
      <c r="M459">
        <v>0</v>
      </c>
      <c r="N459">
        <v>550</v>
      </c>
    </row>
    <row r="460" spans="1:14" x14ac:dyDescent="0.25">
      <c r="A460">
        <v>369.76369599999998</v>
      </c>
      <c r="B460" s="1">
        <f>DATE(2011,5,5) + TIME(18,19,43)</f>
        <v>40668.763692129629</v>
      </c>
      <c r="C460">
        <v>80</v>
      </c>
      <c r="D460">
        <v>76.099700928000004</v>
      </c>
      <c r="E460">
        <v>50</v>
      </c>
      <c r="F460">
        <v>49.115692138999997</v>
      </c>
      <c r="G460">
        <v>1346.2425536999999</v>
      </c>
      <c r="H460">
        <v>1341.5177002</v>
      </c>
      <c r="I460">
        <v>1322.4206543</v>
      </c>
      <c r="J460">
        <v>1318.3454589999999</v>
      </c>
      <c r="K460">
        <v>550</v>
      </c>
      <c r="L460">
        <v>0</v>
      </c>
      <c r="M460">
        <v>0</v>
      </c>
      <c r="N460">
        <v>550</v>
      </c>
    </row>
    <row r="461" spans="1:14" x14ac:dyDescent="0.25">
      <c r="A461">
        <v>370.01561199999998</v>
      </c>
      <c r="B461" s="1">
        <f>DATE(2011,5,6) + TIME(0,22,28)</f>
        <v>40669.015601851854</v>
      </c>
      <c r="C461">
        <v>80</v>
      </c>
      <c r="D461">
        <v>76.460998535000002</v>
      </c>
      <c r="E461">
        <v>50</v>
      </c>
      <c r="F461">
        <v>49.083705901999998</v>
      </c>
      <c r="G461">
        <v>1346.2532959</v>
      </c>
      <c r="H461">
        <v>1341.5319824000001</v>
      </c>
      <c r="I461">
        <v>1322.4201660000001</v>
      </c>
      <c r="J461">
        <v>1318.3424072</v>
      </c>
      <c r="K461">
        <v>550</v>
      </c>
      <c r="L461">
        <v>0</v>
      </c>
      <c r="M461">
        <v>0</v>
      </c>
      <c r="N461">
        <v>550</v>
      </c>
    </row>
    <row r="462" spans="1:14" x14ac:dyDescent="0.25">
      <c r="A462">
        <v>370.28027100000003</v>
      </c>
      <c r="B462" s="1">
        <f>DATE(2011,5,6) + TIME(6,43,35)</f>
        <v>40669.280266203707</v>
      </c>
      <c r="C462">
        <v>80</v>
      </c>
      <c r="D462">
        <v>76.802291870000005</v>
      </c>
      <c r="E462">
        <v>50</v>
      </c>
      <c r="F462">
        <v>49.050506591999998</v>
      </c>
      <c r="G462">
        <v>1346.2640381000001</v>
      </c>
      <c r="H462">
        <v>1341.5456543</v>
      </c>
      <c r="I462">
        <v>1322.4194336</v>
      </c>
      <c r="J462">
        <v>1318.3393555</v>
      </c>
      <c r="K462">
        <v>550</v>
      </c>
      <c r="L462">
        <v>0</v>
      </c>
      <c r="M462">
        <v>0</v>
      </c>
      <c r="N462">
        <v>550</v>
      </c>
    </row>
    <row r="463" spans="1:14" x14ac:dyDescent="0.25">
      <c r="A463">
        <v>370.558831</v>
      </c>
      <c r="B463" s="1">
        <f>DATE(2011,5,6) + TIME(13,24,43)</f>
        <v>40669.558831018519</v>
      </c>
      <c r="C463">
        <v>80</v>
      </c>
      <c r="D463">
        <v>77.123390197999996</v>
      </c>
      <c r="E463">
        <v>50</v>
      </c>
      <c r="F463">
        <v>49.015995025999999</v>
      </c>
      <c r="G463">
        <v>1346.2745361</v>
      </c>
      <c r="H463">
        <v>1341.5587158000001</v>
      </c>
      <c r="I463">
        <v>1322.4187012</v>
      </c>
      <c r="J463">
        <v>1318.3360596</v>
      </c>
      <c r="K463">
        <v>550</v>
      </c>
      <c r="L463">
        <v>0</v>
      </c>
      <c r="M463">
        <v>0</v>
      </c>
      <c r="N463">
        <v>550</v>
      </c>
    </row>
    <row r="464" spans="1:14" x14ac:dyDescent="0.25">
      <c r="A464">
        <v>370.85260099999999</v>
      </c>
      <c r="B464" s="1">
        <f>DATE(2011,5,6) + TIME(20,27,44)</f>
        <v>40669.852592592593</v>
      </c>
      <c r="C464">
        <v>80</v>
      </c>
      <c r="D464">
        <v>77.424156189000001</v>
      </c>
      <c r="E464">
        <v>50</v>
      </c>
      <c r="F464">
        <v>48.980056763</v>
      </c>
      <c r="G464">
        <v>1346.284668</v>
      </c>
      <c r="H464">
        <v>1341.5708007999999</v>
      </c>
      <c r="I464">
        <v>1322.4178466999999</v>
      </c>
      <c r="J464">
        <v>1318.3326416</v>
      </c>
      <c r="K464">
        <v>550</v>
      </c>
      <c r="L464">
        <v>0</v>
      </c>
      <c r="M464">
        <v>0</v>
      </c>
      <c r="N464">
        <v>550</v>
      </c>
    </row>
    <row r="465" spans="1:14" x14ac:dyDescent="0.25">
      <c r="A465">
        <v>371.16306700000001</v>
      </c>
      <c r="B465" s="1">
        <f>DATE(2011,5,7) + TIME(3,54,49)</f>
        <v>40670.16306712963</v>
      </c>
      <c r="C465">
        <v>80</v>
      </c>
      <c r="D465">
        <v>77.704528808999996</v>
      </c>
      <c r="E465">
        <v>50</v>
      </c>
      <c r="F465">
        <v>48.942562103</v>
      </c>
      <c r="G465">
        <v>1346.2944336</v>
      </c>
      <c r="H465">
        <v>1341.5820312000001</v>
      </c>
      <c r="I465">
        <v>1322.4167480000001</v>
      </c>
      <c r="J465">
        <v>1318.3288574000001</v>
      </c>
      <c r="K465">
        <v>550</v>
      </c>
      <c r="L465">
        <v>0</v>
      </c>
      <c r="M465">
        <v>0</v>
      </c>
      <c r="N465">
        <v>550</v>
      </c>
    </row>
    <row r="466" spans="1:14" x14ac:dyDescent="0.25">
      <c r="A466">
        <v>371.49201299999999</v>
      </c>
      <c r="B466" s="1">
        <f>DATE(2011,5,7) + TIME(11,48,29)</f>
        <v>40670.492002314815</v>
      </c>
      <c r="C466">
        <v>80</v>
      </c>
      <c r="D466">
        <v>77.964584350999999</v>
      </c>
      <c r="E466">
        <v>50</v>
      </c>
      <c r="F466">
        <v>48.903354645</v>
      </c>
      <c r="G466">
        <v>1346.3034668</v>
      </c>
      <c r="H466">
        <v>1341.5922852000001</v>
      </c>
      <c r="I466">
        <v>1322.4155272999999</v>
      </c>
      <c r="J466">
        <v>1318.3249512</v>
      </c>
      <c r="K466">
        <v>550</v>
      </c>
      <c r="L466">
        <v>0</v>
      </c>
      <c r="M466">
        <v>0</v>
      </c>
      <c r="N466">
        <v>550</v>
      </c>
    </row>
    <row r="467" spans="1:14" x14ac:dyDescent="0.25">
      <c r="A467">
        <v>371.84148499999998</v>
      </c>
      <c r="B467" s="1">
        <f>DATE(2011,5,7) + TIME(20,11,44)</f>
        <v>40670.841481481482</v>
      </c>
      <c r="C467">
        <v>80</v>
      </c>
      <c r="D467">
        <v>78.204467773000005</v>
      </c>
      <c r="E467">
        <v>50</v>
      </c>
      <c r="F467">
        <v>48.862255095999998</v>
      </c>
      <c r="G467">
        <v>1346.3117675999999</v>
      </c>
      <c r="H467">
        <v>1341.6013184000001</v>
      </c>
      <c r="I467">
        <v>1322.4141846</v>
      </c>
      <c r="J467">
        <v>1318.3206786999999</v>
      </c>
      <c r="K467">
        <v>550</v>
      </c>
      <c r="L467">
        <v>0</v>
      </c>
      <c r="M467">
        <v>0</v>
      </c>
      <c r="N467">
        <v>550</v>
      </c>
    </row>
    <row r="468" spans="1:14" x14ac:dyDescent="0.25">
      <c r="A468">
        <v>372.21360199999998</v>
      </c>
      <c r="B468" s="1">
        <f>DATE(2011,5,8) + TIME(5,7,35)</f>
        <v>40671.213599537034</v>
      </c>
      <c r="C468">
        <v>80</v>
      </c>
      <c r="D468">
        <v>78.424270629999995</v>
      </c>
      <c r="E468">
        <v>50</v>
      </c>
      <c r="F468">
        <v>48.819087981999999</v>
      </c>
      <c r="G468">
        <v>1346.3190918</v>
      </c>
      <c r="H468">
        <v>1341.6092529</v>
      </c>
      <c r="I468">
        <v>1322.4125977000001</v>
      </c>
      <c r="J468">
        <v>1318.3161620999999</v>
      </c>
      <c r="K468">
        <v>550</v>
      </c>
      <c r="L468">
        <v>0</v>
      </c>
      <c r="M468">
        <v>0</v>
      </c>
      <c r="N468">
        <v>550</v>
      </c>
    </row>
    <row r="469" spans="1:14" x14ac:dyDescent="0.25">
      <c r="A469">
        <v>372.61099999999999</v>
      </c>
      <c r="B469" s="1">
        <f>DATE(2011,5,8) + TIME(14,39,50)</f>
        <v>40671.610995370371</v>
      </c>
      <c r="C469">
        <v>80</v>
      </c>
      <c r="D469">
        <v>78.624282836999996</v>
      </c>
      <c r="E469">
        <v>50</v>
      </c>
      <c r="F469">
        <v>48.773628234999997</v>
      </c>
      <c r="G469">
        <v>1346.3251952999999</v>
      </c>
      <c r="H469">
        <v>1341.6157227000001</v>
      </c>
      <c r="I469">
        <v>1322.4107666</v>
      </c>
      <c r="J469">
        <v>1318.3112793</v>
      </c>
      <c r="K469">
        <v>550</v>
      </c>
      <c r="L469">
        <v>0</v>
      </c>
      <c r="M469">
        <v>0</v>
      </c>
      <c r="N469">
        <v>550</v>
      </c>
    </row>
    <row r="470" spans="1:14" x14ac:dyDescent="0.25">
      <c r="A470">
        <v>373.03429</v>
      </c>
      <c r="B470" s="1">
        <f>DATE(2011,5,9) + TIME(0,49,22)</f>
        <v>40672.034282407411</v>
      </c>
      <c r="C470">
        <v>80</v>
      </c>
      <c r="D470">
        <v>78.804046631000006</v>
      </c>
      <c r="E470">
        <v>50</v>
      </c>
      <c r="F470">
        <v>48.725872039999999</v>
      </c>
      <c r="G470">
        <v>1346.3302002</v>
      </c>
      <c r="H470">
        <v>1341.6208495999999</v>
      </c>
      <c r="I470">
        <v>1322.4086914</v>
      </c>
      <c r="J470">
        <v>1318.3060303</v>
      </c>
      <c r="K470">
        <v>550</v>
      </c>
      <c r="L470">
        <v>0</v>
      </c>
      <c r="M470">
        <v>0</v>
      </c>
      <c r="N470">
        <v>550</v>
      </c>
    </row>
    <row r="471" spans="1:14" x14ac:dyDescent="0.25">
      <c r="A471">
        <v>373.464001</v>
      </c>
      <c r="B471" s="1">
        <f>DATE(2011,5,9) + TIME(11,8,9)</f>
        <v>40672.463993055557</v>
      </c>
      <c r="C471">
        <v>80</v>
      </c>
      <c r="D471">
        <v>78.957649231000005</v>
      </c>
      <c r="E471">
        <v>50</v>
      </c>
      <c r="F471">
        <v>48.677822112999998</v>
      </c>
      <c r="G471">
        <v>1346.3348389</v>
      </c>
      <c r="H471">
        <v>1341.6251221</v>
      </c>
      <c r="I471">
        <v>1322.40625</v>
      </c>
      <c r="J471">
        <v>1318.3005370999999</v>
      </c>
      <c r="K471">
        <v>550</v>
      </c>
      <c r="L471">
        <v>0</v>
      </c>
      <c r="M471">
        <v>0</v>
      </c>
      <c r="N471">
        <v>550</v>
      </c>
    </row>
    <row r="472" spans="1:14" x14ac:dyDescent="0.25">
      <c r="A472">
        <v>373.90232099999997</v>
      </c>
      <c r="B472" s="1">
        <f>DATE(2011,5,9) + TIME(21,39,20)</f>
        <v>40672.902314814812</v>
      </c>
      <c r="C472">
        <v>80</v>
      </c>
      <c r="D472">
        <v>79.089118958</v>
      </c>
      <c r="E472">
        <v>50</v>
      </c>
      <c r="F472">
        <v>48.629257201999998</v>
      </c>
      <c r="G472">
        <v>1346.3376464999999</v>
      </c>
      <c r="H472">
        <v>1341.6274414</v>
      </c>
      <c r="I472">
        <v>1322.4036865</v>
      </c>
      <c r="J472">
        <v>1318.2946777</v>
      </c>
      <c r="K472">
        <v>550</v>
      </c>
      <c r="L472">
        <v>0</v>
      </c>
      <c r="M472">
        <v>0</v>
      </c>
      <c r="N472">
        <v>550</v>
      </c>
    </row>
    <row r="473" spans="1:14" x14ac:dyDescent="0.25">
      <c r="A473">
        <v>374.348882</v>
      </c>
      <c r="B473" s="1">
        <f>DATE(2011,5,10) + TIME(8,22,23)</f>
        <v>40673.348877314813</v>
      </c>
      <c r="C473">
        <v>80</v>
      </c>
      <c r="D473">
        <v>79.201164246000005</v>
      </c>
      <c r="E473">
        <v>50</v>
      </c>
      <c r="F473">
        <v>48.580211638999998</v>
      </c>
      <c r="G473">
        <v>1346.3386230000001</v>
      </c>
      <c r="H473">
        <v>1341.6281738</v>
      </c>
      <c r="I473">
        <v>1322.401001</v>
      </c>
      <c r="J473">
        <v>1318.2888184000001</v>
      </c>
      <c r="K473">
        <v>550</v>
      </c>
      <c r="L473">
        <v>0</v>
      </c>
      <c r="M473">
        <v>0</v>
      </c>
      <c r="N473">
        <v>550</v>
      </c>
    </row>
    <row r="474" spans="1:14" x14ac:dyDescent="0.25">
      <c r="A474">
        <v>374.80331200000001</v>
      </c>
      <c r="B474" s="1">
        <f>DATE(2011,5,10) + TIME(19,16,46)</f>
        <v>40673.803310185183</v>
      </c>
      <c r="C474">
        <v>80</v>
      </c>
      <c r="D474">
        <v>79.296295165999993</v>
      </c>
      <c r="E474">
        <v>50</v>
      </c>
      <c r="F474">
        <v>48.530715942</v>
      </c>
      <c r="G474">
        <v>1346.3378906</v>
      </c>
      <c r="H474">
        <v>1341.6275635</v>
      </c>
      <c r="I474">
        <v>1322.3979492000001</v>
      </c>
      <c r="J474">
        <v>1318.2825928</v>
      </c>
      <c r="K474">
        <v>550</v>
      </c>
      <c r="L474">
        <v>0</v>
      </c>
      <c r="M474">
        <v>0</v>
      </c>
      <c r="N474">
        <v>550</v>
      </c>
    </row>
    <row r="475" spans="1:14" x14ac:dyDescent="0.25">
      <c r="A475">
        <v>375.26669600000002</v>
      </c>
      <c r="B475" s="1">
        <f>DATE(2011,5,11) + TIME(6,24,2)</f>
        <v>40674.266689814816</v>
      </c>
      <c r="C475">
        <v>80</v>
      </c>
      <c r="D475">
        <v>79.377006531000006</v>
      </c>
      <c r="E475">
        <v>50</v>
      </c>
      <c r="F475">
        <v>48.480670928999999</v>
      </c>
      <c r="G475">
        <v>1346.3356934000001</v>
      </c>
      <c r="H475">
        <v>1341.6254882999999</v>
      </c>
      <c r="I475">
        <v>1322.3948975000001</v>
      </c>
      <c r="J475">
        <v>1318.2762451000001</v>
      </c>
      <c r="K475">
        <v>550</v>
      </c>
      <c r="L475">
        <v>0</v>
      </c>
      <c r="M475">
        <v>0</v>
      </c>
      <c r="N475">
        <v>550</v>
      </c>
    </row>
    <row r="476" spans="1:14" x14ac:dyDescent="0.25">
      <c r="A476">
        <v>375.74021199999999</v>
      </c>
      <c r="B476" s="1">
        <f>DATE(2011,5,11) + TIME(17,45,54)</f>
        <v>40674.740208333336</v>
      </c>
      <c r="C476">
        <v>80</v>
      </c>
      <c r="D476">
        <v>79.445419311999999</v>
      </c>
      <c r="E476">
        <v>50</v>
      </c>
      <c r="F476">
        <v>48.429954529</v>
      </c>
      <c r="G476">
        <v>1346.3319091999999</v>
      </c>
      <c r="H476">
        <v>1341.6223144999999</v>
      </c>
      <c r="I476">
        <v>1322.3916016000001</v>
      </c>
      <c r="J476">
        <v>1318.2696533000001</v>
      </c>
      <c r="K476">
        <v>550</v>
      </c>
      <c r="L476">
        <v>0</v>
      </c>
      <c r="M476">
        <v>0</v>
      </c>
      <c r="N476">
        <v>550</v>
      </c>
    </row>
    <row r="477" spans="1:14" x14ac:dyDescent="0.25">
      <c r="A477">
        <v>376.22510999999997</v>
      </c>
      <c r="B477" s="1">
        <f>DATE(2011,5,12) + TIME(5,24,9)</f>
        <v>40675.225104166668</v>
      </c>
      <c r="C477">
        <v>80</v>
      </c>
      <c r="D477">
        <v>79.503326415999993</v>
      </c>
      <c r="E477">
        <v>50</v>
      </c>
      <c r="F477">
        <v>48.378456116000002</v>
      </c>
      <c r="G477">
        <v>1346.3267822</v>
      </c>
      <c r="H477">
        <v>1341.6179199000001</v>
      </c>
      <c r="I477">
        <v>1322.3880615</v>
      </c>
      <c r="J477">
        <v>1318.2628173999999</v>
      </c>
      <c r="K477">
        <v>550</v>
      </c>
      <c r="L477">
        <v>0</v>
      </c>
      <c r="M477">
        <v>0</v>
      </c>
      <c r="N477">
        <v>550</v>
      </c>
    </row>
    <row r="478" spans="1:14" x14ac:dyDescent="0.25">
      <c r="A478">
        <v>376.72272500000003</v>
      </c>
      <c r="B478" s="1">
        <f>DATE(2011,5,12) + TIME(17,20,43)</f>
        <v>40675.722719907404</v>
      </c>
      <c r="C478">
        <v>80</v>
      </c>
      <c r="D478">
        <v>79.552291870000005</v>
      </c>
      <c r="E478">
        <v>50</v>
      </c>
      <c r="F478">
        <v>48.326053619</v>
      </c>
      <c r="G478">
        <v>1346.3203125</v>
      </c>
      <c r="H478">
        <v>1341.6124268000001</v>
      </c>
      <c r="I478">
        <v>1322.3842772999999</v>
      </c>
      <c r="J478">
        <v>1318.2557373</v>
      </c>
      <c r="K478">
        <v>550</v>
      </c>
      <c r="L478">
        <v>0</v>
      </c>
      <c r="M478">
        <v>0</v>
      </c>
      <c r="N478">
        <v>550</v>
      </c>
    </row>
    <row r="479" spans="1:14" x14ac:dyDescent="0.25">
      <c r="A479">
        <v>377.234511</v>
      </c>
      <c r="B479" s="1">
        <f>DATE(2011,5,13) + TIME(5,37,41)</f>
        <v>40676.234502314815</v>
      </c>
      <c r="C479">
        <v>80</v>
      </c>
      <c r="D479">
        <v>79.593612671000002</v>
      </c>
      <c r="E479">
        <v>50</v>
      </c>
      <c r="F479">
        <v>48.272609711000001</v>
      </c>
      <c r="G479">
        <v>1346.3126221</v>
      </c>
      <c r="H479">
        <v>1341.605957</v>
      </c>
      <c r="I479">
        <v>1322.3803711</v>
      </c>
      <c r="J479">
        <v>1318.2484131000001</v>
      </c>
      <c r="K479">
        <v>550</v>
      </c>
      <c r="L479">
        <v>0</v>
      </c>
      <c r="M479">
        <v>0</v>
      </c>
      <c r="N479">
        <v>550</v>
      </c>
    </row>
    <row r="480" spans="1:14" x14ac:dyDescent="0.25">
      <c r="A480">
        <v>377.75995499999999</v>
      </c>
      <c r="B480" s="1">
        <f>DATE(2011,5,13) + TIME(18,14,20)</f>
        <v>40676.759953703702</v>
      </c>
      <c r="C480">
        <v>80</v>
      </c>
      <c r="D480">
        <v>79.628326415999993</v>
      </c>
      <c r="E480">
        <v>50</v>
      </c>
      <c r="F480">
        <v>48.218185425000001</v>
      </c>
      <c r="G480">
        <v>1346.3037108999999</v>
      </c>
      <c r="H480">
        <v>1341.5986327999999</v>
      </c>
      <c r="I480">
        <v>1322.3762207</v>
      </c>
      <c r="J480">
        <v>1318.2407227000001</v>
      </c>
      <c r="K480">
        <v>550</v>
      </c>
      <c r="L480">
        <v>0</v>
      </c>
      <c r="M480">
        <v>0</v>
      </c>
      <c r="N480">
        <v>550</v>
      </c>
    </row>
    <row r="481" spans="1:14" x14ac:dyDescent="0.25">
      <c r="A481">
        <v>378.29829999999998</v>
      </c>
      <c r="B481" s="1">
        <f>DATE(2011,5,14) + TIME(7,9,33)</f>
        <v>40677.298298611109</v>
      </c>
      <c r="C481">
        <v>80</v>
      </c>
      <c r="D481">
        <v>79.657341002999999</v>
      </c>
      <c r="E481">
        <v>50</v>
      </c>
      <c r="F481">
        <v>48.162849426000001</v>
      </c>
      <c r="G481">
        <v>1346.2937012</v>
      </c>
      <c r="H481">
        <v>1341.5904541</v>
      </c>
      <c r="I481">
        <v>1322.3718262</v>
      </c>
      <c r="J481">
        <v>1318.2326660000001</v>
      </c>
      <c r="K481">
        <v>550</v>
      </c>
      <c r="L481">
        <v>0</v>
      </c>
      <c r="M481">
        <v>0</v>
      </c>
      <c r="N481">
        <v>550</v>
      </c>
    </row>
    <row r="482" spans="1:14" x14ac:dyDescent="0.25">
      <c r="A482">
        <v>378.850933</v>
      </c>
      <c r="B482" s="1">
        <f>DATE(2011,5,14) + TIME(20,25,20)</f>
        <v>40677.850925925923</v>
      </c>
      <c r="C482">
        <v>80</v>
      </c>
      <c r="D482">
        <v>79.681571959999999</v>
      </c>
      <c r="E482">
        <v>50</v>
      </c>
      <c r="F482">
        <v>48.106483459000003</v>
      </c>
      <c r="G482">
        <v>1346.2827147999999</v>
      </c>
      <c r="H482">
        <v>1341.581543</v>
      </c>
      <c r="I482">
        <v>1322.3670654</v>
      </c>
      <c r="J482">
        <v>1318.2243652</v>
      </c>
      <c r="K482">
        <v>550</v>
      </c>
      <c r="L482">
        <v>0</v>
      </c>
      <c r="M482">
        <v>0</v>
      </c>
      <c r="N482">
        <v>550</v>
      </c>
    </row>
    <row r="483" spans="1:14" x14ac:dyDescent="0.25">
      <c r="A483">
        <v>379.41927500000003</v>
      </c>
      <c r="B483" s="1">
        <f>DATE(2011,5,15) + TIME(10,3,45)</f>
        <v>40678.419270833336</v>
      </c>
      <c r="C483">
        <v>80</v>
      </c>
      <c r="D483">
        <v>79.701797485</v>
      </c>
      <c r="E483">
        <v>50</v>
      </c>
      <c r="F483">
        <v>48.048965453999998</v>
      </c>
      <c r="G483">
        <v>1346.2707519999999</v>
      </c>
      <c r="H483">
        <v>1341.5718993999999</v>
      </c>
      <c r="I483">
        <v>1322.3621826000001</v>
      </c>
      <c r="J483">
        <v>1318.2156981999999</v>
      </c>
      <c r="K483">
        <v>550</v>
      </c>
      <c r="L483">
        <v>0</v>
      </c>
      <c r="M483">
        <v>0</v>
      </c>
      <c r="N483">
        <v>550</v>
      </c>
    </row>
    <row r="484" spans="1:14" x14ac:dyDescent="0.25">
      <c r="A484">
        <v>380.00488899999999</v>
      </c>
      <c r="B484" s="1">
        <f>DATE(2011,5,16) + TIME(0,7,2)</f>
        <v>40679.004884259259</v>
      </c>
      <c r="C484">
        <v>80</v>
      </c>
      <c r="D484">
        <v>79.718666076999995</v>
      </c>
      <c r="E484">
        <v>50</v>
      </c>
      <c r="F484">
        <v>47.990161895999996</v>
      </c>
      <c r="G484">
        <v>1346.2579346</v>
      </c>
      <c r="H484">
        <v>1341.5616454999999</v>
      </c>
      <c r="I484">
        <v>1322.3570557</v>
      </c>
      <c r="J484">
        <v>1318.2066649999999</v>
      </c>
      <c r="K484">
        <v>550</v>
      </c>
      <c r="L484">
        <v>0</v>
      </c>
      <c r="M484">
        <v>0</v>
      </c>
      <c r="N484">
        <v>550</v>
      </c>
    </row>
    <row r="485" spans="1:14" x14ac:dyDescent="0.25">
      <c r="A485">
        <v>380.60949499999998</v>
      </c>
      <c r="B485" s="1">
        <f>DATE(2011,5,16) + TIME(14,37,40)</f>
        <v>40679.609490740739</v>
      </c>
      <c r="C485">
        <v>80</v>
      </c>
      <c r="D485">
        <v>79.732711792000003</v>
      </c>
      <c r="E485">
        <v>50</v>
      </c>
      <c r="F485">
        <v>47.929931641000003</v>
      </c>
      <c r="G485">
        <v>1346.2442627</v>
      </c>
      <c r="H485">
        <v>1341.5507812000001</v>
      </c>
      <c r="I485">
        <v>1322.3516846</v>
      </c>
      <c r="J485">
        <v>1318.1971435999999</v>
      </c>
      <c r="K485">
        <v>550</v>
      </c>
      <c r="L485">
        <v>0</v>
      </c>
      <c r="M485">
        <v>0</v>
      </c>
      <c r="N485">
        <v>550</v>
      </c>
    </row>
    <row r="486" spans="1:14" x14ac:dyDescent="0.25">
      <c r="A486">
        <v>381.23500899999999</v>
      </c>
      <c r="B486" s="1">
        <f>DATE(2011,5,17) + TIME(5,38,24)</f>
        <v>40680.235000000001</v>
      </c>
      <c r="C486">
        <v>80</v>
      </c>
      <c r="D486">
        <v>79.744415282999995</v>
      </c>
      <c r="E486">
        <v>50</v>
      </c>
      <c r="F486">
        <v>47.868122100999997</v>
      </c>
      <c r="G486">
        <v>1346.2297363</v>
      </c>
      <c r="H486">
        <v>1341.5393065999999</v>
      </c>
      <c r="I486">
        <v>1322.3459473</v>
      </c>
      <c r="J486">
        <v>1318.1871338000001</v>
      </c>
      <c r="K486">
        <v>550</v>
      </c>
      <c r="L486">
        <v>0</v>
      </c>
      <c r="M486">
        <v>0</v>
      </c>
      <c r="N486">
        <v>550</v>
      </c>
    </row>
    <row r="487" spans="1:14" x14ac:dyDescent="0.25">
      <c r="A487">
        <v>381.883689</v>
      </c>
      <c r="B487" s="1">
        <f>DATE(2011,5,17) + TIME(21,12,30)</f>
        <v>40680.883680555555</v>
      </c>
      <c r="C487">
        <v>80</v>
      </c>
      <c r="D487">
        <v>79.754158020000006</v>
      </c>
      <c r="E487">
        <v>50</v>
      </c>
      <c r="F487">
        <v>47.804550171000002</v>
      </c>
      <c r="G487">
        <v>1346.2143555</v>
      </c>
      <c r="H487">
        <v>1341.5273437999999</v>
      </c>
      <c r="I487">
        <v>1322.3398437999999</v>
      </c>
      <c r="J487">
        <v>1318.1767577999999</v>
      </c>
      <c r="K487">
        <v>550</v>
      </c>
      <c r="L487">
        <v>0</v>
      </c>
      <c r="M487">
        <v>0</v>
      </c>
      <c r="N487">
        <v>550</v>
      </c>
    </row>
    <row r="488" spans="1:14" x14ac:dyDescent="0.25">
      <c r="A488">
        <v>382.55126999999999</v>
      </c>
      <c r="B488" s="1">
        <f>DATE(2011,5,18) + TIME(13,13,49)</f>
        <v>40681.551261574074</v>
      </c>
      <c r="C488">
        <v>80</v>
      </c>
      <c r="D488">
        <v>79.762199401999993</v>
      </c>
      <c r="E488">
        <v>50</v>
      </c>
      <c r="F488">
        <v>47.739578246999997</v>
      </c>
      <c r="G488">
        <v>1346.1982422000001</v>
      </c>
      <c r="H488">
        <v>1341.5147704999999</v>
      </c>
      <c r="I488">
        <v>1322.3334961</v>
      </c>
      <c r="J488">
        <v>1318.1657714999999</v>
      </c>
      <c r="K488">
        <v>550</v>
      </c>
      <c r="L488">
        <v>0</v>
      </c>
      <c r="M488">
        <v>0</v>
      </c>
      <c r="N488">
        <v>550</v>
      </c>
    </row>
    <row r="489" spans="1:14" x14ac:dyDescent="0.25">
      <c r="A489">
        <v>383.23971</v>
      </c>
      <c r="B489" s="1">
        <f>DATE(2011,5,19) + TIME(5,45,10)</f>
        <v>40682.239699074074</v>
      </c>
      <c r="C489">
        <v>80</v>
      </c>
      <c r="D489">
        <v>79.768852233999993</v>
      </c>
      <c r="E489">
        <v>50</v>
      </c>
      <c r="F489">
        <v>47.673053740999997</v>
      </c>
      <c r="G489">
        <v>1346.1813964999999</v>
      </c>
      <c r="H489">
        <v>1341.5018310999999</v>
      </c>
      <c r="I489">
        <v>1322.3266602000001</v>
      </c>
      <c r="J489">
        <v>1318.1541748</v>
      </c>
      <c r="K489">
        <v>550</v>
      </c>
      <c r="L489">
        <v>0</v>
      </c>
      <c r="M489">
        <v>0</v>
      </c>
      <c r="N489">
        <v>550</v>
      </c>
    </row>
    <row r="490" spans="1:14" x14ac:dyDescent="0.25">
      <c r="A490">
        <v>383.95088500000003</v>
      </c>
      <c r="B490" s="1">
        <f>DATE(2011,5,19) + TIME(22,49,16)</f>
        <v>40682.950879629629</v>
      </c>
      <c r="C490">
        <v>80</v>
      </c>
      <c r="D490">
        <v>79.774368285999998</v>
      </c>
      <c r="E490">
        <v>50</v>
      </c>
      <c r="F490">
        <v>47.604831695999998</v>
      </c>
      <c r="G490">
        <v>1346.1640625</v>
      </c>
      <c r="H490">
        <v>1341.4885254000001</v>
      </c>
      <c r="I490">
        <v>1322.3195800999999</v>
      </c>
      <c r="J490">
        <v>1318.1422118999999</v>
      </c>
      <c r="K490">
        <v>550</v>
      </c>
      <c r="L490">
        <v>0</v>
      </c>
      <c r="M490">
        <v>0</v>
      </c>
      <c r="N490">
        <v>550</v>
      </c>
    </row>
    <row r="491" spans="1:14" x14ac:dyDescent="0.25">
      <c r="A491">
        <v>384.68690299999997</v>
      </c>
      <c r="B491" s="1">
        <f>DATE(2011,5,20) + TIME(16,29,8)</f>
        <v>40683.686898148146</v>
      </c>
      <c r="C491">
        <v>80</v>
      </c>
      <c r="D491">
        <v>79.778953552000004</v>
      </c>
      <c r="E491">
        <v>50</v>
      </c>
      <c r="F491">
        <v>47.534748077000003</v>
      </c>
      <c r="G491">
        <v>1346.1459961</v>
      </c>
      <c r="H491">
        <v>1341.4748535000001</v>
      </c>
      <c r="I491">
        <v>1322.3121338000001</v>
      </c>
      <c r="J491">
        <v>1318.1295166</v>
      </c>
      <c r="K491">
        <v>550</v>
      </c>
      <c r="L491">
        <v>0</v>
      </c>
      <c r="M491">
        <v>0</v>
      </c>
      <c r="N491">
        <v>550</v>
      </c>
    </row>
    <row r="492" spans="1:14" x14ac:dyDescent="0.25">
      <c r="A492">
        <v>385.45054900000002</v>
      </c>
      <c r="B492" s="1">
        <f>DATE(2011,5,21) + TIME(10,48,47)</f>
        <v>40684.450543981482</v>
      </c>
      <c r="C492">
        <v>80</v>
      </c>
      <c r="D492">
        <v>79.782768250000004</v>
      </c>
      <c r="E492">
        <v>50</v>
      </c>
      <c r="F492">
        <v>47.462596892999997</v>
      </c>
      <c r="G492">
        <v>1346.1274414</v>
      </c>
      <c r="H492">
        <v>1341.4606934000001</v>
      </c>
      <c r="I492">
        <v>1322.3043213000001</v>
      </c>
      <c r="J492">
        <v>1318.1162108999999</v>
      </c>
      <c r="K492">
        <v>550</v>
      </c>
      <c r="L492">
        <v>0</v>
      </c>
      <c r="M492">
        <v>0</v>
      </c>
      <c r="N492">
        <v>550</v>
      </c>
    </row>
    <row r="493" spans="1:14" x14ac:dyDescent="0.25">
      <c r="A493">
        <v>386.24485900000002</v>
      </c>
      <c r="B493" s="1">
        <f>DATE(2011,5,22) + TIME(5,52,35)</f>
        <v>40685.244849537034</v>
      </c>
      <c r="C493">
        <v>80</v>
      </c>
      <c r="D493">
        <v>79.785957335999996</v>
      </c>
      <c r="E493">
        <v>50</v>
      </c>
      <c r="F493">
        <v>47.388141632</v>
      </c>
      <c r="G493">
        <v>1346.1081543</v>
      </c>
      <c r="H493">
        <v>1341.4461670000001</v>
      </c>
      <c r="I493">
        <v>1322.2960204999999</v>
      </c>
      <c r="J493">
        <v>1318.1021728999999</v>
      </c>
      <c r="K493">
        <v>550</v>
      </c>
      <c r="L493">
        <v>0</v>
      </c>
      <c r="M493">
        <v>0</v>
      </c>
      <c r="N493">
        <v>550</v>
      </c>
    </row>
    <row r="494" spans="1:14" x14ac:dyDescent="0.25">
      <c r="A494">
        <v>387.05036200000001</v>
      </c>
      <c r="B494" s="1">
        <f>DATE(2011,5,23) + TIME(1,12,31)</f>
        <v>40686.050358796296</v>
      </c>
      <c r="C494">
        <v>80</v>
      </c>
      <c r="D494">
        <v>79.788566588999998</v>
      </c>
      <c r="E494">
        <v>50</v>
      </c>
      <c r="F494">
        <v>47.312892914000003</v>
      </c>
      <c r="G494">
        <v>1346.0883789</v>
      </c>
      <c r="H494">
        <v>1341.4313964999999</v>
      </c>
      <c r="I494">
        <v>1322.2871094</v>
      </c>
      <c r="J494">
        <v>1318.0874022999999</v>
      </c>
      <c r="K494">
        <v>550</v>
      </c>
      <c r="L494">
        <v>0</v>
      </c>
      <c r="M494">
        <v>0</v>
      </c>
      <c r="N494">
        <v>550</v>
      </c>
    </row>
    <row r="495" spans="1:14" x14ac:dyDescent="0.25">
      <c r="A495">
        <v>387.86518999999998</v>
      </c>
      <c r="B495" s="1">
        <f>DATE(2011,5,23) + TIME(20,45,52)</f>
        <v>40686.865185185183</v>
      </c>
      <c r="C495">
        <v>80</v>
      </c>
      <c r="D495">
        <v>79.790718079000001</v>
      </c>
      <c r="E495">
        <v>50</v>
      </c>
      <c r="F495">
        <v>47.237030029000003</v>
      </c>
      <c r="G495">
        <v>1346.0684814000001</v>
      </c>
      <c r="H495">
        <v>1341.4165039</v>
      </c>
      <c r="I495">
        <v>1322.2780762</v>
      </c>
      <c r="J495">
        <v>1318.0722656</v>
      </c>
      <c r="K495">
        <v>550</v>
      </c>
      <c r="L495">
        <v>0</v>
      </c>
      <c r="M495">
        <v>0</v>
      </c>
      <c r="N495">
        <v>550</v>
      </c>
    </row>
    <row r="496" spans="1:14" x14ac:dyDescent="0.25">
      <c r="A496">
        <v>388.69165500000003</v>
      </c>
      <c r="B496" s="1">
        <f>DATE(2011,5,24) + TIME(16,35,59)</f>
        <v>40687.691655092596</v>
      </c>
      <c r="C496">
        <v>80</v>
      </c>
      <c r="D496">
        <v>79.792503357000001</v>
      </c>
      <c r="E496">
        <v>50</v>
      </c>
      <c r="F496">
        <v>47.160400391000003</v>
      </c>
      <c r="G496">
        <v>1346.0487060999999</v>
      </c>
      <c r="H496">
        <v>1341.4017334</v>
      </c>
      <c r="I496">
        <v>1322.2686768000001</v>
      </c>
      <c r="J496">
        <v>1318.0565185999999</v>
      </c>
      <c r="K496">
        <v>550</v>
      </c>
      <c r="L496">
        <v>0</v>
      </c>
      <c r="M496">
        <v>0</v>
      </c>
      <c r="N496">
        <v>550</v>
      </c>
    </row>
    <row r="497" spans="1:14" x14ac:dyDescent="0.25">
      <c r="A497">
        <v>389.53205200000002</v>
      </c>
      <c r="B497" s="1">
        <f>DATE(2011,5,25) + TIME(12,46,9)</f>
        <v>40688.532048611109</v>
      </c>
      <c r="C497">
        <v>80</v>
      </c>
      <c r="D497">
        <v>79.793991089000002</v>
      </c>
      <c r="E497">
        <v>50</v>
      </c>
      <c r="F497">
        <v>47.082851410000004</v>
      </c>
      <c r="G497">
        <v>1346.0288086</v>
      </c>
      <c r="H497">
        <v>1341.3869629000001</v>
      </c>
      <c r="I497">
        <v>1322.2590332</v>
      </c>
      <c r="J497">
        <v>1318.0404053</v>
      </c>
      <c r="K497">
        <v>550</v>
      </c>
      <c r="L497">
        <v>0</v>
      </c>
      <c r="M497">
        <v>0</v>
      </c>
      <c r="N497">
        <v>550</v>
      </c>
    </row>
    <row r="498" spans="1:14" x14ac:dyDescent="0.25">
      <c r="A498">
        <v>390.38876599999998</v>
      </c>
      <c r="B498" s="1">
        <f>DATE(2011,5,26) + TIME(9,19,49)</f>
        <v>40689.388761574075</v>
      </c>
      <c r="C498">
        <v>80</v>
      </c>
      <c r="D498">
        <v>79.795242310000006</v>
      </c>
      <c r="E498">
        <v>50</v>
      </c>
      <c r="F498">
        <v>47.004215240000001</v>
      </c>
      <c r="G498">
        <v>1346.0087891000001</v>
      </c>
      <c r="H498">
        <v>1341.3723144999999</v>
      </c>
      <c r="I498">
        <v>1322.2490233999999</v>
      </c>
      <c r="J498">
        <v>1318.0236815999999</v>
      </c>
      <c r="K498">
        <v>550</v>
      </c>
      <c r="L498">
        <v>0</v>
      </c>
      <c r="M498">
        <v>0</v>
      </c>
      <c r="N498">
        <v>550</v>
      </c>
    </row>
    <row r="499" spans="1:14" x14ac:dyDescent="0.25">
      <c r="A499">
        <v>391.264636</v>
      </c>
      <c r="B499" s="1">
        <f>DATE(2011,5,27) + TIME(6,21,4)</f>
        <v>40690.26462962963</v>
      </c>
      <c r="C499">
        <v>80</v>
      </c>
      <c r="D499">
        <v>79.796310425000001</v>
      </c>
      <c r="E499">
        <v>50</v>
      </c>
      <c r="F499">
        <v>46.924285888999997</v>
      </c>
      <c r="G499">
        <v>1345.9887695</v>
      </c>
      <c r="H499">
        <v>1341.3575439000001</v>
      </c>
      <c r="I499">
        <v>1322.2387695</v>
      </c>
      <c r="J499">
        <v>1318.0063477000001</v>
      </c>
      <c r="K499">
        <v>550</v>
      </c>
      <c r="L499">
        <v>0</v>
      </c>
      <c r="M499">
        <v>0</v>
      </c>
      <c r="N499">
        <v>550</v>
      </c>
    </row>
    <row r="500" spans="1:14" x14ac:dyDescent="0.25">
      <c r="A500">
        <v>392.157623</v>
      </c>
      <c r="B500" s="1">
        <f>DATE(2011,5,28) + TIME(3,46,58)</f>
        <v>40691.15761574074</v>
      </c>
      <c r="C500">
        <v>80</v>
      </c>
      <c r="D500">
        <v>79.797210692999997</v>
      </c>
      <c r="E500">
        <v>50</v>
      </c>
      <c r="F500">
        <v>46.843219757</v>
      </c>
      <c r="G500">
        <v>1345.9686279</v>
      </c>
      <c r="H500">
        <v>1341.3427733999999</v>
      </c>
      <c r="I500">
        <v>1322.2280272999999</v>
      </c>
      <c r="J500">
        <v>1317.9882812000001</v>
      </c>
      <c r="K500">
        <v>550</v>
      </c>
      <c r="L500">
        <v>0</v>
      </c>
      <c r="M500">
        <v>0</v>
      </c>
      <c r="N500">
        <v>550</v>
      </c>
    </row>
    <row r="501" spans="1:14" x14ac:dyDescent="0.25">
      <c r="A501">
        <v>393.06412799999998</v>
      </c>
      <c r="B501" s="1">
        <f>DATE(2011,5,29) + TIME(1,32,20)</f>
        <v>40692.064120370371</v>
      </c>
      <c r="C501">
        <v>80</v>
      </c>
      <c r="D501">
        <v>79.797973632999998</v>
      </c>
      <c r="E501">
        <v>50</v>
      </c>
      <c r="F501">
        <v>46.761283874999997</v>
      </c>
      <c r="G501">
        <v>1345.9484863</v>
      </c>
      <c r="H501">
        <v>1341.328125</v>
      </c>
      <c r="I501">
        <v>1322.2169189000001</v>
      </c>
      <c r="J501">
        <v>1317.9697266000001</v>
      </c>
      <c r="K501">
        <v>550</v>
      </c>
      <c r="L501">
        <v>0</v>
      </c>
      <c r="M501">
        <v>0</v>
      </c>
      <c r="N501">
        <v>550</v>
      </c>
    </row>
    <row r="502" spans="1:14" x14ac:dyDescent="0.25">
      <c r="A502">
        <v>393.98642699999999</v>
      </c>
      <c r="B502" s="1">
        <f>DATE(2011,5,29) + TIME(23,40,27)</f>
        <v>40692.98642361111</v>
      </c>
      <c r="C502">
        <v>80</v>
      </c>
      <c r="D502">
        <v>79.798629761000001</v>
      </c>
      <c r="E502">
        <v>50</v>
      </c>
      <c r="F502">
        <v>46.678337096999996</v>
      </c>
      <c r="G502">
        <v>1345.9283447</v>
      </c>
      <c r="H502">
        <v>1341.3134766000001</v>
      </c>
      <c r="I502">
        <v>1322.2055664</v>
      </c>
      <c r="J502">
        <v>1317.9505615</v>
      </c>
      <c r="K502">
        <v>550</v>
      </c>
      <c r="L502">
        <v>0</v>
      </c>
      <c r="M502">
        <v>0</v>
      </c>
      <c r="N502">
        <v>550</v>
      </c>
    </row>
    <row r="503" spans="1:14" x14ac:dyDescent="0.25">
      <c r="A503">
        <v>394.92682000000002</v>
      </c>
      <c r="B503" s="1">
        <f>DATE(2011,5,30) + TIME(22,14,37)</f>
        <v>40693.926817129628</v>
      </c>
      <c r="C503">
        <v>80</v>
      </c>
      <c r="D503">
        <v>79.799186707000004</v>
      </c>
      <c r="E503">
        <v>50</v>
      </c>
      <c r="F503">
        <v>46.594207763999997</v>
      </c>
      <c r="G503">
        <v>1345.9082031</v>
      </c>
      <c r="H503">
        <v>1341.2988281</v>
      </c>
      <c r="I503">
        <v>1322.1937256000001</v>
      </c>
      <c r="J503">
        <v>1317.9306641000001</v>
      </c>
      <c r="K503">
        <v>550</v>
      </c>
      <c r="L503">
        <v>0</v>
      </c>
      <c r="M503">
        <v>0</v>
      </c>
      <c r="N503">
        <v>550</v>
      </c>
    </row>
    <row r="504" spans="1:14" x14ac:dyDescent="0.25">
      <c r="A504">
        <v>395.88775800000002</v>
      </c>
      <c r="B504" s="1">
        <f>DATE(2011,5,31) + TIME(21,18,22)</f>
        <v>40694.887754629628</v>
      </c>
      <c r="C504">
        <v>80</v>
      </c>
      <c r="D504">
        <v>79.799674988000007</v>
      </c>
      <c r="E504">
        <v>50</v>
      </c>
      <c r="F504">
        <v>46.508731842000003</v>
      </c>
      <c r="G504">
        <v>1345.8880615</v>
      </c>
      <c r="H504">
        <v>1341.2843018000001</v>
      </c>
      <c r="I504">
        <v>1322.1816406</v>
      </c>
      <c r="J504">
        <v>1317.9102783000001</v>
      </c>
      <c r="K504">
        <v>550</v>
      </c>
      <c r="L504">
        <v>0</v>
      </c>
      <c r="M504">
        <v>0</v>
      </c>
      <c r="N504">
        <v>550</v>
      </c>
    </row>
    <row r="505" spans="1:14" x14ac:dyDescent="0.25">
      <c r="A505">
        <v>396</v>
      </c>
      <c r="B505" s="1">
        <f>DATE(2011,6,1) + TIME(0,0,0)</f>
        <v>40695</v>
      </c>
      <c r="C505">
        <v>80</v>
      </c>
      <c r="D505">
        <v>79.799713135000005</v>
      </c>
      <c r="E505">
        <v>50</v>
      </c>
      <c r="F505">
        <v>46.496673584</v>
      </c>
      <c r="G505">
        <v>1345.8685303</v>
      </c>
      <c r="H505">
        <v>1341.2701416</v>
      </c>
      <c r="I505">
        <v>1322.1694336</v>
      </c>
      <c r="J505">
        <v>1317.8942870999999</v>
      </c>
      <c r="K505">
        <v>550</v>
      </c>
      <c r="L505">
        <v>0</v>
      </c>
      <c r="M505">
        <v>0</v>
      </c>
      <c r="N505">
        <v>550</v>
      </c>
    </row>
    <row r="506" spans="1:14" x14ac:dyDescent="0.25">
      <c r="A506">
        <v>396.98435699999999</v>
      </c>
      <c r="B506" s="1">
        <f>DATE(2011,6,1) + TIME(23,37,28)</f>
        <v>40695.984351851854</v>
      </c>
      <c r="C506">
        <v>80</v>
      </c>
      <c r="D506">
        <v>79.800125121999997</v>
      </c>
      <c r="E506">
        <v>50</v>
      </c>
      <c r="F506">
        <v>46.410072327000002</v>
      </c>
      <c r="G506">
        <v>1345.8654785000001</v>
      </c>
      <c r="H506">
        <v>1341.2680664</v>
      </c>
      <c r="I506">
        <v>1322.1673584</v>
      </c>
      <c r="J506">
        <v>1317.8861084</v>
      </c>
      <c r="K506">
        <v>550</v>
      </c>
      <c r="L506">
        <v>0</v>
      </c>
      <c r="M506">
        <v>0</v>
      </c>
      <c r="N506">
        <v>550</v>
      </c>
    </row>
    <row r="507" spans="1:14" x14ac:dyDescent="0.25">
      <c r="A507">
        <v>397.99960800000002</v>
      </c>
      <c r="B507" s="1">
        <f>DATE(2011,6,2) + TIME(23,59,26)</f>
        <v>40696.999606481484</v>
      </c>
      <c r="C507">
        <v>80</v>
      </c>
      <c r="D507">
        <v>79.800483704000001</v>
      </c>
      <c r="E507">
        <v>50</v>
      </c>
      <c r="F507">
        <v>46.321315765000001</v>
      </c>
      <c r="G507">
        <v>1345.8453368999999</v>
      </c>
      <c r="H507">
        <v>1341.2535399999999</v>
      </c>
      <c r="I507">
        <v>1322.1544189000001</v>
      </c>
      <c r="J507">
        <v>1317.8641356999999</v>
      </c>
      <c r="K507">
        <v>550</v>
      </c>
      <c r="L507">
        <v>0</v>
      </c>
      <c r="M507">
        <v>0</v>
      </c>
      <c r="N507">
        <v>550</v>
      </c>
    </row>
    <row r="508" spans="1:14" x14ac:dyDescent="0.25">
      <c r="A508">
        <v>399.03975000000003</v>
      </c>
      <c r="B508" s="1">
        <f>DATE(2011,6,4) + TIME(0,57,14)</f>
        <v>40698.03974537037</v>
      </c>
      <c r="C508">
        <v>80</v>
      </c>
      <c r="D508">
        <v>79.800796508999994</v>
      </c>
      <c r="E508">
        <v>50</v>
      </c>
      <c r="F508">
        <v>46.230812073000003</v>
      </c>
      <c r="G508">
        <v>1345.8248291</v>
      </c>
      <c r="H508">
        <v>1341.2388916</v>
      </c>
      <c r="I508">
        <v>1322.1407471</v>
      </c>
      <c r="J508">
        <v>1317.8410644999999</v>
      </c>
      <c r="K508">
        <v>550</v>
      </c>
      <c r="L508">
        <v>0</v>
      </c>
      <c r="M508">
        <v>0</v>
      </c>
      <c r="N508">
        <v>550</v>
      </c>
    </row>
    <row r="509" spans="1:14" x14ac:dyDescent="0.25">
      <c r="A509">
        <v>400.09862500000003</v>
      </c>
      <c r="B509" s="1">
        <f>DATE(2011,6,5) + TIME(2,22,1)</f>
        <v>40699.098622685182</v>
      </c>
      <c r="C509">
        <v>80</v>
      </c>
      <c r="D509">
        <v>79.801063537999994</v>
      </c>
      <c r="E509">
        <v>50</v>
      </c>
      <c r="F509">
        <v>46.13898468</v>
      </c>
      <c r="G509">
        <v>1345.8043213000001</v>
      </c>
      <c r="H509">
        <v>1341.2241211</v>
      </c>
      <c r="I509">
        <v>1322.1265868999999</v>
      </c>
      <c r="J509">
        <v>1317.8171387</v>
      </c>
      <c r="K509">
        <v>550</v>
      </c>
      <c r="L509">
        <v>0</v>
      </c>
      <c r="M509">
        <v>0</v>
      </c>
      <c r="N509">
        <v>550</v>
      </c>
    </row>
    <row r="510" spans="1:14" x14ac:dyDescent="0.25">
      <c r="A510">
        <v>401.17878400000001</v>
      </c>
      <c r="B510" s="1">
        <f>DATE(2011,6,6) + TIME(4,17,26)</f>
        <v>40700.178773148145</v>
      </c>
      <c r="C510">
        <v>80</v>
      </c>
      <c r="D510">
        <v>79.801292419000006</v>
      </c>
      <c r="E510">
        <v>50</v>
      </c>
      <c r="F510">
        <v>46.045688628999997</v>
      </c>
      <c r="G510">
        <v>1345.7836914</v>
      </c>
      <c r="H510">
        <v>1341.2094727000001</v>
      </c>
      <c r="I510">
        <v>1322.1120605000001</v>
      </c>
      <c r="J510">
        <v>1317.7924805</v>
      </c>
      <c r="K510">
        <v>550</v>
      </c>
      <c r="L510">
        <v>0</v>
      </c>
      <c r="M510">
        <v>0</v>
      </c>
      <c r="N510">
        <v>550</v>
      </c>
    </row>
    <row r="511" spans="1:14" x14ac:dyDescent="0.25">
      <c r="A511">
        <v>402.28281900000002</v>
      </c>
      <c r="B511" s="1">
        <f>DATE(2011,6,7) + TIME(6,47,15)</f>
        <v>40701.282812500001</v>
      </c>
      <c r="C511">
        <v>80</v>
      </c>
      <c r="D511">
        <v>79.801490783999995</v>
      </c>
      <c r="E511">
        <v>50</v>
      </c>
      <c r="F511">
        <v>45.950775145999998</v>
      </c>
      <c r="G511">
        <v>1345.7631836</v>
      </c>
      <c r="H511">
        <v>1341.1948242000001</v>
      </c>
      <c r="I511">
        <v>1322.0970459</v>
      </c>
      <c r="J511">
        <v>1317.7668457</v>
      </c>
      <c r="K511">
        <v>550</v>
      </c>
      <c r="L511">
        <v>0</v>
      </c>
      <c r="M511">
        <v>0</v>
      </c>
      <c r="N511">
        <v>550</v>
      </c>
    </row>
    <row r="512" spans="1:14" x14ac:dyDescent="0.25">
      <c r="A512">
        <v>403.41352899999998</v>
      </c>
      <c r="B512" s="1">
        <f>DATE(2011,6,8) + TIME(9,55,28)</f>
        <v>40702.413518518515</v>
      </c>
      <c r="C512">
        <v>80</v>
      </c>
      <c r="D512">
        <v>79.801666260000005</v>
      </c>
      <c r="E512">
        <v>50</v>
      </c>
      <c r="F512">
        <v>45.854057312000002</v>
      </c>
      <c r="G512">
        <v>1345.7426757999999</v>
      </c>
      <c r="H512">
        <v>1341.1802978999999</v>
      </c>
      <c r="I512">
        <v>1322.081543</v>
      </c>
      <c r="J512">
        <v>1317.7404785000001</v>
      </c>
      <c r="K512">
        <v>550</v>
      </c>
      <c r="L512">
        <v>0</v>
      </c>
      <c r="M512">
        <v>0</v>
      </c>
      <c r="N512">
        <v>550</v>
      </c>
    </row>
    <row r="513" spans="1:14" x14ac:dyDescent="0.25">
      <c r="A513">
        <v>404.57601899999997</v>
      </c>
      <c r="B513" s="1">
        <f>DATE(2011,6,9) + TIME(13,49,28)</f>
        <v>40703.576018518521</v>
      </c>
      <c r="C513">
        <v>80</v>
      </c>
      <c r="D513">
        <v>79.801818847999996</v>
      </c>
      <c r="E513">
        <v>50</v>
      </c>
      <c r="F513">
        <v>45.755207061999997</v>
      </c>
      <c r="G513">
        <v>1345.7220459</v>
      </c>
      <c r="H513">
        <v>1341.1656493999999</v>
      </c>
      <c r="I513">
        <v>1322.0655518000001</v>
      </c>
      <c r="J513">
        <v>1317.7130127</v>
      </c>
      <c r="K513">
        <v>550</v>
      </c>
      <c r="L513">
        <v>0</v>
      </c>
      <c r="M513">
        <v>0</v>
      </c>
      <c r="N513">
        <v>550</v>
      </c>
    </row>
    <row r="514" spans="1:14" x14ac:dyDescent="0.25">
      <c r="A514">
        <v>405.77393000000001</v>
      </c>
      <c r="B514" s="1">
        <f>DATE(2011,6,10) + TIME(18,34,27)</f>
        <v>40704.773923611108</v>
      </c>
      <c r="C514">
        <v>80</v>
      </c>
      <c r="D514">
        <v>79.801948546999995</v>
      </c>
      <c r="E514">
        <v>50</v>
      </c>
      <c r="F514">
        <v>45.653968810999999</v>
      </c>
      <c r="G514">
        <v>1345.7012939000001</v>
      </c>
      <c r="H514">
        <v>1341.151001</v>
      </c>
      <c r="I514">
        <v>1322.0488281</v>
      </c>
      <c r="J514">
        <v>1317.6843262</v>
      </c>
      <c r="K514">
        <v>550</v>
      </c>
      <c r="L514">
        <v>0</v>
      </c>
      <c r="M514">
        <v>0</v>
      </c>
      <c r="N514">
        <v>550</v>
      </c>
    </row>
    <row r="515" spans="1:14" x14ac:dyDescent="0.25">
      <c r="A515">
        <v>407.01139599999999</v>
      </c>
      <c r="B515" s="1">
        <f>DATE(2011,6,12) + TIME(0,16,24)</f>
        <v>40706.011388888888</v>
      </c>
      <c r="C515">
        <v>80</v>
      </c>
      <c r="D515">
        <v>79.802070618000002</v>
      </c>
      <c r="E515">
        <v>50</v>
      </c>
      <c r="F515">
        <v>45.550064087000003</v>
      </c>
      <c r="G515">
        <v>1345.6804199000001</v>
      </c>
      <c r="H515">
        <v>1341.1362305</v>
      </c>
      <c r="I515">
        <v>1322.0314940999999</v>
      </c>
      <c r="J515">
        <v>1317.6545410000001</v>
      </c>
      <c r="K515">
        <v>550</v>
      </c>
      <c r="L515">
        <v>0</v>
      </c>
      <c r="M515">
        <v>0</v>
      </c>
      <c r="N515">
        <v>550</v>
      </c>
    </row>
    <row r="516" spans="1:14" x14ac:dyDescent="0.25">
      <c r="A516">
        <v>408.27239700000001</v>
      </c>
      <c r="B516" s="1">
        <f>DATE(2011,6,13) + TIME(6,32,15)</f>
        <v>40707.27239583333</v>
      </c>
      <c r="C516">
        <v>80</v>
      </c>
      <c r="D516">
        <v>79.802177428999997</v>
      </c>
      <c r="E516">
        <v>50</v>
      </c>
      <c r="F516">
        <v>45.444488524999997</v>
      </c>
      <c r="G516">
        <v>1345.6591797000001</v>
      </c>
      <c r="H516">
        <v>1341.1212158000001</v>
      </c>
      <c r="I516">
        <v>1322.0135498</v>
      </c>
      <c r="J516">
        <v>1317.6235352000001</v>
      </c>
      <c r="K516">
        <v>550</v>
      </c>
      <c r="L516">
        <v>0</v>
      </c>
      <c r="M516">
        <v>0</v>
      </c>
      <c r="N516">
        <v>550</v>
      </c>
    </row>
    <row r="517" spans="1:14" x14ac:dyDescent="0.25">
      <c r="A517">
        <v>409.55872599999998</v>
      </c>
      <c r="B517" s="1">
        <f>DATE(2011,6,14) + TIME(13,24,33)</f>
        <v>40708.558715277781</v>
      </c>
      <c r="C517">
        <v>80</v>
      </c>
      <c r="D517">
        <v>79.802268982000001</v>
      </c>
      <c r="E517">
        <v>50</v>
      </c>
      <c r="F517">
        <v>45.337173462000003</v>
      </c>
      <c r="G517">
        <v>1345.6380615</v>
      </c>
      <c r="H517">
        <v>1341.1063231999999</v>
      </c>
      <c r="I517">
        <v>1321.9949951000001</v>
      </c>
      <c r="J517">
        <v>1317.5915527</v>
      </c>
      <c r="K517">
        <v>550</v>
      </c>
      <c r="L517">
        <v>0</v>
      </c>
      <c r="M517">
        <v>0</v>
      </c>
      <c r="N517">
        <v>550</v>
      </c>
    </row>
    <row r="518" spans="1:14" x14ac:dyDescent="0.25">
      <c r="A518">
        <v>410.85647399999999</v>
      </c>
      <c r="B518" s="1">
        <f>DATE(2011,6,15) + TIME(20,33,19)</f>
        <v>40709.856469907405</v>
      </c>
      <c r="C518">
        <v>80</v>
      </c>
      <c r="D518">
        <v>79.802352905000006</v>
      </c>
      <c r="E518">
        <v>50</v>
      </c>
      <c r="F518">
        <v>45.229026793999999</v>
      </c>
      <c r="G518">
        <v>1345.6169434000001</v>
      </c>
      <c r="H518">
        <v>1341.0914307</v>
      </c>
      <c r="I518">
        <v>1321.9759521000001</v>
      </c>
      <c r="J518">
        <v>1317.5585937999999</v>
      </c>
      <c r="K518">
        <v>550</v>
      </c>
      <c r="L518">
        <v>0</v>
      </c>
      <c r="M518">
        <v>0</v>
      </c>
      <c r="N518">
        <v>550</v>
      </c>
    </row>
    <row r="519" spans="1:14" x14ac:dyDescent="0.25">
      <c r="A519">
        <v>412.16900600000002</v>
      </c>
      <c r="B519" s="1">
        <f>DATE(2011,6,17) + TIME(4,3,22)</f>
        <v>40711.169004629628</v>
      </c>
      <c r="C519">
        <v>80</v>
      </c>
      <c r="D519">
        <v>79.802421570000007</v>
      </c>
      <c r="E519">
        <v>50</v>
      </c>
      <c r="F519">
        <v>45.119937897</v>
      </c>
      <c r="G519">
        <v>1345.5960693</v>
      </c>
      <c r="H519">
        <v>1341.0767822</v>
      </c>
      <c r="I519">
        <v>1321.956543</v>
      </c>
      <c r="J519">
        <v>1317.5249022999999</v>
      </c>
      <c r="K519">
        <v>550</v>
      </c>
      <c r="L519">
        <v>0</v>
      </c>
      <c r="M519">
        <v>0</v>
      </c>
      <c r="N519">
        <v>550</v>
      </c>
    </row>
    <row r="520" spans="1:14" x14ac:dyDescent="0.25">
      <c r="A520">
        <v>413.49972000000002</v>
      </c>
      <c r="B520" s="1">
        <f>DATE(2011,6,18) + TIME(11,59,35)</f>
        <v>40712.499710648146</v>
      </c>
      <c r="C520">
        <v>80</v>
      </c>
      <c r="D520">
        <v>79.802490234000004</v>
      </c>
      <c r="E520">
        <v>50</v>
      </c>
      <c r="F520">
        <v>45.009757995999998</v>
      </c>
      <c r="G520">
        <v>1345.5754394999999</v>
      </c>
      <c r="H520">
        <v>1341.0622559000001</v>
      </c>
      <c r="I520">
        <v>1321.9367675999999</v>
      </c>
      <c r="J520">
        <v>1317.4903564000001</v>
      </c>
      <c r="K520">
        <v>550</v>
      </c>
      <c r="L520">
        <v>0</v>
      </c>
      <c r="M520">
        <v>0</v>
      </c>
      <c r="N520">
        <v>550</v>
      </c>
    </row>
    <row r="521" spans="1:14" x14ac:dyDescent="0.25">
      <c r="A521">
        <v>414.854287</v>
      </c>
      <c r="B521" s="1">
        <f>DATE(2011,6,19) + TIME(20,30,10)</f>
        <v>40713.85428240741</v>
      </c>
      <c r="C521">
        <v>80</v>
      </c>
      <c r="D521">
        <v>79.802551269999995</v>
      </c>
      <c r="E521">
        <v>50</v>
      </c>
      <c r="F521">
        <v>44.898178100999999</v>
      </c>
      <c r="G521">
        <v>1345.5549315999999</v>
      </c>
      <c r="H521">
        <v>1341.0478516000001</v>
      </c>
      <c r="I521">
        <v>1321.916626</v>
      </c>
      <c r="J521">
        <v>1317.4550781</v>
      </c>
      <c r="K521">
        <v>550</v>
      </c>
      <c r="L521">
        <v>0</v>
      </c>
      <c r="M521">
        <v>0</v>
      </c>
      <c r="N521">
        <v>550</v>
      </c>
    </row>
    <row r="522" spans="1:14" x14ac:dyDescent="0.25">
      <c r="A522">
        <v>416.23696999999999</v>
      </c>
      <c r="B522" s="1">
        <f>DATE(2011,6,21) + TIME(5,41,14)</f>
        <v>40715.236967592595</v>
      </c>
      <c r="C522">
        <v>80</v>
      </c>
      <c r="D522">
        <v>79.802619934000006</v>
      </c>
      <c r="E522">
        <v>50</v>
      </c>
      <c r="F522">
        <v>44.784961699999997</v>
      </c>
      <c r="G522">
        <v>1345.5344238</v>
      </c>
      <c r="H522">
        <v>1341.0334473</v>
      </c>
      <c r="I522">
        <v>1321.8959961</v>
      </c>
      <c r="J522">
        <v>1317.4188231999999</v>
      </c>
      <c r="K522">
        <v>550</v>
      </c>
      <c r="L522">
        <v>0</v>
      </c>
      <c r="M522">
        <v>0</v>
      </c>
      <c r="N522">
        <v>550</v>
      </c>
    </row>
    <row r="523" spans="1:14" x14ac:dyDescent="0.25">
      <c r="A523">
        <v>417.65193399999998</v>
      </c>
      <c r="B523" s="1">
        <f>DATE(2011,6,22) + TIME(15,38,47)</f>
        <v>40716.651932870373</v>
      </c>
      <c r="C523">
        <v>80</v>
      </c>
      <c r="D523">
        <v>79.802680968999994</v>
      </c>
      <c r="E523">
        <v>50</v>
      </c>
      <c r="F523">
        <v>44.669860839999998</v>
      </c>
      <c r="G523">
        <v>1345.5139160000001</v>
      </c>
      <c r="H523">
        <v>1341.019043</v>
      </c>
      <c r="I523">
        <v>1321.8748779</v>
      </c>
      <c r="J523">
        <v>1317.3813477000001</v>
      </c>
      <c r="K523">
        <v>550</v>
      </c>
      <c r="L523">
        <v>0</v>
      </c>
      <c r="M523">
        <v>0</v>
      </c>
      <c r="N523">
        <v>550</v>
      </c>
    </row>
    <row r="524" spans="1:14" x14ac:dyDescent="0.25">
      <c r="A524">
        <v>419.10373299999998</v>
      </c>
      <c r="B524" s="1">
        <f>DATE(2011,6,24) + TIME(2,29,22)</f>
        <v>40718.103726851848</v>
      </c>
      <c r="C524">
        <v>80</v>
      </c>
      <c r="D524">
        <v>79.802742003999995</v>
      </c>
      <c r="E524">
        <v>50</v>
      </c>
      <c r="F524">
        <v>44.552608489999997</v>
      </c>
      <c r="G524">
        <v>1345.4934082</v>
      </c>
      <c r="H524">
        <v>1341.0046387</v>
      </c>
      <c r="I524">
        <v>1321.8531493999999</v>
      </c>
      <c r="J524">
        <v>1317.3427733999999</v>
      </c>
      <c r="K524">
        <v>550</v>
      </c>
      <c r="L524">
        <v>0</v>
      </c>
      <c r="M524">
        <v>0</v>
      </c>
      <c r="N524">
        <v>550</v>
      </c>
    </row>
    <row r="525" spans="1:14" x14ac:dyDescent="0.25">
      <c r="A525">
        <v>420.57770799999997</v>
      </c>
      <c r="B525" s="1">
        <f>DATE(2011,6,25) + TIME(13,51,53)</f>
        <v>40719.577696759261</v>
      </c>
      <c r="C525">
        <v>80</v>
      </c>
      <c r="D525">
        <v>79.802803040000001</v>
      </c>
      <c r="E525">
        <v>50</v>
      </c>
      <c r="F525">
        <v>44.434055327999999</v>
      </c>
      <c r="G525">
        <v>1345.4726562000001</v>
      </c>
      <c r="H525">
        <v>1340.9902344</v>
      </c>
      <c r="I525">
        <v>1321.8309326000001</v>
      </c>
      <c r="J525">
        <v>1317.3031006000001</v>
      </c>
      <c r="K525">
        <v>550</v>
      </c>
      <c r="L525">
        <v>0</v>
      </c>
      <c r="M525">
        <v>0</v>
      </c>
      <c r="N525">
        <v>550</v>
      </c>
    </row>
    <row r="526" spans="1:14" x14ac:dyDescent="0.25">
      <c r="A526">
        <v>422.07131800000002</v>
      </c>
      <c r="B526" s="1">
        <f>DATE(2011,6,27) + TIME(1,42,41)</f>
        <v>40721.07130787037</v>
      </c>
      <c r="C526">
        <v>80</v>
      </c>
      <c r="D526">
        <v>79.802864075000002</v>
      </c>
      <c r="E526">
        <v>50</v>
      </c>
      <c r="F526">
        <v>44.314445495999998</v>
      </c>
      <c r="G526">
        <v>1345.4520264</v>
      </c>
      <c r="H526">
        <v>1340.9757079999999</v>
      </c>
      <c r="I526">
        <v>1321.8082274999999</v>
      </c>
      <c r="J526">
        <v>1317.2624512</v>
      </c>
      <c r="K526">
        <v>550</v>
      </c>
      <c r="L526">
        <v>0</v>
      </c>
      <c r="M526">
        <v>0</v>
      </c>
      <c r="N526">
        <v>550</v>
      </c>
    </row>
    <row r="527" spans="1:14" x14ac:dyDescent="0.25">
      <c r="A527">
        <v>423.58807200000001</v>
      </c>
      <c r="B527" s="1">
        <f>DATE(2011,6,28) + TIME(14,6,49)</f>
        <v>40722.588067129633</v>
      </c>
      <c r="C527">
        <v>80</v>
      </c>
      <c r="D527">
        <v>79.802925110000004</v>
      </c>
      <c r="E527">
        <v>50</v>
      </c>
      <c r="F527">
        <v>44.193683624000002</v>
      </c>
      <c r="G527">
        <v>1345.4315185999999</v>
      </c>
      <c r="H527">
        <v>1340.9614257999999</v>
      </c>
      <c r="I527">
        <v>1321.7851562000001</v>
      </c>
      <c r="J527">
        <v>1317.2209473</v>
      </c>
      <c r="K527">
        <v>550</v>
      </c>
      <c r="L527">
        <v>0</v>
      </c>
      <c r="M527">
        <v>0</v>
      </c>
      <c r="N527">
        <v>550</v>
      </c>
    </row>
    <row r="528" spans="1:14" x14ac:dyDescent="0.25">
      <c r="A528">
        <v>425.134974</v>
      </c>
      <c r="B528" s="1">
        <f>DATE(2011,6,30) + TIME(3,14,21)</f>
        <v>40724.134965277779</v>
      </c>
      <c r="C528">
        <v>80</v>
      </c>
      <c r="D528">
        <v>79.802993774000001</v>
      </c>
      <c r="E528">
        <v>50</v>
      </c>
      <c r="F528">
        <v>44.071453093999999</v>
      </c>
      <c r="G528">
        <v>1345.4111327999999</v>
      </c>
      <c r="H528">
        <v>1340.9471435999999</v>
      </c>
      <c r="I528">
        <v>1321.7617187999999</v>
      </c>
      <c r="J528">
        <v>1317.1784668</v>
      </c>
      <c r="K528">
        <v>550</v>
      </c>
      <c r="L528">
        <v>0</v>
      </c>
      <c r="M528">
        <v>0</v>
      </c>
      <c r="N528">
        <v>550</v>
      </c>
    </row>
    <row r="529" spans="1:14" x14ac:dyDescent="0.25">
      <c r="A529">
        <v>426</v>
      </c>
      <c r="B529" s="1">
        <f>DATE(2011,7,1) + TIME(0,0,0)</f>
        <v>40725</v>
      </c>
      <c r="C529">
        <v>80</v>
      </c>
      <c r="D529">
        <v>79.802993774000001</v>
      </c>
      <c r="E529">
        <v>50</v>
      </c>
      <c r="F529">
        <v>43.993434905999997</v>
      </c>
      <c r="G529">
        <v>1345.3905029</v>
      </c>
      <c r="H529">
        <v>1340.9326172000001</v>
      </c>
      <c r="I529">
        <v>1321.7388916</v>
      </c>
      <c r="J529">
        <v>1317.1402588000001</v>
      </c>
      <c r="K529">
        <v>550</v>
      </c>
      <c r="L529">
        <v>0</v>
      </c>
      <c r="M529">
        <v>0</v>
      </c>
      <c r="N529">
        <v>550</v>
      </c>
    </row>
    <row r="530" spans="1:14" x14ac:dyDescent="0.25">
      <c r="A530">
        <v>427.58167800000001</v>
      </c>
      <c r="B530" s="1">
        <f>DATE(2011,7,2) + TIME(13,57,36)</f>
        <v>40726.581666666665</v>
      </c>
      <c r="C530">
        <v>80</v>
      </c>
      <c r="D530">
        <v>79.803077697999996</v>
      </c>
      <c r="E530">
        <v>50</v>
      </c>
      <c r="F530">
        <v>43.872680664000001</v>
      </c>
      <c r="G530">
        <v>1345.3793945</v>
      </c>
      <c r="H530">
        <v>1340.9248047000001</v>
      </c>
      <c r="I530">
        <v>1321.7235106999999</v>
      </c>
      <c r="J530">
        <v>1317.1086425999999</v>
      </c>
      <c r="K530">
        <v>550</v>
      </c>
      <c r="L530">
        <v>0</v>
      </c>
      <c r="M530">
        <v>0</v>
      </c>
      <c r="N530">
        <v>550</v>
      </c>
    </row>
    <row r="531" spans="1:14" x14ac:dyDescent="0.25">
      <c r="A531">
        <v>429.22701499999999</v>
      </c>
      <c r="B531" s="1">
        <f>DATE(2011,7,4) + TIME(5,26,54)</f>
        <v>40728.227013888885</v>
      </c>
      <c r="C531">
        <v>80</v>
      </c>
      <c r="D531">
        <v>79.803161621000001</v>
      </c>
      <c r="E531">
        <v>50</v>
      </c>
      <c r="F531">
        <v>43.748115540000001</v>
      </c>
      <c r="G531">
        <v>1345.3591309000001</v>
      </c>
      <c r="H531">
        <v>1340.9106445</v>
      </c>
      <c r="I531">
        <v>1321.6993408000001</v>
      </c>
      <c r="J531">
        <v>1317.0643310999999</v>
      </c>
      <c r="K531">
        <v>550</v>
      </c>
      <c r="L531">
        <v>0</v>
      </c>
      <c r="M531">
        <v>0</v>
      </c>
      <c r="N531">
        <v>550</v>
      </c>
    </row>
    <row r="532" spans="1:14" x14ac:dyDescent="0.25">
      <c r="A532">
        <v>430.91428000000002</v>
      </c>
      <c r="B532" s="1">
        <f>DATE(2011,7,5) + TIME(21,56,33)</f>
        <v>40729.914270833331</v>
      </c>
      <c r="C532">
        <v>80</v>
      </c>
      <c r="D532">
        <v>79.803253174000005</v>
      </c>
      <c r="E532">
        <v>50</v>
      </c>
      <c r="F532">
        <v>43.621028899999999</v>
      </c>
      <c r="G532">
        <v>1345.3383789</v>
      </c>
      <c r="H532">
        <v>1340.8961182</v>
      </c>
      <c r="I532">
        <v>1321.6743164</v>
      </c>
      <c r="J532">
        <v>1317.0180664</v>
      </c>
      <c r="K532">
        <v>550</v>
      </c>
      <c r="L532">
        <v>0</v>
      </c>
      <c r="M532">
        <v>0</v>
      </c>
      <c r="N532">
        <v>550</v>
      </c>
    </row>
    <row r="533" spans="1:14" x14ac:dyDescent="0.25">
      <c r="A533">
        <v>432.627182</v>
      </c>
      <c r="B533" s="1">
        <f>DATE(2011,7,7) + TIME(15,3,8)</f>
        <v>40731.627175925925</v>
      </c>
      <c r="C533">
        <v>80</v>
      </c>
      <c r="D533">
        <v>79.803337096999996</v>
      </c>
      <c r="E533">
        <v>50</v>
      </c>
      <c r="F533">
        <v>43.492584229000002</v>
      </c>
      <c r="G533">
        <v>1345.3175048999999</v>
      </c>
      <c r="H533">
        <v>1340.8814697</v>
      </c>
      <c r="I533">
        <v>1321.6486815999999</v>
      </c>
      <c r="J533">
        <v>1316.9705810999999</v>
      </c>
      <c r="K533">
        <v>550</v>
      </c>
      <c r="L533">
        <v>0</v>
      </c>
      <c r="M533">
        <v>0</v>
      </c>
      <c r="N533">
        <v>550</v>
      </c>
    </row>
    <row r="534" spans="1:14" x14ac:dyDescent="0.25">
      <c r="A534">
        <v>434.371218</v>
      </c>
      <c r="B534" s="1">
        <f>DATE(2011,7,9) + TIME(8,54,33)</f>
        <v>40733.371215277781</v>
      </c>
      <c r="C534">
        <v>80</v>
      </c>
      <c r="D534">
        <v>79.803428650000001</v>
      </c>
      <c r="E534">
        <v>50</v>
      </c>
      <c r="F534">
        <v>43.362911224000001</v>
      </c>
      <c r="G534">
        <v>1345.2966309000001</v>
      </c>
      <c r="H534">
        <v>1340.8668213000001</v>
      </c>
      <c r="I534">
        <v>1321.6226807</v>
      </c>
      <c r="J534">
        <v>1316.9221190999999</v>
      </c>
      <c r="K534">
        <v>550</v>
      </c>
      <c r="L534">
        <v>0</v>
      </c>
      <c r="M534">
        <v>0</v>
      </c>
      <c r="N534">
        <v>550</v>
      </c>
    </row>
    <row r="535" spans="1:14" x14ac:dyDescent="0.25">
      <c r="A535">
        <v>436.15163000000001</v>
      </c>
      <c r="B535" s="1">
        <f>DATE(2011,7,11) + TIME(3,38,20)</f>
        <v>40735.151620370372</v>
      </c>
      <c r="C535">
        <v>80</v>
      </c>
      <c r="D535">
        <v>79.803520203000005</v>
      </c>
      <c r="E535">
        <v>50</v>
      </c>
      <c r="F535">
        <v>43.232093810999999</v>
      </c>
      <c r="G535">
        <v>1345.2757568</v>
      </c>
      <c r="H535">
        <v>1340.8521728999999</v>
      </c>
      <c r="I535">
        <v>1321.5964355000001</v>
      </c>
      <c r="J535">
        <v>1316.8726807</v>
      </c>
      <c r="K535">
        <v>550</v>
      </c>
      <c r="L535">
        <v>0</v>
      </c>
      <c r="M535">
        <v>0</v>
      </c>
      <c r="N535">
        <v>550</v>
      </c>
    </row>
    <row r="536" spans="1:14" x14ac:dyDescent="0.25">
      <c r="A536">
        <v>437.966881</v>
      </c>
      <c r="B536" s="1">
        <f>DATE(2011,7,12) + TIME(23,12,18)</f>
        <v>40736.966874999998</v>
      </c>
      <c r="C536">
        <v>80</v>
      </c>
      <c r="D536">
        <v>79.803619385000005</v>
      </c>
      <c r="E536">
        <v>50</v>
      </c>
      <c r="F536">
        <v>43.100528717000003</v>
      </c>
      <c r="G536">
        <v>1345.2548827999999</v>
      </c>
      <c r="H536">
        <v>1340.8375243999999</v>
      </c>
      <c r="I536">
        <v>1321.5698242000001</v>
      </c>
      <c r="J536">
        <v>1316.8220214999999</v>
      </c>
      <c r="K536">
        <v>550</v>
      </c>
      <c r="L536">
        <v>0</v>
      </c>
      <c r="M536">
        <v>0</v>
      </c>
      <c r="N536">
        <v>550</v>
      </c>
    </row>
    <row r="537" spans="1:14" x14ac:dyDescent="0.25">
      <c r="A537">
        <v>439.81635299999999</v>
      </c>
      <c r="B537" s="1">
        <f>DATE(2011,7,14) + TIME(19,35,32)</f>
        <v>40738.816342592596</v>
      </c>
      <c r="C537">
        <v>80</v>
      </c>
      <c r="D537">
        <v>79.803726196</v>
      </c>
      <c r="E537">
        <v>50</v>
      </c>
      <c r="F537">
        <v>42.968616486000002</v>
      </c>
      <c r="G537">
        <v>1345.2338867000001</v>
      </c>
      <c r="H537">
        <v>1340.8227539</v>
      </c>
      <c r="I537">
        <v>1321.5428466999999</v>
      </c>
      <c r="J537">
        <v>1316.7706298999999</v>
      </c>
      <c r="K537">
        <v>550</v>
      </c>
      <c r="L537">
        <v>0</v>
      </c>
      <c r="M537">
        <v>0</v>
      </c>
      <c r="N537">
        <v>550</v>
      </c>
    </row>
    <row r="538" spans="1:14" x14ac:dyDescent="0.25">
      <c r="A538">
        <v>441.68964</v>
      </c>
      <c r="B538" s="1">
        <f>DATE(2011,7,16) + TIME(16,33,4)</f>
        <v>40740.689629629633</v>
      </c>
      <c r="C538">
        <v>80</v>
      </c>
      <c r="D538">
        <v>79.803833007999998</v>
      </c>
      <c r="E538">
        <v>50</v>
      </c>
      <c r="F538">
        <v>42.837242126</v>
      </c>
      <c r="G538">
        <v>1345.2128906</v>
      </c>
      <c r="H538">
        <v>1340.8079834</v>
      </c>
      <c r="I538">
        <v>1321.5157471</v>
      </c>
      <c r="J538">
        <v>1316.7183838000001</v>
      </c>
      <c r="K538">
        <v>550</v>
      </c>
      <c r="L538">
        <v>0</v>
      </c>
      <c r="M538">
        <v>0</v>
      </c>
      <c r="N538">
        <v>550</v>
      </c>
    </row>
    <row r="539" spans="1:14" x14ac:dyDescent="0.25">
      <c r="A539">
        <v>443.58703000000003</v>
      </c>
      <c r="B539" s="1">
        <f>DATE(2011,7,18) + TIME(14,5,19)</f>
        <v>40742.587025462963</v>
      </c>
      <c r="C539">
        <v>80</v>
      </c>
      <c r="D539">
        <v>79.803939818999993</v>
      </c>
      <c r="E539">
        <v>50</v>
      </c>
      <c r="F539">
        <v>42.706874847000002</v>
      </c>
      <c r="G539">
        <v>1345.1918945</v>
      </c>
      <c r="H539">
        <v>1340.7933350000001</v>
      </c>
      <c r="I539">
        <v>1321.4885254000001</v>
      </c>
      <c r="J539">
        <v>1316.6655272999999</v>
      </c>
      <c r="K539">
        <v>550</v>
      </c>
      <c r="L539">
        <v>0</v>
      </c>
      <c r="M539">
        <v>0</v>
      </c>
      <c r="N539">
        <v>550</v>
      </c>
    </row>
    <row r="540" spans="1:14" x14ac:dyDescent="0.25">
      <c r="A540">
        <v>445.51455099999998</v>
      </c>
      <c r="B540" s="1">
        <f>DATE(2011,7,20) + TIME(12,20,57)</f>
        <v>40744.514548611114</v>
      </c>
      <c r="C540">
        <v>80</v>
      </c>
      <c r="D540">
        <v>79.80406189</v>
      </c>
      <c r="E540">
        <v>50</v>
      </c>
      <c r="F540">
        <v>42.577739716000004</v>
      </c>
      <c r="G540">
        <v>1345.1710204999999</v>
      </c>
      <c r="H540">
        <v>1340.7785644999999</v>
      </c>
      <c r="I540">
        <v>1321.4614257999999</v>
      </c>
      <c r="J540">
        <v>1316.6123047000001</v>
      </c>
      <c r="K540">
        <v>550</v>
      </c>
      <c r="L540">
        <v>0</v>
      </c>
      <c r="M540">
        <v>0</v>
      </c>
      <c r="N540">
        <v>550</v>
      </c>
    </row>
    <row r="541" spans="1:14" x14ac:dyDescent="0.25">
      <c r="A541">
        <v>447.48135400000001</v>
      </c>
      <c r="B541" s="1">
        <f>DATE(2011,7,22) + TIME(11,33,8)</f>
        <v>40746.481342592589</v>
      </c>
      <c r="C541">
        <v>80</v>
      </c>
      <c r="D541">
        <v>79.804183960000003</v>
      </c>
      <c r="E541">
        <v>50</v>
      </c>
      <c r="F541">
        <v>42.449947356999999</v>
      </c>
      <c r="G541">
        <v>1345.1502685999999</v>
      </c>
      <c r="H541">
        <v>1340.7637939000001</v>
      </c>
      <c r="I541">
        <v>1321.4343262</v>
      </c>
      <c r="J541">
        <v>1316.5585937999999</v>
      </c>
      <c r="K541">
        <v>550</v>
      </c>
      <c r="L541">
        <v>0</v>
      </c>
      <c r="M541">
        <v>0</v>
      </c>
      <c r="N541">
        <v>550</v>
      </c>
    </row>
    <row r="542" spans="1:14" x14ac:dyDescent="0.25">
      <c r="A542">
        <v>449.49328100000002</v>
      </c>
      <c r="B542" s="1">
        <f>DATE(2011,7,24) + TIME(11,50,19)</f>
        <v>40748.493275462963</v>
      </c>
      <c r="C542">
        <v>80</v>
      </c>
      <c r="D542">
        <v>79.804313660000005</v>
      </c>
      <c r="E542">
        <v>50</v>
      </c>
      <c r="F542">
        <v>42.323795318999998</v>
      </c>
      <c r="G542">
        <v>1345.1292725000001</v>
      </c>
      <c r="H542">
        <v>1340.7490233999999</v>
      </c>
      <c r="I542">
        <v>1321.4071045000001</v>
      </c>
      <c r="J542">
        <v>1316.5041504000001</v>
      </c>
      <c r="K542">
        <v>550</v>
      </c>
      <c r="L542">
        <v>0</v>
      </c>
      <c r="M542">
        <v>0</v>
      </c>
      <c r="N542">
        <v>550</v>
      </c>
    </row>
    <row r="543" spans="1:14" x14ac:dyDescent="0.25">
      <c r="A543">
        <v>451.548114</v>
      </c>
      <c r="B543" s="1">
        <f>DATE(2011,7,26) + TIME(13,9,17)</f>
        <v>40750.548113425924</v>
      </c>
      <c r="C543">
        <v>80</v>
      </c>
      <c r="D543">
        <v>79.804450989000003</v>
      </c>
      <c r="E543">
        <v>50</v>
      </c>
      <c r="F543">
        <v>42.199996947999999</v>
      </c>
      <c r="G543">
        <v>1345.1081543</v>
      </c>
      <c r="H543">
        <v>1340.7340088000001</v>
      </c>
      <c r="I543">
        <v>1321.3798827999999</v>
      </c>
      <c r="J543">
        <v>1316.4492187999999</v>
      </c>
      <c r="K543">
        <v>550</v>
      </c>
      <c r="L543">
        <v>0</v>
      </c>
      <c r="M543">
        <v>0</v>
      </c>
      <c r="N543">
        <v>550</v>
      </c>
    </row>
    <row r="544" spans="1:14" x14ac:dyDescent="0.25">
      <c r="A544">
        <v>453.62382000000002</v>
      </c>
      <c r="B544" s="1">
        <f>DATE(2011,7,28) + TIME(14,58,18)</f>
        <v>40752.623819444445</v>
      </c>
      <c r="C544">
        <v>80</v>
      </c>
      <c r="D544">
        <v>79.804588318</v>
      </c>
      <c r="E544">
        <v>50</v>
      </c>
      <c r="F544">
        <v>42.080127716</v>
      </c>
      <c r="G544">
        <v>1345.0869141000001</v>
      </c>
      <c r="H544">
        <v>1340.7189940999999</v>
      </c>
      <c r="I544">
        <v>1321.3527832</v>
      </c>
      <c r="J544">
        <v>1316.394043</v>
      </c>
      <c r="K544">
        <v>550</v>
      </c>
      <c r="L544">
        <v>0</v>
      </c>
      <c r="M544">
        <v>0</v>
      </c>
      <c r="N544">
        <v>550</v>
      </c>
    </row>
    <row r="545" spans="1:14" x14ac:dyDescent="0.25">
      <c r="A545">
        <v>455.72369900000001</v>
      </c>
      <c r="B545" s="1">
        <f>DATE(2011,7,30) + TIME(17,22,7)</f>
        <v>40754.723692129628</v>
      </c>
      <c r="C545">
        <v>80</v>
      </c>
      <c r="D545">
        <v>79.804733275999993</v>
      </c>
      <c r="E545">
        <v>50</v>
      </c>
      <c r="F545">
        <v>41.964942932</v>
      </c>
      <c r="G545">
        <v>1345.0657959</v>
      </c>
      <c r="H545">
        <v>1340.7038574000001</v>
      </c>
      <c r="I545">
        <v>1321.3260498</v>
      </c>
      <c r="J545">
        <v>1316.3389893000001</v>
      </c>
      <c r="K545">
        <v>550</v>
      </c>
      <c r="L545">
        <v>0</v>
      </c>
      <c r="M545">
        <v>0</v>
      </c>
      <c r="N545">
        <v>550</v>
      </c>
    </row>
    <row r="546" spans="1:14" x14ac:dyDescent="0.25">
      <c r="A546">
        <v>457</v>
      </c>
      <c r="B546" s="1">
        <f>DATE(2011,8,1) + TIME(0,0,0)</f>
        <v>40756</v>
      </c>
      <c r="C546">
        <v>80</v>
      </c>
      <c r="D546">
        <v>79.804786682</v>
      </c>
      <c r="E546">
        <v>50</v>
      </c>
      <c r="F546">
        <v>41.887859343999999</v>
      </c>
      <c r="G546">
        <v>1345.0445557</v>
      </c>
      <c r="H546">
        <v>1340.6887207</v>
      </c>
      <c r="I546">
        <v>1321.3017577999999</v>
      </c>
      <c r="J546">
        <v>1316.2902832</v>
      </c>
      <c r="K546">
        <v>550</v>
      </c>
      <c r="L546">
        <v>0</v>
      </c>
      <c r="M546">
        <v>0</v>
      </c>
      <c r="N546">
        <v>550</v>
      </c>
    </row>
    <row r="547" spans="1:14" x14ac:dyDescent="0.25">
      <c r="A547">
        <v>459.13096100000001</v>
      </c>
      <c r="B547" s="1">
        <f>DATE(2011,8,3) + TIME(3,8,35)</f>
        <v>40758.130960648145</v>
      </c>
      <c r="C547">
        <v>80</v>
      </c>
      <c r="D547">
        <v>79.804962157999995</v>
      </c>
      <c r="E547">
        <v>50</v>
      </c>
      <c r="F547">
        <v>41.786396027000002</v>
      </c>
      <c r="G547">
        <v>1345.0319824000001</v>
      </c>
      <c r="H547">
        <v>1340.6796875</v>
      </c>
      <c r="I547">
        <v>1321.2828368999999</v>
      </c>
      <c r="J547">
        <v>1316.2485352000001</v>
      </c>
      <c r="K547">
        <v>550</v>
      </c>
      <c r="L547">
        <v>0</v>
      </c>
      <c r="M547">
        <v>0</v>
      </c>
      <c r="N547">
        <v>550</v>
      </c>
    </row>
    <row r="548" spans="1:14" x14ac:dyDescent="0.25">
      <c r="A548">
        <v>461.32544899999999</v>
      </c>
      <c r="B548" s="1">
        <f>DATE(2011,8,5) + TIME(7,48,38)</f>
        <v>40760.325439814813</v>
      </c>
      <c r="C548">
        <v>80</v>
      </c>
      <c r="D548">
        <v>79.805130004999995</v>
      </c>
      <c r="E548">
        <v>50</v>
      </c>
      <c r="F548">
        <v>41.689373015999998</v>
      </c>
      <c r="G548">
        <v>1345.0111084</v>
      </c>
      <c r="H548">
        <v>1340.6646728999999</v>
      </c>
      <c r="I548">
        <v>1321.2579346</v>
      </c>
      <c r="J548">
        <v>1316.1955565999999</v>
      </c>
      <c r="K548">
        <v>550</v>
      </c>
      <c r="L548">
        <v>0</v>
      </c>
      <c r="M548">
        <v>0</v>
      </c>
      <c r="N548">
        <v>550</v>
      </c>
    </row>
    <row r="549" spans="1:14" x14ac:dyDescent="0.25">
      <c r="A549">
        <v>463.56782600000003</v>
      </c>
      <c r="B549" s="1">
        <f>DATE(2011,8,7) + TIME(13,37,40)</f>
        <v>40762.567824074074</v>
      </c>
      <c r="C549">
        <v>80</v>
      </c>
      <c r="D549">
        <v>79.805305481000005</v>
      </c>
      <c r="E549">
        <v>50</v>
      </c>
      <c r="F549">
        <v>41.598773956000002</v>
      </c>
      <c r="G549">
        <v>1344.9898682</v>
      </c>
      <c r="H549">
        <v>1340.6494141000001</v>
      </c>
      <c r="I549">
        <v>1321.2331543</v>
      </c>
      <c r="J549">
        <v>1316.1422118999999</v>
      </c>
      <c r="K549">
        <v>550</v>
      </c>
      <c r="L549">
        <v>0</v>
      </c>
      <c r="M549">
        <v>0</v>
      </c>
      <c r="N549">
        <v>550</v>
      </c>
    </row>
    <row r="550" spans="1:14" x14ac:dyDescent="0.25">
      <c r="A550">
        <v>465.86614600000001</v>
      </c>
      <c r="B550" s="1">
        <f>DATE(2011,8,9) + TIME(20,47,15)</f>
        <v>40764.86614583333</v>
      </c>
      <c r="C550">
        <v>80</v>
      </c>
      <c r="D550">
        <v>79.805488585999996</v>
      </c>
      <c r="E550">
        <v>50</v>
      </c>
      <c r="F550">
        <v>41.516025542999998</v>
      </c>
      <c r="G550">
        <v>1344.9683838000001</v>
      </c>
      <c r="H550">
        <v>1340.6340332</v>
      </c>
      <c r="I550">
        <v>1321.2087402</v>
      </c>
      <c r="J550">
        <v>1316.0889893000001</v>
      </c>
      <c r="K550">
        <v>550</v>
      </c>
      <c r="L550">
        <v>0</v>
      </c>
      <c r="M550">
        <v>0</v>
      </c>
      <c r="N550">
        <v>550</v>
      </c>
    </row>
    <row r="551" spans="1:14" x14ac:dyDescent="0.25">
      <c r="A551">
        <v>468.18389500000001</v>
      </c>
      <c r="B551" s="1">
        <f>DATE(2011,8,12) + TIME(4,24,48)</f>
        <v>40767.183888888889</v>
      </c>
      <c r="C551">
        <v>80</v>
      </c>
      <c r="D551">
        <v>79.805671692000004</v>
      </c>
      <c r="E551">
        <v>50</v>
      </c>
      <c r="F551">
        <v>41.443477631</v>
      </c>
      <c r="G551">
        <v>1344.9466553</v>
      </c>
      <c r="H551">
        <v>1340.6182861</v>
      </c>
      <c r="I551">
        <v>1321.1848144999999</v>
      </c>
      <c r="J551">
        <v>1316.0362548999999</v>
      </c>
      <c r="K551">
        <v>550</v>
      </c>
      <c r="L551">
        <v>0</v>
      </c>
      <c r="M551">
        <v>0</v>
      </c>
      <c r="N551">
        <v>550</v>
      </c>
    </row>
    <row r="552" spans="1:14" x14ac:dyDescent="0.25">
      <c r="A552">
        <v>470.52382699999998</v>
      </c>
      <c r="B552" s="1">
        <f>DATE(2011,8,14) + TIME(12,34,18)</f>
        <v>40769.523819444446</v>
      </c>
      <c r="C552">
        <v>80</v>
      </c>
      <c r="D552">
        <v>79.805862426999994</v>
      </c>
      <c r="E552">
        <v>50</v>
      </c>
      <c r="F552">
        <v>41.382541656000001</v>
      </c>
      <c r="G552">
        <v>1344.9250488</v>
      </c>
      <c r="H552">
        <v>1340.6026611</v>
      </c>
      <c r="I552">
        <v>1321.1617432</v>
      </c>
      <c r="J552">
        <v>1315.9847411999999</v>
      </c>
      <c r="K552">
        <v>550</v>
      </c>
      <c r="L552">
        <v>0</v>
      </c>
      <c r="M552">
        <v>0</v>
      </c>
      <c r="N552">
        <v>550</v>
      </c>
    </row>
    <row r="553" spans="1:14" x14ac:dyDescent="0.25">
      <c r="A553">
        <v>472.89559000000003</v>
      </c>
      <c r="B553" s="1">
        <f>DATE(2011,8,16) + TIME(21,29,38)</f>
        <v>40771.895578703705</v>
      </c>
      <c r="C553">
        <v>80</v>
      </c>
      <c r="D553">
        <v>79.806053161999998</v>
      </c>
      <c r="E553">
        <v>50</v>
      </c>
      <c r="F553">
        <v>41.334510803000001</v>
      </c>
      <c r="G553">
        <v>1344.9035644999999</v>
      </c>
      <c r="H553">
        <v>1340.5870361</v>
      </c>
      <c r="I553">
        <v>1321.1396483999999</v>
      </c>
      <c r="J553">
        <v>1315.9345702999999</v>
      </c>
      <c r="K553">
        <v>550</v>
      </c>
      <c r="L553">
        <v>0</v>
      </c>
      <c r="M553">
        <v>0</v>
      </c>
      <c r="N553">
        <v>550</v>
      </c>
    </row>
    <row r="554" spans="1:14" x14ac:dyDescent="0.25">
      <c r="A554">
        <v>475.309665</v>
      </c>
      <c r="B554" s="1">
        <f>DATE(2011,8,19) + TIME(7,25,55)</f>
        <v>40774.309664351851</v>
      </c>
      <c r="C554">
        <v>80</v>
      </c>
      <c r="D554">
        <v>79.806251525999997</v>
      </c>
      <c r="E554">
        <v>50</v>
      </c>
      <c r="F554">
        <v>41.300659179999997</v>
      </c>
      <c r="G554">
        <v>1344.8819579999999</v>
      </c>
      <c r="H554">
        <v>1340.5712891000001</v>
      </c>
      <c r="I554">
        <v>1321.1184082</v>
      </c>
      <c r="J554">
        <v>1315.8859863</v>
      </c>
      <c r="K554">
        <v>550</v>
      </c>
      <c r="L554">
        <v>0</v>
      </c>
      <c r="M554">
        <v>0</v>
      </c>
      <c r="N554">
        <v>550</v>
      </c>
    </row>
    <row r="555" spans="1:14" x14ac:dyDescent="0.25">
      <c r="A555">
        <v>477.77337</v>
      </c>
      <c r="B555" s="1">
        <f>DATE(2011,8,21) + TIME(18,33,39)</f>
        <v>40776.773368055554</v>
      </c>
      <c r="C555">
        <v>80</v>
      </c>
      <c r="D555">
        <v>79.806457519999995</v>
      </c>
      <c r="E555">
        <v>50</v>
      </c>
      <c r="F555">
        <v>41.282417297000002</v>
      </c>
      <c r="G555">
        <v>1344.8603516000001</v>
      </c>
      <c r="H555">
        <v>1340.5554199000001</v>
      </c>
      <c r="I555">
        <v>1321.0981445</v>
      </c>
      <c r="J555">
        <v>1315.8389893000001</v>
      </c>
      <c r="K555">
        <v>550</v>
      </c>
      <c r="L555">
        <v>0</v>
      </c>
      <c r="M555">
        <v>0</v>
      </c>
      <c r="N555">
        <v>550</v>
      </c>
    </row>
    <row r="556" spans="1:14" x14ac:dyDescent="0.25">
      <c r="A556">
        <v>480.29464300000001</v>
      </c>
      <c r="B556" s="1">
        <f>DATE(2011,8,24) + TIME(7,4,17)</f>
        <v>40779.294641203705</v>
      </c>
      <c r="C556">
        <v>80</v>
      </c>
      <c r="D556">
        <v>79.806671143000003</v>
      </c>
      <c r="E556">
        <v>50</v>
      </c>
      <c r="F556">
        <v>41.281372070000003</v>
      </c>
      <c r="G556">
        <v>1344.838501</v>
      </c>
      <c r="H556">
        <v>1340.5394286999999</v>
      </c>
      <c r="I556">
        <v>1321.0789795000001</v>
      </c>
      <c r="J556">
        <v>1315.7937012</v>
      </c>
      <c r="K556">
        <v>550</v>
      </c>
      <c r="L556">
        <v>0</v>
      </c>
      <c r="M556">
        <v>0</v>
      </c>
      <c r="N556">
        <v>550</v>
      </c>
    </row>
    <row r="557" spans="1:14" x14ac:dyDescent="0.25">
      <c r="A557">
        <v>482.85690399999999</v>
      </c>
      <c r="B557" s="1">
        <f>DATE(2011,8,26) + TIME(20,33,56)</f>
        <v>40781.856898148151</v>
      </c>
      <c r="C557">
        <v>80</v>
      </c>
      <c r="D557">
        <v>79.806892395000006</v>
      </c>
      <c r="E557">
        <v>50</v>
      </c>
      <c r="F557">
        <v>41.299186706999997</v>
      </c>
      <c r="G557">
        <v>1344.8164062000001</v>
      </c>
      <c r="H557">
        <v>1340.5231934000001</v>
      </c>
      <c r="I557">
        <v>1321.0609131000001</v>
      </c>
      <c r="J557">
        <v>1315.7503661999999</v>
      </c>
      <c r="K557">
        <v>550</v>
      </c>
      <c r="L557">
        <v>0</v>
      </c>
      <c r="M557">
        <v>0</v>
      </c>
      <c r="N557">
        <v>550</v>
      </c>
    </row>
    <row r="558" spans="1:14" x14ac:dyDescent="0.25">
      <c r="A558">
        <v>485.45276799999999</v>
      </c>
      <c r="B558" s="1">
        <f>DATE(2011,8,29) + TIME(10,51,59)</f>
        <v>40784.452766203707</v>
      </c>
      <c r="C558">
        <v>80</v>
      </c>
      <c r="D558">
        <v>79.807121276999993</v>
      </c>
      <c r="E558">
        <v>50</v>
      </c>
      <c r="F558">
        <v>41.337223053000002</v>
      </c>
      <c r="G558">
        <v>1344.7941894999999</v>
      </c>
      <c r="H558">
        <v>1340.5068358999999</v>
      </c>
      <c r="I558">
        <v>1321.0440673999999</v>
      </c>
      <c r="J558">
        <v>1315.7095947</v>
      </c>
      <c r="K558">
        <v>550</v>
      </c>
      <c r="L558">
        <v>0</v>
      </c>
      <c r="M558">
        <v>0</v>
      </c>
      <c r="N558">
        <v>550</v>
      </c>
    </row>
    <row r="559" spans="1:14" x14ac:dyDescent="0.25">
      <c r="A559">
        <v>488</v>
      </c>
      <c r="B559" s="1">
        <f>DATE(2011,9,1) + TIME(0,0,0)</f>
        <v>40787</v>
      </c>
      <c r="C559">
        <v>80</v>
      </c>
      <c r="D559">
        <v>79.807342528999996</v>
      </c>
      <c r="E559">
        <v>50</v>
      </c>
      <c r="F559">
        <v>41.395568848000003</v>
      </c>
      <c r="G559">
        <v>1344.7719727000001</v>
      </c>
      <c r="H559">
        <v>1340.4903564000001</v>
      </c>
      <c r="I559">
        <v>1321.0288086</v>
      </c>
      <c r="J559">
        <v>1315.6717529</v>
      </c>
      <c r="K559">
        <v>550</v>
      </c>
      <c r="L559">
        <v>0</v>
      </c>
      <c r="M559">
        <v>0</v>
      </c>
      <c r="N559">
        <v>550</v>
      </c>
    </row>
    <row r="560" spans="1:14" x14ac:dyDescent="0.25">
      <c r="A560">
        <v>490.63744100000002</v>
      </c>
      <c r="B560" s="1">
        <f>DATE(2011,9,3) + TIME(15,17,54)</f>
        <v>40789.637430555558</v>
      </c>
      <c r="C560">
        <v>80</v>
      </c>
      <c r="D560">
        <v>79.807579040999997</v>
      </c>
      <c r="E560">
        <v>50</v>
      </c>
      <c r="F560">
        <v>41.475852965999998</v>
      </c>
      <c r="G560">
        <v>1344.7504882999999</v>
      </c>
      <c r="H560">
        <v>1340.4743652</v>
      </c>
      <c r="I560">
        <v>1321.0148925999999</v>
      </c>
      <c r="J560">
        <v>1315.6373291</v>
      </c>
      <c r="K560">
        <v>550</v>
      </c>
      <c r="L560">
        <v>0</v>
      </c>
      <c r="M560">
        <v>0</v>
      </c>
      <c r="N560">
        <v>550</v>
      </c>
    </row>
    <row r="561" spans="1:14" x14ac:dyDescent="0.25">
      <c r="A561">
        <v>493.38174900000001</v>
      </c>
      <c r="B561" s="1">
        <f>DATE(2011,9,6) + TIME(9,9,43)</f>
        <v>40792.381747685184</v>
      </c>
      <c r="C561">
        <v>80</v>
      </c>
      <c r="D561">
        <v>79.807830811000002</v>
      </c>
      <c r="E561">
        <v>50</v>
      </c>
      <c r="F561">
        <v>41.580493926999999</v>
      </c>
      <c r="G561">
        <v>1344.7285156</v>
      </c>
      <c r="H561">
        <v>1340.4580077999999</v>
      </c>
      <c r="I561">
        <v>1321.0021973</v>
      </c>
      <c r="J561">
        <v>1315.6053466999999</v>
      </c>
      <c r="K561">
        <v>550</v>
      </c>
      <c r="L561">
        <v>0</v>
      </c>
      <c r="M561">
        <v>0</v>
      </c>
      <c r="N561">
        <v>550</v>
      </c>
    </row>
    <row r="562" spans="1:14" x14ac:dyDescent="0.25">
      <c r="A562">
        <v>496.19303600000001</v>
      </c>
      <c r="B562" s="1">
        <f>DATE(2011,9,9) + TIME(4,37,58)</f>
        <v>40795.193032407406</v>
      </c>
      <c r="C562">
        <v>80</v>
      </c>
      <c r="D562">
        <v>79.808097838999998</v>
      </c>
      <c r="E562">
        <v>50</v>
      </c>
      <c r="F562">
        <v>41.710792542</v>
      </c>
      <c r="G562">
        <v>1344.7059326000001</v>
      </c>
      <c r="H562">
        <v>1340.4410399999999</v>
      </c>
      <c r="I562">
        <v>1320.9909668</v>
      </c>
      <c r="J562">
        <v>1315.5762939000001</v>
      </c>
      <c r="K562">
        <v>550</v>
      </c>
      <c r="L562">
        <v>0</v>
      </c>
      <c r="M562">
        <v>0</v>
      </c>
      <c r="N562">
        <v>550</v>
      </c>
    </row>
    <row r="563" spans="1:14" x14ac:dyDescent="0.25">
      <c r="A563">
        <v>499.06013300000001</v>
      </c>
      <c r="B563" s="1">
        <f>DATE(2011,9,12) + TIME(1,26,35)</f>
        <v>40798.060127314813</v>
      </c>
      <c r="C563">
        <v>80</v>
      </c>
      <c r="D563">
        <v>79.808364867999998</v>
      </c>
      <c r="E563">
        <v>50</v>
      </c>
      <c r="F563">
        <v>41.867420197000001</v>
      </c>
      <c r="G563">
        <v>1344.6829834</v>
      </c>
      <c r="H563">
        <v>1340.4239502</v>
      </c>
      <c r="I563">
        <v>1320.9812012</v>
      </c>
      <c r="J563">
        <v>1315.5506591999999</v>
      </c>
      <c r="K563">
        <v>550</v>
      </c>
      <c r="L563">
        <v>0</v>
      </c>
      <c r="M563">
        <v>0</v>
      </c>
      <c r="N563">
        <v>550</v>
      </c>
    </row>
    <row r="564" spans="1:14" x14ac:dyDescent="0.25">
      <c r="A564">
        <v>501.94687199999998</v>
      </c>
      <c r="B564" s="1">
        <f>DATE(2011,9,14) + TIME(22,43,29)</f>
        <v>40800.946863425925</v>
      </c>
      <c r="C564">
        <v>80</v>
      </c>
      <c r="D564">
        <v>79.808631896999998</v>
      </c>
      <c r="E564">
        <v>50</v>
      </c>
      <c r="F564">
        <v>42.049541472999998</v>
      </c>
      <c r="G564">
        <v>1344.6600341999999</v>
      </c>
      <c r="H564">
        <v>1340.4067382999999</v>
      </c>
      <c r="I564">
        <v>1320.9732666</v>
      </c>
      <c r="J564">
        <v>1315.5286865</v>
      </c>
      <c r="K564">
        <v>550</v>
      </c>
      <c r="L564">
        <v>0</v>
      </c>
      <c r="M564">
        <v>0</v>
      </c>
      <c r="N564">
        <v>550</v>
      </c>
    </row>
    <row r="565" spans="1:14" x14ac:dyDescent="0.25">
      <c r="A565">
        <v>504.869891</v>
      </c>
      <c r="B565" s="1">
        <f>DATE(2011,9,17) + TIME(20,52,38)</f>
        <v>40803.869884259257</v>
      </c>
      <c r="C565">
        <v>80</v>
      </c>
      <c r="D565">
        <v>79.808906554999993</v>
      </c>
      <c r="E565">
        <v>50</v>
      </c>
      <c r="F565">
        <v>42.256755828999999</v>
      </c>
      <c r="G565">
        <v>1344.6373291</v>
      </c>
      <c r="H565">
        <v>1340.3895264</v>
      </c>
      <c r="I565">
        <v>1320.9670410000001</v>
      </c>
      <c r="J565">
        <v>1315.5107422000001</v>
      </c>
      <c r="K565">
        <v>550</v>
      </c>
      <c r="L565">
        <v>0</v>
      </c>
      <c r="M565">
        <v>0</v>
      </c>
      <c r="N565">
        <v>550</v>
      </c>
    </row>
    <row r="566" spans="1:14" x14ac:dyDescent="0.25">
      <c r="A566">
        <v>507.84166199999999</v>
      </c>
      <c r="B566" s="1">
        <f>DATE(2011,9,20) + TIME(20,11,59)</f>
        <v>40806.84165509259</v>
      </c>
      <c r="C566">
        <v>80</v>
      </c>
      <c r="D566">
        <v>79.809188843000001</v>
      </c>
      <c r="E566">
        <v>50</v>
      </c>
      <c r="F566">
        <v>42.488872528000002</v>
      </c>
      <c r="G566">
        <v>1344.6145019999999</v>
      </c>
      <c r="H566">
        <v>1340.3724365</v>
      </c>
      <c r="I566">
        <v>1320.9624022999999</v>
      </c>
      <c r="J566">
        <v>1315.4968262</v>
      </c>
      <c r="K566">
        <v>550</v>
      </c>
      <c r="L566">
        <v>0</v>
      </c>
      <c r="M566">
        <v>0</v>
      </c>
      <c r="N566">
        <v>550</v>
      </c>
    </row>
    <row r="567" spans="1:14" x14ac:dyDescent="0.25">
      <c r="A567">
        <v>510.87101000000001</v>
      </c>
      <c r="B567" s="1">
        <f>DATE(2011,9,23) + TIME(20,54,15)</f>
        <v>40809.871006944442</v>
      </c>
      <c r="C567">
        <v>80</v>
      </c>
      <c r="D567">
        <v>79.809478760000005</v>
      </c>
      <c r="E567">
        <v>50</v>
      </c>
      <c r="F567">
        <v>42.745643616000002</v>
      </c>
      <c r="G567">
        <v>1344.5917969</v>
      </c>
      <c r="H567">
        <v>1340.3552245999999</v>
      </c>
      <c r="I567">
        <v>1320.9595947</v>
      </c>
      <c r="J567">
        <v>1315.4869385</v>
      </c>
      <c r="K567">
        <v>550</v>
      </c>
      <c r="L567">
        <v>0</v>
      </c>
      <c r="M567">
        <v>0</v>
      </c>
      <c r="N567">
        <v>550</v>
      </c>
    </row>
    <row r="568" spans="1:14" x14ac:dyDescent="0.25">
      <c r="A568">
        <v>513.95043999999996</v>
      </c>
      <c r="B568" s="1">
        <f>DATE(2011,9,26) + TIME(22,48,38)</f>
        <v>40812.950439814813</v>
      </c>
      <c r="C568">
        <v>80</v>
      </c>
      <c r="D568">
        <v>79.809776306000003</v>
      </c>
      <c r="E568">
        <v>50</v>
      </c>
      <c r="F568">
        <v>43.025985718000001</v>
      </c>
      <c r="G568">
        <v>1344.5689697</v>
      </c>
      <c r="H568">
        <v>1340.3378906</v>
      </c>
      <c r="I568">
        <v>1320.9584961</v>
      </c>
      <c r="J568">
        <v>1315.4812012</v>
      </c>
      <c r="K568">
        <v>550</v>
      </c>
      <c r="L568">
        <v>0</v>
      </c>
      <c r="M568">
        <v>0</v>
      </c>
      <c r="N568">
        <v>550</v>
      </c>
    </row>
    <row r="569" spans="1:14" x14ac:dyDescent="0.25">
      <c r="A569">
        <v>517.08207900000002</v>
      </c>
      <c r="B569" s="1">
        <f>DATE(2011,9,30) + TIME(1,58,11)</f>
        <v>40816.082071759258</v>
      </c>
      <c r="C569">
        <v>80</v>
      </c>
      <c r="D569">
        <v>79.810073853000006</v>
      </c>
      <c r="E569">
        <v>50</v>
      </c>
      <c r="F569">
        <v>43.328521729000002</v>
      </c>
      <c r="G569">
        <v>1344.5460204999999</v>
      </c>
      <c r="H569">
        <v>1340.3206786999999</v>
      </c>
      <c r="I569">
        <v>1320.9593506000001</v>
      </c>
      <c r="J569">
        <v>1315.4794922000001</v>
      </c>
      <c r="K569">
        <v>550</v>
      </c>
      <c r="L569">
        <v>0</v>
      </c>
      <c r="M569">
        <v>0</v>
      </c>
      <c r="N569">
        <v>550</v>
      </c>
    </row>
    <row r="570" spans="1:14" x14ac:dyDescent="0.25">
      <c r="A570">
        <v>518</v>
      </c>
      <c r="B570" s="1">
        <f>DATE(2011,10,1) + TIME(0,0,0)</f>
        <v>40817</v>
      </c>
      <c r="C570">
        <v>80</v>
      </c>
      <c r="D570">
        <v>79.810112000000004</v>
      </c>
      <c r="E570">
        <v>50</v>
      </c>
      <c r="F570">
        <v>43.472404480000002</v>
      </c>
      <c r="G570">
        <v>1344.5233154</v>
      </c>
      <c r="H570">
        <v>1340.3035889</v>
      </c>
      <c r="I570">
        <v>1320.9736327999999</v>
      </c>
      <c r="J570">
        <v>1315.4848632999999</v>
      </c>
      <c r="K570">
        <v>550</v>
      </c>
      <c r="L570">
        <v>0</v>
      </c>
      <c r="M570">
        <v>0</v>
      </c>
      <c r="N570">
        <v>550</v>
      </c>
    </row>
    <row r="571" spans="1:14" x14ac:dyDescent="0.25">
      <c r="A571">
        <v>521.19523700000002</v>
      </c>
      <c r="B571" s="1">
        <f>DATE(2011,10,4) + TIME(4,41,8)</f>
        <v>40820.195231481484</v>
      </c>
      <c r="C571">
        <v>80</v>
      </c>
      <c r="D571">
        <v>79.810455321999996</v>
      </c>
      <c r="E571">
        <v>50</v>
      </c>
      <c r="F571">
        <v>43.775344849</v>
      </c>
      <c r="G571">
        <v>1344.5166016000001</v>
      </c>
      <c r="H571">
        <v>1340.2983397999999</v>
      </c>
      <c r="I571">
        <v>1320.9621582</v>
      </c>
      <c r="J571">
        <v>1315.484375</v>
      </c>
      <c r="K571">
        <v>550</v>
      </c>
      <c r="L571">
        <v>0</v>
      </c>
      <c r="M571">
        <v>0</v>
      </c>
      <c r="N571">
        <v>550</v>
      </c>
    </row>
    <row r="572" spans="1:14" x14ac:dyDescent="0.25">
      <c r="A572">
        <v>524.49029299999995</v>
      </c>
      <c r="B572" s="1">
        <f>DATE(2011,10,7) + TIME(11,46,1)</f>
        <v>40823.490289351852</v>
      </c>
      <c r="C572">
        <v>80</v>
      </c>
      <c r="D572">
        <v>79.810791015999996</v>
      </c>
      <c r="E572">
        <v>50</v>
      </c>
      <c r="F572">
        <v>44.111026764000002</v>
      </c>
      <c r="G572">
        <v>1344.4938964999999</v>
      </c>
      <c r="H572">
        <v>1340.2811279</v>
      </c>
      <c r="I572">
        <v>1320.9675293</v>
      </c>
      <c r="J572">
        <v>1315.4915771000001</v>
      </c>
      <c r="K572">
        <v>550</v>
      </c>
      <c r="L572">
        <v>0</v>
      </c>
      <c r="M572">
        <v>0</v>
      </c>
      <c r="N572">
        <v>550</v>
      </c>
    </row>
    <row r="573" spans="1:14" x14ac:dyDescent="0.25">
      <c r="A573">
        <v>527.86804600000005</v>
      </c>
      <c r="B573" s="1">
        <f>DATE(2011,10,10) + TIME(20,49,59)</f>
        <v>40826.868043981478</v>
      </c>
      <c r="C573">
        <v>80</v>
      </c>
      <c r="D573">
        <v>79.811126709000007</v>
      </c>
      <c r="E573">
        <v>50</v>
      </c>
      <c r="F573">
        <v>44.472023010000001</v>
      </c>
      <c r="G573">
        <v>1344.4709473</v>
      </c>
      <c r="H573">
        <v>1340.2636719</v>
      </c>
      <c r="I573">
        <v>1320.9748535000001</v>
      </c>
      <c r="J573">
        <v>1315.5030518000001</v>
      </c>
      <c r="K573">
        <v>550</v>
      </c>
      <c r="L573">
        <v>0</v>
      </c>
      <c r="M573">
        <v>0</v>
      </c>
      <c r="N573">
        <v>550</v>
      </c>
    </row>
    <row r="574" spans="1:14" x14ac:dyDescent="0.25">
      <c r="A574">
        <v>531.26619600000004</v>
      </c>
      <c r="B574" s="1">
        <f>DATE(2011,10,14) + TIME(6,23,19)</f>
        <v>40830.266192129631</v>
      </c>
      <c r="C574">
        <v>80</v>
      </c>
      <c r="D574">
        <v>79.811462402000004</v>
      </c>
      <c r="E574">
        <v>50</v>
      </c>
      <c r="F574">
        <v>44.849830627000003</v>
      </c>
      <c r="G574">
        <v>1344.4477539</v>
      </c>
      <c r="H574">
        <v>1340.2462158000001</v>
      </c>
      <c r="I574">
        <v>1320.9841309000001</v>
      </c>
      <c r="J574">
        <v>1315.5185547000001</v>
      </c>
      <c r="K574">
        <v>550</v>
      </c>
      <c r="L574">
        <v>0</v>
      </c>
      <c r="M574">
        <v>0</v>
      </c>
      <c r="N574">
        <v>550</v>
      </c>
    </row>
    <row r="575" spans="1:14" x14ac:dyDescent="0.25">
      <c r="A575">
        <v>534.67357200000004</v>
      </c>
      <c r="B575" s="1">
        <f>DATE(2011,10,17) + TIME(16,9,56)</f>
        <v>40833.673564814817</v>
      </c>
      <c r="C575">
        <v>80</v>
      </c>
      <c r="D575">
        <v>79.811790466000005</v>
      </c>
      <c r="E575">
        <v>50</v>
      </c>
      <c r="F575">
        <v>45.237823486000003</v>
      </c>
      <c r="G575">
        <v>1344.4250488</v>
      </c>
      <c r="H575">
        <v>1340.2290039</v>
      </c>
      <c r="I575">
        <v>1320.9951172000001</v>
      </c>
      <c r="J575">
        <v>1315.5378418</v>
      </c>
      <c r="K575">
        <v>550</v>
      </c>
      <c r="L575">
        <v>0</v>
      </c>
      <c r="M575">
        <v>0</v>
      </c>
      <c r="N575">
        <v>550</v>
      </c>
    </row>
    <row r="576" spans="1:14" x14ac:dyDescent="0.25">
      <c r="A576">
        <v>538.09884799999998</v>
      </c>
      <c r="B576" s="1">
        <f>DATE(2011,10,21) + TIME(2,22,20)</f>
        <v>40837.09884259259</v>
      </c>
      <c r="C576">
        <v>80</v>
      </c>
      <c r="D576">
        <v>79.812126160000005</v>
      </c>
      <c r="E576">
        <v>50</v>
      </c>
      <c r="F576">
        <v>45.631877899000003</v>
      </c>
      <c r="G576">
        <v>1344.4025879000001</v>
      </c>
      <c r="H576">
        <v>1340.2121582</v>
      </c>
      <c r="I576">
        <v>1321.0075684000001</v>
      </c>
      <c r="J576">
        <v>1315.5604248</v>
      </c>
      <c r="K576">
        <v>550</v>
      </c>
      <c r="L576">
        <v>0</v>
      </c>
      <c r="M576">
        <v>0</v>
      </c>
      <c r="N576">
        <v>550</v>
      </c>
    </row>
    <row r="577" spans="1:14" x14ac:dyDescent="0.25">
      <c r="A577">
        <v>541.55367000000001</v>
      </c>
      <c r="B577" s="1">
        <f>DATE(2011,10,24) + TIME(13,17,17)</f>
        <v>40840.553668981483</v>
      </c>
      <c r="C577">
        <v>80</v>
      </c>
      <c r="D577">
        <v>79.812461853000002</v>
      </c>
      <c r="E577">
        <v>50</v>
      </c>
      <c r="F577">
        <v>46.029495238999999</v>
      </c>
      <c r="G577">
        <v>1344.3806152</v>
      </c>
      <c r="H577">
        <v>1340.1956786999999</v>
      </c>
      <c r="I577">
        <v>1321.0216064000001</v>
      </c>
      <c r="J577">
        <v>1315.5859375</v>
      </c>
      <c r="K577">
        <v>550</v>
      </c>
      <c r="L577">
        <v>0</v>
      </c>
      <c r="M577">
        <v>0</v>
      </c>
      <c r="N577">
        <v>550</v>
      </c>
    </row>
    <row r="578" spans="1:14" x14ac:dyDescent="0.25">
      <c r="A578">
        <v>545.05690200000004</v>
      </c>
      <c r="B578" s="1">
        <f>DATE(2011,10,28) + TIME(1,21,56)</f>
        <v>40844.056898148148</v>
      </c>
      <c r="C578">
        <v>80</v>
      </c>
      <c r="D578">
        <v>79.812805175999998</v>
      </c>
      <c r="E578">
        <v>50</v>
      </c>
      <c r="F578">
        <v>46.429492949999997</v>
      </c>
      <c r="G578">
        <v>1344.3590088000001</v>
      </c>
      <c r="H578">
        <v>1340.1793213000001</v>
      </c>
      <c r="I578">
        <v>1321.0372314000001</v>
      </c>
      <c r="J578">
        <v>1315.6142577999999</v>
      </c>
      <c r="K578">
        <v>550</v>
      </c>
      <c r="L578">
        <v>0</v>
      </c>
      <c r="M578">
        <v>0</v>
      </c>
      <c r="N578">
        <v>550</v>
      </c>
    </row>
    <row r="579" spans="1:14" x14ac:dyDescent="0.25">
      <c r="A579">
        <v>548.63062300000001</v>
      </c>
      <c r="B579" s="1">
        <f>DATE(2011,10,31) + TIME(15,8,5)</f>
        <v>40847.630613425928</v>
      </c>
      <c r="C579">
        <v>80</v>
      </c>
      <c r="D579">
        <v>79.813148498999993</v>
      </c>
      <c r="E579">
        <v>50</v>
      </c>
      <c r="F579">
        <v>46.831592559999997</v>
      </c>
      <c r="G579">
        <v>1344.3375243999999</v>
      </c>
      <c r="H579">
        <v>1340.1632079999999</v>
      </c>
      <c r="I579">
        <v>1321.0541992000001</v>
      </c>
      <c r="J579">
        <v>1315.6451416</v>
      </c>
      <c r="K579">
        <v>550</v>
      </c>
      <c r="L579">
        <v>0</v>
      </c>
      <c r="M579">
        <v>0</v>
      </c>
      <c r="N579">
        <v>550</v>
      </c>
    </row>
    <row r="580" spans="1:14" x14ac:dyDescent="0.25">
      <c r="A580">
        <v>549</v>
      </c>
      <c r="B580" s="1">
        <f>DATE(2011,11,1) + TIME(0,0,0)</f>
        <v>40848</v>
      </c>
      <c r="C580">
        <v>80</v>
      </c>
      <c r="D580">
        <v>79.813156128000003</v>
      </c>
      <c r="E580">
        <v>50</v>
      </c>
      <c r="F580">
        <v>46.911170959000003</v>
      </c>
      <c r="G580">
        <v>1344.3165283000001</v>
      </c>
      <c r="H580">
        <v>1340.1478271000001</v>
      </c>
      <c r="I580">
        <v>1321.0870361</v>
      </c>
      <c r="J580">
        <v>1315.6734618999999</v>
      </c>
      <c r="K580">
        <v>550</v>
      </c>
      <c r="L580">
        <v>0</v>
      </c>
      <c r="M580">
        <v>0</v>
      </c>
      <c r="N580">
        <v>550</v>
      </c>
    </row>
    <row r="581" spans="1:14" x14ac:dyDescent="0.25">
      <c r="A581">
        <v>549.000001</v>
      </c>
      <c r="B581" s="1">
        <f>DATE(2011,11,1) + TIME(0,0,0)</f>
        <v>40848</v>
      </c>
      <c r="C581">
        <v>80</v>
      </c>
      <c r="D581">
        <v>79.81312561</v>
      </c>
      <c r="E581">
        <v>50</v>
      </c>
      <c r="F581">
        <v>46.911201476999999</v>
      </c>
      <c r="G581">
        <v>1339.9481201000001</v>
      </c>
      <c r="H581">
        <v>1338.3084716999999</v>
      </c>
      <c r="I581">
        <v>1326.8444824000001</v>
      </c>
      <c r="J581">
        <v>1321.324707</v>
      </c>
      <c r="K581">
        <v>0</v>
      </c>
      <c r="L581">
        <v>550</v>
      </c>
      <c r="M581">
        <v>550</v>
      </c>
      <c r="N581">
        <v>0</v>
      </c>
    </row>
    <row r="582" spans="1:14" x14ac:dyDescent="0.25">
      <c r="A582">
        <v>549.00000399999999</v>
      </c>
      <c r="B582" s="1">
        <f>DATE(2011,11,1) + TIME(0,0,0)</f>
        <v>40848</v>
      </c>
      <c r="C582">
        <v>80</v>
      </c>
      <c r="D582">
        <v>79.813056946000003</v>
      </c>
      <c r="E582">
        <v>50</v>
      </c>
      <c r="F582">
        <v>46.911285399999997</v>
      </c>
      <c r="G582">
        <v>1339.4434814000001</v>
      </c>
      <c r="H582">
        <v>1337.8034668</v>
      </c>
      <c r="I582">
        <v>1327.4047852000001</v>
      </c>
      <c r="J582">
        <v>1321.9605713000001</v>
      </c>
      <c r="K582">
        <v>0</v>
      </c>
      <c r="L582">
        <v>550</v>
      </c>
      <c r="M582">
        <v>550</v>
      </c>
      <c r="N582">
        <v>0</v>
      </c>
    </row>
    <row r="583" spans="1:14" x14ac:dyDescent="0.25">
      <c r="A583">
        <v>549.00001299999997</v>
      </c>
      <c r="B583" s="1">
        <f>DATE(2011,11,1) + TIME(0,0,1)</f>
        <v>40848.000011574077</v>
      </c>
      <c r="C583">
        <v>80</v>
      </c>
      <c r="D583">
        <v>79.812911987000007</v>
      </c>
      <c r="E583">
        <v>50</v>
      </c>
      <c r="F583">
        <v>46.911476135000001</v>
      </c>
      <c r="G583">
        <v>1338.4235839999999</v>
      </c>
      <c r="H583">
        <v>1336.7816161999999</v>
      </c>
      <c r="I583">
        <v>1328.71875</v>
      </c>
      <c r="J583">
        <v>1323.3995361</v>
      </c>
      <c r="K583">
        <v>0</v>
      </c>
      <c r="L583">
        <v>550</v>
      </c>
      <c r="M583">
        <v>550</v>
      </c>
      <c r="N583">
        <v>0</v>
      </c>
    </row>
    <row r="584" spans="1:14" x14ac:dyDescent="0.25">
      <c r="A584">
        <v>549.00004000000001</v>
      </c>
      <c r="B584" s="1">
        <f>DATE(2011,11,1) + TIME(0,0,3)</f>
        <v>40848.000034722223</v>
      </c>
      <c r="C584">
        <v>80</v>
      </c>
      <c r="D584">
        <v>79.812698363999999</v>
      </c>
      <c r="E584">
        <v>50</v>
      </c>
      <c r="F584">
        <v>46.911800384999999</v>
      </c>
      <c r="G584">
        <v>1336.9276123</v>
      </c>
      <c r="H584">
        <v>1335.2755127</v>
      </c>
      <c r="I584">
        <v>1331.0465088000001</v>
      </c>
      <c r="J584">
        <v>1325.796875</v>
      </c>
      <c r="K584">
        <v>0</v>
      </c>
      <c r="L584">
        <v>550</v>
      </c>
      <c r="M584">
        <v>550</v>
      </c>
      <c r="N584">
        <v>0</v>
      </c>
    </row>
    <row r="585" spans="1:14" x14ac:dyDescent="0.25">
      <c r="A585">
        <v>549.00012100000004</v>
      </c>
      <c r="B585" s="1">
        <f>DATE(2011,11,1) + TIME(0,0,10)</f>
        <v>40848.000115740739</v>
      </c>
      <c r="C585">
        <v>80</v>
      </c>
      <c r="D585">
        <v>79.812446593999994</v>
      </c>
      <c r="E585">
        <v>50</v>
      </c>
      <c r="F585">
        <v>46.912246703999998</v>
      </c>
      <c r="G585">
        <v>1335.2395019999999</v>
      </c>
      <c r="H585">
        <v>1333.5616454999999</v>
      </c>
      <c r="I585">
        <v>1334.078125</v>
      </c>
      <c r="J585">
        <v>1328.8160399999999</v>
      </c>
      <c r="K585">
        <v>0</v>
      </c>
      <c r="L585">
        <v>550</v>
      </c>
      <c r="M585">
        <v>550</v>
      </c>
      <c r="N585">
        <v>0</v>
      </c>
    </row>
    <row r="586" spans="1:14" x14ac:dyDescent="0.25">
      <c r="A586">
        <v>549.00036399999999</v>
      </c>
      <c r="B586" s="1">
        <f>DATE(2011,11,1) + TIME(0,0,31)</f>
        <v>40848.000358796293</v>
      </c>
      <c r="C586">
        <v>80</v>
      </c>
      <c r="D586">
        <v>79.812156677000004</v>
      </c>
      <c r="E586">
        <v>50</v>
      </c>
      <c r="F586">
        <v>46.912872313999998</v>
      </c>
      <c r="G586">
        <v>1333.4782714999999</v>
      </c>
      <c r="H586">
        <v>1331.7294922000001</v>
      </c>
      <c r="I586">
        <v>1337.3277588000001</v>
      </c>
      <c r="J586">
        <v>1332.0361327999999</v>
      </c>
      <c r="K586">
        <v>0</v>
      </c>
      <c r="L586">
        <v>550</v>
      </c>
      <c r="M586">
        <v>550</v>
      </c>
      <c r="N586">
        <v>0</v>
      </c>
    </row>
    <row r="587" spans="1:14" x14ac:dyDescent="0.25">
      <c r="A587">
        <v>549.00109299999997</v>
      </c>
      <c r="B587" s="1">
        <f>DATE(2011,11,1) + TIME(0,1,34)</f>
        <v>40848.001087962963</v>
      </c>
      <c r="C587">
        <v>80</v>
      </c>
      <c r="D587">
        <v>79.811775208</v>
      </c>
      <c r="E587">
        <v>50</v>
      </c>
      <c r="F587">
        <v>46.913944244</v>
      </c>
      <c r="G587">
        <v>1331.6429443</v>
      </c>
      <c r="H587">
        <v>1329.7551269999999</v>
      </c>
      <c r="I587">
        <v>1340.5539550999999</v>
      </c>
      <c r="J587">
        <v>1335.2304687999999</v>
      </c>
      <c r="K587">
        <v>0</v>
      </c>
      <c r="L587">
        <v>550</v>
      </c>
      <c r="M587">
        <v>550</v>
      </c>
      <c r="N587">
        <v>0</v>
      </c>
    </row>
    <row r="588" spans="1:14" x14ac:dyDescent="0.25">
      <c r="A588">
        <v>549.00328000000002</v>
      </c>
      <c r="B588" s="1">
        <f>DATE(2011,11,1) + TIME(0,4,43)</f>
        <v>40848.003275462965</v>
      </c>
      <c r="C588">
        <v>80</v>
      </c>
      <c r="D588">
        <v>79.811134338000002</v>
      </c>
      <c r="E588">
        <v>50</v>
      </c>
      <c r="F588">
        <v>46.916332245</v>
      </c>
      <c r="G588">
        <v>1329.9041748</v>
      </c>
      <c r="H588">
        <v>1327.8695068</v>
      </c>
      <c r="I588">
        <v>1343.3342285000001</v>
      </c>
      <c r="J588">
        <v>1337.9616699000001</v>
      </c>
      <c r="K588">
        <v>0</v>
      </c>
      <c r="L588">
        <v>550</v>
      </c>
      <c r="M588">
        <v>550</v>
      </c>
      <c r="N588">
        <v>0</v>
      </c>
    </row>
    <row r="589" spans="1:14" x14ac:dyDescent="0.25">
      <c r="A589">
        <v>549.00984100000005</v>
      </c>
      <c r="B589" s="1">
        <f>DATE(2011,11,1) + TIME(0,14,10)</f>
        <v>40848.009837962964</v>
      </c>
      <c r="C589">
        <v>80</v>
      </c>
      <c r="D589">
        <v>79.809738159000005</v>
      </c>
      <c r="E589">
        <v>50</v>
      </c>
      <c r="F589">
        <v>46.922744751000003</v>
      </c>
      <c r="G589">
        <v>1328.5703125</v>
      </c>
      <c r="H589">
        <v>1326.4632568</v>
      </c>
      <c r="I589">
        <v>1345.1593018000001</v>
      </c>
      <c r="J589">
        <v>1339.7369385</v>
      </c>
      <c r="K589">
        <v>0</v>
      </c>
      <c r="L589">
        <v>550</v>
      </c>
      <c r="M589">
        <v>550</v>
      </c>
      <c r="N589">
        <v>0</v>
      </c>
    </row>
    <row r="590" spans="1:14" x14ac:dyDescent="0.25">
      <c r="A590">
        <v>549.02952400000004</v>
      </c>
      <c r="B590" s="1">
        <f>DATE(2011,11,1) + TIME(0,42,30)</f>
        <v>40848.029513888891</v>
      </c>
      <c r="C590">
        <v>80</v>
      </c>
      <c r="D590">
        <v>79.806015015</v>
      </c>
      <c r="E590">
        <v>50</v>
      </c>
      <c r="F590">
        <v>46.941417694000002</v>
      </c>
      <c r="G590">
        <v>1327.7800293</v>
      </c>
      <c r="H590">
        <v>1325.6555175999999</v>
      </c>
      <c r="I590">
        <v>1346.0125731999999</v>
      </c>
      <c r="J590">
        <v>1340.5598144999999</v>
      </c>
      <c r="K590">
        <v>0</v>
      </c>
      <c r="L590">
        <v>550</v>
      </c>
      <c r="M590">
        <v>550</v>
      </c>
      <c r="N590">
        <v>0</v>
      </c>
    </row>
    <row r="591" spans="1:14" x14ac:dyDescent="0.25">
      <c r="A591">
        <v>549.088573</v>
      </c>
      <c r="B591" s="1">
        <f>DATE(2011,11,1) + TIME(2,7,32)</f>
        <v>40848.088564814818</v>
      </c>
      <c r="C591">
        <v>80</v>
      </c>
      <c r="D591">
        <v>79.795242310000006</v>
      </c>
      <c r="E591">
        <v>50</v>
      </c>
      <c r="F591">
        <v>46.996177672999998</v>
      </c>
      <c r="G591">
        <v>1327.4217529</v>
      </c>
      <c r="H591">
        <v>1325.2950439000001</v>
      </c>
      <c r="I591">
        <v>1346.2449951000001</v>
      </c>
      <c r="J591">
        <v>1340.7897949000001</v>
      </c>
      <c r="K591">
        <v>0</v>
      </c>
      <c r="L591">
        <v>550</v>
      </c>
      <c r="M591">
        <v>550</v>
      </c>
      <c r="N591">
        <v>0</v>
      </c>
    </row>
    <row r="592" spans="1:14" x14ac:dyDescent="0.25">
      <c r="A592">
        <v>549.26571999999999</v>
      </c>
      <c r="B592" s="1">
        <f>DATE(2011,11,1) + TIME(6,22,38)</f>
        <v>40848.265717592592</v>
      </c>
      <c r="C592">
        <v>80</v>
      </c>
      <c r="D592">
        <v>79.763954162999994</v>
      </c>
      <c r="E592">
        <v>50</v>
      </c>
      <c r="F592">
        <v>47.150966644</v>
      </c>
      <c r="G592">
        <v>1327.3121338000001</v>
      </c>
      <c r="H592">
        <v>1325.1848144999999</v>
      </c>
      <c r="I592">
        <v>1346.1956786999999</v>
      </c>
      <c r="J592">
        <v>1340.7685547000001</v>
      </c>
      <c r="K592">
        <v>0</v>
      </c>
      <c r="L592">
        <v>550</v>
      </c>
      <c r="M592">
        <v>550</v>
      </c>
      <c r="N592">
        <v>0</v>
      </c>
    </row>
    <row r="593" spans="1:14" x14ac:dyDescent="0.25">
      <c r="A593">
        <v>549.46520499999997</v>
      </c>
      <c r="B593" s="1">
        <f>DATE(2011,11,1) + TIME(11,9,53)</f>
        <v>40848.465196759258</v>
      </c>
      <c r="C593">
        <v>80</v>
      </c>
      <c r="D593">
        <v>79.729278563999998</v>
      </c>
      <c r="E593">
        <v>50</v>
      </c>
      <c r="F593">
        <v>47.314289092999999</v>
      </c>
      <c r="G593">
        <v>1327.2919922000001</v>
      </c>
      <c r="H593">
        <v>1325.1633300999999</v>
      </c>
      <c r="I593">
        <v>1346.1340332</v>
      </c>
      <c r="J593">
        <v>1340.7325439000001</v>
      </c>
      <c r="K593">
        <v>0</v>
      </c>
      <c r="L593">
        <v>550</v>
      </c>
      <c r="M593">
        <v>550</v>
      </c>
      <c r="N593">
        <v>0</v>
      </c>
    </row>
    <row r="594" spans="1:14" x14ac:dyDescent="0.25">
      <c r="A594">
        <v>549.67182400000002</v>
      </c>
      <c r="B594" s="1">
        <f>DATE(2011,11,1) + TIME(16,7,25)</f>
        <v>40848.671817129631</v>
      </c>
      <c r="C594">
        <v>80</v>
      </c>
      <c r="D594">
        <v>79.693847656000003</v>
      </c>
      <c r="E594">
        <v>50</v>
      </c>
      <c r="F594">
        <v>47.472507477000001</v>
      </c>
      <c r="G594">
        <v>1327.2840576000001</v>
      </c>
      <c r="H594">
        <v>1325.1539307</v>
      </c>
      <c r="I594">
        <v>1346.0802002</v>
      </c>
      <c r="J594">
        <v>1340.7022704999999</v>
      </c>
      <c r="K594">
        <v>0</v>
      </c>
      <c r="L594">
        <v>550</v>
      </c>
      <c r="M594">
        <v>550</v>
      </c>
      <c r="N594">
        <v>0</v>
      </c>
    </row>
    <row r="595" spans="1:14" x14ac:dyDescent="0.25">
      <c r="A595">
        <v>549.88638900000001</v>
      </c>
      <c r="B595" s="1">
        <f>DATE(2011,11,1) + TIME(21,16,23)</f>
        <v>40848.886377314811</v>
      </c>
      <c r="C595">
        <v>80</v>
      </c>
      <c r="D595">
        <v>79.657562256000006</v>
      </c>
      <c r="E595">
        <v>50</v>
      </c>
      <c r="F595">
        <v>47.625831603999998</v>
      </c>
      <c r="G595">
        <v>1327.2775879000001</v>
      </c>
      <c r="H595">
        <v>1325.1459961</v>
      </c>
      <c r="I595">
        <v>1346.0295410000001</v>
      </c>
      <c r="J595">
        <v>1340.6741943</v>
      </c>
      <c r="K595">
        <v>0</v>
      </c>
      <c r="L595">
        <v>550</v>
      </c>
      <c r="M595">
        <v>550</v>
      </c>
      <c r="N595">
        <v>0</v>
      </c>
    </row>
    <row r="596" spans="1:14" x14ac:dyDescent="0.25">
      <c r="A596">
        <v>550.10965599999997</v>
      </c>
      <c r="B596" s="1">
        <f>DATE(2011,11,2) + TIME(2,37,54)</f>
        <v>40849.109652777777</v>
      </c>
      <c r="C596">
        <v>80</v>
      </c>
      <c r="D596">
        <v>79.620323181000003</v>
      </c>
      <c r="E596">
        <v>50</v>
      </c>
      <c r="F596">
        <v>47.774353026999997</v>
      </c>
      <c r="G596">
        <v>1327.2713623</v>
      </c>
      <c r="H596">
        <v>1325.1380615</v>
      </c>
      <c r="I596">
        <v>1345.9813231999999</v>
      </c>
      <c r="J596">
        <v>1340.6475829999999</v>
      </c>
      <c r="K596">
        <v>0</v>
      </c>
      <c r="L596">
        <v>550</v>
      </c>
      <c r="M596">
        <v>550</v>
      </c>
      <c r="N596">
        <v>0</v>
      </c>
    </row>
    <row r="597" spans="1:14" x14ac:dyDescent="0.25">
      <c r="A597">
        <v>550.34248100000002</v>
      </c>
      <c r="B597" s="1">
        <f>DATE(2011,11,2) + TIME(8,13,10)</f>
        <v>40849.342476851853</v>
      </c>
      <c r="C597">
        <v>80</v>
      </c>
      <c r="D597">
        <v>79.582038878999995</v>
      </c>
      <c r="E597">
        <v>50</v>
      </c>
      <c r="F597">
        <v>47.918144226000003</v>
      </c>
      <c r="G597">
        <v>1327.2647704999999</v>
      </c>
      <c r="H597">
        <v>1325.1297606999999</v>
      </c>
      <c r="I597">
        <v>1345.9350586</v>
      </c>
      <c r="J597">
        <v>1340.6219481999999</v>
      </c>
      <c r="K597">
        <v>0</v>
      </c>
      <c r="L597">
        <v>550</v>
      </c>
      <c r="M597">
        <v>550</v>
      </c>
      <c r="N597">
        <v>0</v>
      </c>
    </row>
    <row r="598" spans="1:14" x14ac:dyDescent="0.25">
      <c r="A598">
        <v>550.58584099999996</v>
      </c>
      <c r="B598" s="1">
        <f>DATE(2011,11,2) + TIME(14,3,36)</f>
        <v>40849.585833333331</v>
      </c>
      <c r="C598">
        <v>80</v>
      </c>
      <c r="D598">
        <v>79.542610167999996</v>
      </c>
      <c r="E598">
        <v>50</v>
      </c>
      <c r="F598">
        <v>48.057258605999998</v>
      </c>
      <c r="G598">
        <v>1327.2579346</v>
      </c>
      <c r="H598">
        <v>1325.1210937999999</v>
      </c>
      <c r="I598">
        <v>1345.8907471</v>
      </c>
      <c r="J598">
        <v>1340.5972899999999</v>
      </c>
      <c r="K598">
        <v>0</v>
      </c>
      <c r="L598">
        <v>550</v>
      </c>
      <c r="M598">
        <v>550</v>
      </c>
      <c r="N598">
        <v>0</v>
      </c>
    </row>
    <row r="599" spans="1:14" x14ac:dyDescent="0.25">
      <c r="A599">
        <v>550.84078999999997</v>
      </c>
      <c r="B599" s="1">
        <f>DATE(2011,11,2) + TIME(20,10,44)</f>
        <v>40849.840787037036</v>
      </c>
      <c r="C599">
        <v>80</v>
      </c>
      <c r="D599">
        <v>79.501907349000007</v>
      </c>
      <c r="E599">
        <v>50</v>
      </c>
      <c r="F599">
        <v>48.191715240000001</v>
      </c>
      <c r="G599">
        <v>1327.2508545000001</v>
      </c>
      <c r="H599">
        <v>1325.1119385</v>
      </c>
      <c r="I599">
        <v>1345.8482666</v>
      </c>
      <c r="J599">
        <v>1340.5736084</v>
      </c>
      <c r="K599">
        <v>0</v>
      </c>
      <c r="L599">
        <v>550</v>
      </c>
      <c r="M599">
        <v>550</v>
      </c>
      <c r="N599">
        <v>0</v>
      </c>
    </row>
    <row r="600" spans="1:14" x14ac:dyDescent="0.25">
      <c r="A600">
        <v>551.10866499999997</v>
      </c>
      <c r="B600" s="1">
        <f>DATE(2011,11,3) + TIME(2,36,28)</f>
        <v>40850.108657407407</v>
      </c>
      <c r="C600">
        <v>80</v>
      </c>
      <c r="D600">
        <v>79.459793090999995</v>
      </c>
      <c r="E600">
        <v>50</v>
      </c>
      <c r="F600">
        <v>48.321575164999999</v>
      </c>
      <c r="G600">
        <v>1327.2432861</v>
      </c>
      <c r="H600">
        <v>1325.1022949000001</v>
      </c>
      <c r="I600">
        <v>1345.8074951000001</v>
      </c>
      <c r="J600">
        <v>1340.5507812000001</v>
      </c>
      <c r="K600">
        <v>0</v>
      </c>
      <c r="L600">
        <v>550</v>
      </c>
      <c r="M600">
        <v>550</v>
      </c>
      <c r="N600">
        <v>0</v>
      </c>
    </row>
    <row r="601" spans="1:14" x14ac:dyDescent="0.25">
      <c r="A601">
        <v>551.39095699999996</v>
      </c>
      <c r="B601" s="1">
        <f>DATE(2011,11,3) + TIME(9,22,58)</f>
        <v>40850.390949074077</v>
      </c>
      <c r="C601">
        <v>80</v>
      </c>
      <c r="D601">
        <v>79.416099548000005</v>
      </c>
      <c r="E601">
        <v>50</v>
      </c>
      <c r="F601">
        <v>48.446849823000001</v>
      </c>
      <c r="G601">
        <v>1327.2354736</v>
      </c>
      <c r="H601">
        <v>1325.0920410000001</v>
      </c>
      <c r="I601">
        <v>1345.7683105000001</v>
      </c>
      <c r="J601">
        <v>1340.5286865</v>
      </c>
      <c r="K601">
        <v>0</v>
      </c>
      <c r="L601">
        <v>550</v>
      </c>
      <c r="M601">
        <v>550</v>
      </c>
      <c r="N601">
        <v>0</v>
      </c>
    </row>
    <row r="602" spans="1:14" x14ac:dyDescent="0.25">
      <c r="A602">
        <v>551.68940799999996</v>
      </c>
      <c r="B602" s="1">
        <f>DATE(2011,11,3) + TIME(16,32,44)</f>
        <v>40850.689398148148</v>
      </c>
      <c r="C602">
        <v>80</v>
      </c>
      <c r="D602">
        <v>79.370658875000004</v>
      </c>
      <c r="E602">
        <v>50</v>
      </c>
      <c r="F602">
        <v>48.567543030000003</v>
      </c>
      <c r="G602">
        <v>1327.2271728999999</v>
      </c>
      <c r="H602">
        <v>1325.0812988</v>
      </c>
      <c r="I602">
        <v>1345.7305908000001</v>
      </c>
      <c r="J602">
        <v>1340.5073242000001</v>
      </c>
      <c r="K602">
        <v>0</v>
      </c>
      <c r="L602">
        <v>550</v>
      </c>
      <c r="M602">
        <v>550</v>
      </c>
      <c r="N602">
        <v>0</v>
      </c>
    </row>
    <row r="603" spans="1:14" x14ac:dyDescent="0.25">
      <c r="A603">
        <v>552.00607500000001</v>
      </c>
      <c r="B603" s="1">
        <f>DATE(2011,11,4) + TIME(0,8,44)</f>
        <v>40851.006064814814</v>
      </c>
      <c r="C603">
        <v>80</v>
      </c>
      <c r="D603">
        <v>79.323234557999996</v>
      </c>
      <c r="E603">
        <v>50</v>
      </c>
      <c r="F603">
        <v>48.683639526</v>
      </c>
      <c r="G603">
        <v>1327.2183838000001</v>
      </c>
      <c r="H603">
        <v>1325.0698242000001</v>
      </c>
      <c r="I603">
        <v>1345.6943358999999</v>
      </c>
      <c r="J603">
        <v>1340.4866943</v>
      </c>
      <c r="K603">
        <v>0</v>
      </c>
      <c r="L603">
        <v>550</v>
      </c>
      <c r="M603">
        <v>550</v>
      </c>
      <c r="N603">
        <v>0</v>
      </c>
    </row>
    <row r="604" spans="1:14" x14ac:dyDescent="0.25">
      <c r="A604">
        <v>552.34340599999996</v>
      </c>
      <c r="B604" s="1">
        <f>DATE(2011,11,4) + TIME(8,14,30)</f>
        <v>40851.343402777777</v>
      </c>
      <c r="C604">
        <v>80</v>
      </c>
      <c r="D604">
        <v>79.273590088000006</v>
      </c>
      <c r="E604">
        <v>50</v>
      </c>
      <c r="F604">
        <v>48.795108794999997</v>
      </c>
      <c r="G604">
        <v>1327.2089844</v>
      </c>
      <c r="H604">
        <v>1325.0576172000001</v>
      </c>
      <c r="I604">
        <v>1345.6593018000001</v>
      </c>
      <c r="J604">
        <v>1340.4666748</v>
      </c>
      <c r="K604">
        <v>0</v>
      </c>
      <c r="L604">
        <v>550</v>
      </c>
      <c r="M604">
        <v>550</v>
      </c>
      <c r="N604">
        <v>0</v>
      </c>
    </row>
    <row r="605" spans="1:14" x14ac:dyDescent="0.25">
      <c r="A605">
        <v>552.70434399999999</v>
      </c>
      <c r="B605" s="1">
        <f>DATE(2011,11,4) + TIME(16,54,15)</f>
        <v>40851.704340277778</v>
      </c>
      <c r="C605">
        <v>80</v>
      </c>
      <c r="D605">
        <v>79.221420288000004</v>
      </c>
      <c r="E605">
        <v>50</v>
      </c>
      <c r="F605">
        <v>48.901901244999998</v>
      </c>
      <c r="G605">
        <v>1327.1989745999999</v>
      </c>
      <c r="H605">
        <v>1325.0445557</v>
      </c>
      <c r="I605">
        <v>1345.6256103999999</v>
      </c>
      <c r="J605">
        <v>1340.4471435999999</v>
      </c>
      <c r="K605">
        <v>0</v>
      </c>
      <c r="L605">
        <v>550</v>
      </c>
      <c r="M605">
        <v>550</v>
      </c>
      <c r="N605">
        <v>0</v>
      </c>
    </row>
    <row r="606" spans="1:14" x14ac:dyDescent="0.25">
      <c r="A606">
        <v>553.09247400000004</v>
      </c>
      <c r="B606" s="1">
        <f>DATE(2011,11,5) + TIME(2,13,9)</f>
        <v>40852.092465277776</v>
      </c>
      <c r="C606">
        <v>80</v>
      </c>
      <c r="D606">
        <v>79.166374207000004</v>
      </c>
      <c r="E606">
        <v>50</v>
      </c>
      <c r="F606">
        <v>49.003952026</v>
      </c>
      <c r="G606">
        <v>1327.1883545000001</v>
      </c>
      <c r="H606">
        <v>1325.0306396000001</v>
      </c>
      <c r="I606">
        <v>1345.5930175999999</v>
      </c>
      <c r="J606">
        <v>1340.4279785000001</v>
      </c>
      <c r="K606">
        <v>0</v>
      </c>
      <c r="L606">
        <v>550</v>
      </c>
      <c r="M606">
        <v>550</v>
      </c>
      <c r="N606">
        <v>0</v>
      </c>
    </row>
    <row r="607" spans="1:14" x14ac:dyDescent="0.25">
      <c r="A607">
        <v>553.51221299999997</v>
      </c>
      <c r="B607" s="1">
        <f>DATE(2011,11,5) + TIME(12,17,35)</f>
        <v>40852.51221064815</v>
      </c>
      <c r="C607">
        <v>80</v>
      </c>
      <c r="D607">
        <v>79.108001709000007</v>
      </c>
      <c r="E607">
        <v>50</v>
      </c>
      <c r="F607">
        <v>49.101181029999999</v>
      </c>
      <c r="G607">
        <v>1327.1768798999999</v>
      </c>
      <c r="H607">
        <v>1325.0155029</v>
      </c>
      <c r="I607">
        <v>1345.5614014</v>
      </c>
      <c r="J607">
        <v>1340.4093018000001</v>
      </c>
      <c r="K607">
        <v>0</v>
      </c>
      <c r="L607">
        <v>550</v>
      </c>
      <c r="M607">
        <v>550</v>
      </c>
      <c r="N607">
        <v>0</v>
      </c>
    </row>
    <row r="608" spans="1:14" x14ac:dyDescent="0.25">
      <c r="A608">
        <v>553.96909200000005</v>
      </c>
      <c r="B608" s="1">
        <f>DATE(2011,11,5) + TIME(23,15,29)</f>
        <v>40852.969085648147</v>
      </c>
      <c r="C608">
        <v>80</v>
      </c>
      <c r="D608">
        <v>79.045783997000001</v>
      </c>
      <c r="E608">
        <v>50</v>
      </c>
      <c r="F608">
        <v>49.193477631</v>
      </c>
      <c r="G608">
        <v>1327.1644286999999</v>
      </c>
      <c r="H608">
        <v>1324.9990233999999</v>
      </c>
      <c r="I608">
        <v>1345.5306396000001</v>
      </c>
      <c r="J608">
        <v>1340.3908690999999</v>
      </c>
      <c r="K608">
        <v>0</v>
      </c>
      <c r="L608">
        <v>550</v>
      </c>
      <c r="M608">
        <v>550</v>
      </c>
      <c r="N608">
        <v>0</v>
      </c>
    </row>
    <row r="609" spans="1:14" x14ac:dyDescent="0.25">
      <c r="A609">
        <v>554.47010499999999</v>
      </c>
      <c r="B609" s="1">
        <f>DATE(2011,11,6) + TIME(11,16,57)</f>
        <v>40853.470104166663</v>
      </c>
      <c r="C609">
        <v>80</v>
      </c>
      <c r="D609">
        <v>78.979049683</v>
      </c>
      <c r="E609">
        <v>50</v>
      </c>
      <c r="F609">
        <v>49.280708312999998</v>
      </c>
      <c r="G609">
        <v>1327.1508789</v>
      </c>
      <c r="H609">
        <v>1324.9812012</v>
      </c>
      <c r="I609">
        <v>1345.5007324000001</v>
      </c>
      <c r="J609">
        <v>1340.3726807</v>
      </c>
      <c r="K609">
        <v>0</v>
      </c>
      <c r="L609">
        <v>550</v>
      </c>
      <c r="M609">
        <v>550</v>
      </c>
      <c r="N609">
        <v>0</v>
      </c>
    </row>
    <row r="610" spans="1:14" x14ac:dyDescent="0.25">
      <c r="A610">
        <v>555.01383599999997</v>
      </c>
      <c r="B610" s="1">
        <f>DATE(2011,11,7) + TIME(0,19,55)</f>
        <v>40854.013831018521</v>
      </c>
      <c r="C610">
        <v>80</v>
      </c>
      <c r="D610">
        <v>78.908180236999996</v>
      </c>
      <c r="E610">
        <v>50</v>
      </c>
      <c r="F610">
        <v>49.361392975000001</v>
      </c>
      <c r="G610">
        <v>1327.1361084</v>
      </c>
      <c r="H610">
        <v>1324.9615478999999</v>
      </c>
      <c r="I610">
        <v>1345.4722899999999</v>
      </c>
      <c r="J610">
        <v>1340.3549805</v>
      </c>
      <c r="K610">
        <v>0</v>
      </c>
      <c r="L610">
        <v>550</v>
      </c>
      <c r="M610">
        <v>550</v>
      </c>
      <c r="N610">
        <v>0</v>
      </c>
    </row>
    <row r="611" spans="1:14" x14ac:dyDescent="0.25">
      <c r="A611">
        <v>555.57839799999999</v>
      </c>
      <c r="B611" s="1">
        <f>DATE(2011,11,7) + TIME(13,52,53)</f>
        <v>40854.5783912037</v>
      </c>
      <c r="C611">
        <v>80</v>
      </c>
      <c r="D611">
        <v>78.835861206000004</v>
      </c>
      <c r="E611">
        <v>50</v>
      </c>
      <c r="F611">
        <v>49.432434082</v>
      </c>
      <c r="G611">
        <v>1327.1199951000001</v>
      </c>
      <c r="H611">
        <v>1324.9404297000001</v>
      </c>
      <c r="I611">
        <v>1345.4465332</v>
      </c>
      <c r="J611">
        <v>1340.3386230000001</v>
      </c>
      <c r="K611">
        <v>0</v>
      </c>
      <c r="L611">
        <v>550</v>
      </c>
      <c r="M611">
        <v>550</v>
      </c>
      <c r="N611">
        <v>0</v>
      </c>
    </row>
    <row r="612" spans="1:14" x14ac:dyDescent="0.25">
      <c r="A612">
        <v>556.16595700000005</v>
      </c>
      <c r="B612" s="1">
        <f>DATE(2011,11,8) + TIME(3,58,58)</f>
        <v>40855.165949074071</v>
      </c>
      <c r="C612">
        <v>80</v>
      </c>
      <c r="D612">
        <v>78.761878967000001</v>
      </c>
      <c r="E612">
        <v>50</v>
      </c>
      <c r="F612">
        <v>49.494789124</v>
      </c>
      <c r="G612">
        <v>1327.1033935999999</v>
      </c>
      <c r="H612">
        <v>1324.9183350000001</v>
      </c>
      <c r="I612">
        <v>1345.4226074000001</v>
      </c>
      <c r="J612">
        <v>1340.3231201000001</v>
      </c>
      <c r="K612">
        <v>0</v>
      </c>
      <c r="L612">
        <v>550</v>
      </c>
      <c r="M612">
        <v>550</v>
      </c>
      <c r="N612">
        <v>0</v>
      </c>
    </row>
    <row r="613" spans="1:14" x14ac:dyDescent="0.25">
      <c r="A613">
        <v>556.77798399999995</v>
      </c>
      <c r="B613" s="1">
        <f>DATE(2011,11,8) + TIME(18,40,17)</f>
        <v>40855.777974537035</v>
      </c>
      <c r="C613">
        <v>80</v>
      </c>
      <c r="D613">
        <v>78.686111449999999</v>
      </c>
      <c r="E613">
        <v>50</v>
      </c>
      <c r="F613">
        <v>49.549243926999999</v>
      </c>
      <c r="G613">
        <v>1327.0859375</v>
      </c>
      <c r="H613">
        <v>1324.8952637</v>
      </c>
      <c r="I613">
        <v>1345.4002685999999</v>
      </c>
      <c r="J613">
        <v>1340.3082274999999</v>
      </c>
      <c r="K613">
        <v>0</v>
      </c>
      <c r="L613">
        <v>550</v>
      </c>
      <c r="M613">
        <v>550</v>
      </c>
      <c r="N613">
        <v>0</v>
      </c>
    </row>
    <row r="614" spans="1:14" x14ac:dyDescent="0.25">
      <c r="A614">
        <v>557.41611699999999</v>
      </c>
      <c r="B614" s="1">
        <f>DATE(2011,11,9) + TIME(9,59,12)</f>
        <v>40856.41611111111</v>
      </c>
      <c r="C614">
        <v>80</v>
      </c>
      <c r="D614">
        <v>78.608436584000003</v>
      </c>
      <c r="E614">
        <v>50</v>
      </c>
      <c r="F614">
        <v>49.596557617000002</v>
      </c>
      <c r="G614">
        <v>1327.067749</v>
      </c>
      <c r="H614">
        <v>1324.8712158000001</v>
      </c>
      <c r="I614">
        <v>1345.3791504000001</v>
      </c>
      <c r="J614">
        <v>1340.2939452999999</v>
      </c>
      <c r="K614">
        <v>0</v>
      </c>
      <c r="L614">
        <v>550</v>
      </c>
      <c r="M614">
        <v>550</v>
      </c>
      <c r="N614">
        <v>0</v>
      </c>
    </row>
    <row r="615" spans="1:14" x14ac:dyDescent="0.25">
      <c r="A615">
        <v>558.08212200000003</v>
      </c>
      <c r="B615" s="1">
        <f>DATE(2011,11,10) + TIME(1,58,15)</f>
        <v>40857.082118055558</v>
      </c>
      <c r="C615">
        <v>80</v>
      </c>
      <c r="D615">
        <v>78.528717040999993</v>
      </c>
      <c r="E615">
        <v>50</v>
      </c>
      <c r="F615">
        <v>49.637451171999999</v>
      </c>
      <c r="G615">
        <v>1327.0485839999999</v>
      </c>
      <c r="H615">
        <v>1324.8459473</v>
      </c>
      <c r="I615">
        <v>1345.3592529</v>
      </c>
      <c r="J615">
        <v>1340.2801514</v>
      </c>
      <c r="K615">
        <v>0</v>
      </c>
      <c r="L615">
        <v>550</v>
      </c>
      <c r="M615">
        <v>550</v>
      </c>
      <c r="N615">
        <v>0</v>
      </c>
    </row>
    <row r="616" spans="1:14" x14ac:dyDescent="0.25">
      <c r="A616">
        <v>558.77795200000003</v>
      </c>
      <c r="B616" s="1">
        <f>DATE(2011,11,10) + TIME(18,40,15)</f>
        <v>40857.777951388889</v>
      </c>
      <c r="C616">
        <v>80</v>
      </c>
      <c r="D616">
        <v>78.446792603000006</v>
      </c>
      <c r="E616">
        <v>50</v>
      </c>
      <c r="F616">
        <v>49.672603606999999</v>
      </c>
      <c r="G616">
        <v>1327.0286865</v>
      </c>
      <c r="H616">
        <v>1324.8194579999999</v>
      </c>
      <c r="I616">
        <v>1345.340332</v>
      </c>
      <c r="J616">
        <v>1340.2667236</v>
      </c>
      <c r="K616">
        <v>0</v>
      </c>
      <c r="L616">
        <v>550</v>
      </c>
      <c r="M616">
        <v>550</v>
      </c>
      <c r="N616">
        <v>0</v>
      </c>
    </row>
    <row r="617" spans="1:14" x14ac:dyDescent="0.25">
      <c r="A617">
        <v>559.50574500000005</v>
      </c>
      <c r="B617" s="1">
        <f>DATE(2011,11,11) + TIME(12,8,16)</f>
        <v>40858.505740740744</v>
      </c>
      <c r="C617">
        <v>80</v>
      </c>
      <c r="D617">
        <v>78.362510681000003</v>
      </c>
      <c r="E617">
        <v>50</v>
      </c>
      <c r="F617">
        <v>49.702648162999999</v>
      </c>
      <c r="G617">
        <v>1327.0078125</v>
      </c>
      <c r="H617">
        <v>1324.791626</v>
      </c>
      <c r="I617">
        <v>1345.3223877</v>
      </c>
      <c r="J617">
        <v>1340.2536620999999</v>
      </c>
      <c r="K617">
        <v>0</v>
      </c>
      <c r="L617">
        <v>550</v>
      </c>
      <c r="M617">
        <v>550</v>
      </c>
      <c r="N617">
        <v>0</v>
      </c>
    </row>
    <row r="618" spans="1:14" x14ac:dyDescent="0.25">
      <c r="A618">
        <v>560.26765699999999</v>
      </c>
      <c r="B618" s="1">
        <f>DATE(2011,11,12) + TIME(6,25,25)</f>
        <v>40859.267650462964</v>
      </c>
      <c r="C618">
        <v>80</v>
      </c>
      <c r="D618">
        <v>78.275703429999993</v>
      </c>
      <c r="E618">
        <v>50</v>
      </c>
      <c r="F618">
        <v>49.728176116999997</v>
      </c>
      <c r="G618">
        <v>1326.9858397999999</v>
      </c>
      <c r="H618">
        <v>1324.7625731999999</v>
      </c>
      <c r="I618">
        <v>1345.3050536999999</v>
      </c>
      <c r="J618">
        <v>1340.2408447</v>
      </c>
      <c r="K618">
        <v>0</v>
      </c>
      <c r="L618">
        <v>550</v>
      </c>
      <c r="M618">
        <v>550</v>
      </c>
      <c r="N618">
        <v>0</v>
      </c>
    </row>
    <row r="619" spans="1:14" x14ac:dyDescent="0.25">
      <c r="A619">
        <v>561.06628000000001</v>
      </c>
      <c r="B619" s="1">
        <f>DATE(2011,11,13) + TIME(1,35,26)</f>
        <v>40860.06627314815</v>
      </c>
      <c r="C619">
        <v>80</v>
      </c>
      <c r="D619">
        <v>78.186195373999993</v>
      </c>
      <c r="E619">
        <v>50</v>
      </c>
      <c r="F619">
        <v>49.749736786</v>
      </c>
      <c r="G619">
        <v>1326.9628906</v>
      </c>
      <c r="H619">
        <v>1324.7319336</v>
      </c>
      <c r="I619">
        <v>1345.2884521000001</v>
      </c>
      <c r="J619">
        <v>1340.2282714999999</v>
      </c>
      <c r="K619">
        <v>0</v>
      </c>
      <c r="L619">
        <v>550</v>
      </c>
      <c r="M619">
        <v>550</v>
      </c>
      <c r="N619">
        <v>0</v>
      </c>
    </row>
    <row r="620" spans="1:14" x14ac:dyDescent="0.25">
      <c r="A620">
        <v>561.90461000000005</v>
      </c>
      <c r="B620" s="1">
        <f>DATE(2011,11,13) + TIME(21,42,38)</f>
        <v>40860.904606481483</v>
      </c>
      <c r="C620">
        <v>80</v>
      </c>
      <c r="D620">
        <v>78.093765258999994</v>
      </c>
      <c r="E620">
        <v>50</v>
      </c>
      <c r="F620">
        <v>49.767852783000002</v>
      </c>
      <c r="G620">
        <v>1326.9387207</v>
      </c>
      <c r="H620">
        <v>1324.699707</v>
      </c>
      <c r="I620">
        <v>1345.2724608999999</v>
      </c>
      <c r="J620">
        <v>1340.2159423999999</v>
      </c>
      <c r="K620">
        <v>0</v>
      </c>
      <c r="L620">
        <v>550</v>
      </c>
      <c r="M620">
        <v>550</v>
      </c>
      <c r="N620">
        <v>0</v>
      </c>
    </row>
    <row r="621" spans="1:14" x14ac:dyDescent="0.25">
      <c r="A621">
        <v>562.78579400000001</v>
      </c>
      <c r="B621" s="1">
        <f>DATE(2011,11,14) + TIME(18,51,32)</f>
        <v>40861.785787037035</v>
      </c>
      <c r="C621">
        <v>80</v>
      </c>
      <c r="D621">
        <v>77.998191833000007</v>
      </c>
      <c r="E621">
        <v>50</v>
      </c>
      <c r="F621">
        <v>49.782981872999997</v>
      </c>
      <c r="G621">
        <v>1326.9133300999999</v>
      </c>
      <c r="H621">
        <v>1324.6658935999999</v>
      </c>
      <c r="I621">
        <v>1345.2568358999999</v>
      </c>
      <c r="J621">
        <v>1340.2037353999999</v>
      </c>
      <c r="K621">
        <v>0</v>
      </c>
      <c r="L621">
        <v>550</v>
      </c>
      <c r="M621">
        <v>550</v>
      </c>
      <c r="N621">
        <v>0</v>
      </c>
    </row>
    <row r="622" spans="1:14" x14ac:dyDescent="0.25">
      <c r="A622">
        <v>563.71332900000004</v>
      </c>
      <c r="B622" s="1">
        <f>DATE(2011,11,15) + TIME(17,7,11)</f>
        <v>40862.713321759256</v>
      </c>
      <c r="C622">
        <v>80</v>
      </c>
      <c r="D622">
        <v>77.899238585999996</v>
      </c>
      <c r="E622">
        <v>50</v>
      </c>
      <c r="F622">
        <v>49.7955513</v>
      </c>
      <c r="G622">
        <v>1326.8864745999999</v>
      </c>
      <c r="H622">
        <v>1324.6301269999999</v>
      </c>
      <c r="I622">
        <v>1345.2416992000001</v>
      </c>
      <c r="J622">
        <v>1340.1917725000001</v>
      </c>
      <c r="K622">
        <v>0</v>
      </c>
      <c r="L622">
        <v>550</v>
      </c>
      <c r="M622">
        <v>550</v>
      </c>
      <c r="N622">
        <v>0</v>
      </c>
    </row>
    <row r="623" spans="1:14" x14ac:dyDescent="0.25">
      <c r="A623">
        <v>564.69109500000002</v>
      </c>
      <c r="B623" s="1">
        <f>DATE(2011,11,16) + TIME(16,35,10)</f>
        <v>40863.691087962965</v>
      </c>
      <c r="C623">
        <v>80</v>
      </c>
      <c r="D623">
        <v>77.796653747999997</v>
      </c>
      <c r="E623">
        <v>50</v>
      </c>
      <c r="F623">
        <v>49.805938720999997</v>
      </c>
      <c r="G623">
        <v>1326.8581543</v>
      </c>
      <c r="H623">
        <v>1324.5924072</v>
      </c>
      <c r="I623">
        <v>1345.2269286999999</v>
      </c>
      <c r="J623">
        <v>1340.1796875</v>
      </c>
      <c r="K623">
        <v>0</v>
      </c>
      <c r="L623">
        <v>550</v>
      </c>
      <c r="M623">
        <v>550</v>
      </c>
      <c r="N623">
        <v>0</v>
      </c>
    </row>
    <row r="624" spans="1:14" x14ac:dyDescent="0.25">
      <c r="A624">
        <v>565.71890099999996</v>
      </c>
      <c r="B624" s="1">
        <f>DATE(2011,11,17) + TIME(17,15,13)</f>
        <v>40864.718900462962</v>
      </c>
      <c r="C624">
        <v>80</v>
      </c>
      <c r="D624">
        <v>77.690544127999999</v>
      </c>
      <c r="E624">
        <v>50</v>
      </c>
      <c r="F624">
        <v>49.814456939999999</v>
      </c>
      <c r="G624">
        <v>1326.8283690999999</v>
      </c>
      <c r="H624">
        <v>1324.5524902</v>
      </c>
      <c r="I624">
        <v>1345.2124022999999</v>
      </c>
      <c r="J624">
        <v>1340.1678466999999</v>
      </c>
      <c r="K624">
        <v>0</v>
      </c>
      <c r="L624">
        <v>550</v>
      </c>
      <c r="M624">
        <v>550</v>
      </c>
      <c r="N624">
        <v>0</v>
      </c>
    </row>
    <row r="625" spans="1:14" x14ac:dyDescent="0.25">
      <c r="A625">
        <v>566.77271900000005</v>
      </c>
      <c r="B625" s="1">
        <f>DATE(2011,11,18) + TIME(18,32,42)</f>
        <v>40865.77270833333</v>
      </c>
      <c r="C625">
        <v>80</v>
      </c>
      <c r="D625">
        <v>77.582969665999997</v>
      </c>
      <c r="E625">
        <v>50</v>
      </c>
      <c r="F625">
        <v>49.821285248000002</v>
      </c>
      <c r="G625">
        <v>1326.7969971</v>
      </c>
      <c r="H625">
        <v>1324.5106201000001</v>
      </c>
      <c r="I625">
        <v>1345.1983643000001</v>
      </c>
      <c r="J625">
        <v>1340.1560059000001</v>
      </c>
      <c r="K625">
        <v>0</v>
      </c>
      <c r="L625">
        <v>550</v>
      </c>
      <c r="M625">
        <v>550</v>
      </c>
      <c r="N625">
        <v>0</v>
      </c>
    </row>
    <row r="626" spans="1:14" x14ac:dyDescent="0.25">
      <c r="A626">
        <v>567.85550899999998</v>
      </c>
      <c r="B626" s="1">
        <f>DATE(2011,11,19) + TIME(20,31,55)</f>
        <v>40866.855497685188</v>
      </c>
      <c r="C626">
        <v>80</v>
      </c>
      <c r="D626">
        <v>77.473777771000002</v>
      </c>
      <c r="E626">
        <v>50</v>
      </c>
      <c r="F626">
        <v>49.826778412000003</v>
      </c>
      <c r="G626">
        <v>1326.7646483999999</v>
      </c>
      <c r="H626">
        <v>1324.4675293</v>
      </c>
      <c r="I626">
        <v>1345.1846923999999</v>
      </c>
      <c r="J626">
        <v>1340.1446533000001</v>
      </c>
      <c r="K626">
        <v>0</v>
      </c>
      <c r="L626">
        <v>550</v>
      </c>
      <c r="M626">
        <v>550</v>
      </c>
      <c r="N626">
        <v>0</v>
      </c>
    </row>
    <row r="627" spans="1:14" x14ac:dyDescent="0.25">
      <c r="A627">
        <v>568.96940500000005</v>
      </c>
      <c r="B627" s="1">
        <f>DATE(2011,11,20) + TIME(23,15,56)</f>
        <v>40867.969398148147</v>
      </c>
      <c r="C627">
        <v>80</v>
      </c>
      <c r="D627">
        <v>77.362869262999993</v>
      </c>
      <c r="E627">
        <v>50</v>
      </c>
      <c r="F627">
        <v>49.831218718999999</v>
      </c>
      <c r="G627">
        <v>1326.7313231999999</v>
      </c>
      <c r="H627">
        <v>1324.4228516000001</v>
      </c>
      <c r="I627">
        <v>1345.1716309000001</v>
      </c>
      <c r="J627">
        <v>1340.1334228999999</v>
      </c>
      <c r="K627">
        <v>0</v>
      </c>
      <c r="L627">
        <v>550</v>
      </c>
      <c r="M627">
        <v>550</v>
      </c>
      <c r="N627">
        <v>0</v>
      </c>
    </row>
    <row r="628" spans="1:14" x14ac:dyDescent="0.25">
      <c r="A628">
        <v>570.11669099999995</v>
      </c>
      <c r="B628" s="1">
        <f>DATE(2011,11,22) + TIME(2,48,2)</f>
        <v>40869.116689814815</v>
      </c>
      <c r="C628">
        <v>80</v>
      </c>
      <c r="D628">
        <v>77.250144958000007</v>
      </c>
      <c r="E628">
        <v>50</v>
      </c>
      <c r="F628">
        <v>49.834831238</v>
      </c>
      <c r="G628">
        <v>1326.6968993999999</v>
      </c>
      <c r="H628">
        <v>1324.3767089999999</v>
      </c>
      <c r="I628">
        <v>1345.1590576000001</v>
      </c>
      <c r="J628">
        <v>1340.1225586</v>
      </c>
      <c r="K628">
        <v>0</v>
      </c>
      <c r="L628">
        <v>550</v>
      </c>
      <c r="M628">
        <v>550</v>
      </c>
      <c r="N628">
        <v>0</v>
      </c>
    </row>
    <row r="629" spans="1:14" x14ac:dyDescent="0.25">
      <c r="A629">
        <v>571.29979000000003</v>
      </c>
      <c r="B629" s="1">
        <f>DATE(2011,11,23) + TIME(7,11,41)</f>
        <v>40870.299780092595</v>
      </c>
      <c r="C629">
        <v>80</v>
      </c>
      <c r="D629">
        <v>77.135482788000004</v>
      </c>
      <c r="E629">
        <v>50</v>
      </c>
      <c r="F629">
        <v>49.837791443</v>
      </c>
      <c r="G629">
        <v>1326.6612548999999</v>
      </c>
      <c r="H629">
        <v>1324.3289795000001</v>
      </c>
      <c r="I629">
        <v>1345.1467285000001</v>
      </c>
      <c r="J629">
        <v>1340.1119385</v>
      </c>
      <c r="K629">
        <v>0</v>
      </c>
      <c r="L629">
        <v>550</v>
      </c>
      <c r="M629">
        <v>550</v>
      </c>
      <c r="N629">
        <v>0</v>
      </c>
    </row>
    <row r="630" spans="1:14" x14ac:dyDescent="0.25">
      <c r="A630">
        <v>572.52127499999995</v>
      </c>
      <c r="B630" s="1">
        <f>DATE(2011,11,24) + TIME(12,30,38)</f>
        <v>40871.521273148152</v>
      </c>
      <c r="C630">
        <v>80</v>
      </c>
      <c r="D630">
        <v>77.018768311000002</v>
      </c>
      <c r="E630">
        <v>50</v>
      </c>
      <c r="F630">
        <v>49.840236664000003</v>
      </c>
      <c r="G630">
        <v>1326.6245117000001</v>
      </c>
      <c r="H630">
        <v>1324.2796631000001</v>
      </c>
      <c r="I630">
        <v>1345.1347656</v>
      </c>
      <c r="J630">
        <v>1340.1014404</v>
      </c>
      <c r="K630">
        <v>0</v>
      </c>
      <c r="L630">
        <v>550</v>
      </c>
      <c r="M630">
        <v>550</v>
      </c>
      <c r="N630">
        <v>0</v>
      </c>
    </row>
    <row r="631" spans="1:14" x14ac:dyDescent="0.25">
      <c r="A631">
        <v>573.78392199999996</v>
      </c>
      <c r="B631" s="1">
        <f>DATE(2011,11,25) + TIME(18,48,50)</f>
        <v>40872.783912037034</v>
      </c>
      <c r="C631">
        <v>80</v>
      </c>
      <c r="D631">
        <v>76.899871825999995</v>
      </c>
      <c r="E631">
        <v>50</v>
      </c>
      <c r="F631">
        <v>49.842281342</v>
      </c>
      <c r="G631">
        <v>1326.5864257999999</v>
      </c>
      <c r="H631">
        <v>1324.2283935999999</v>
      </c>
      <c r="I631">
        <v>1345.1231689000001</v>
      </c>
      <c r="J631">
        <v>1340.0910644999999</v>
      </c>
      <c r="K631">
        <v>0</v>
      </c>
      <c r="L631">
        <v>550</v>
      </c>
      <c r="M631">
        <v>550</v>
      </c>
      <c r="N631">
        <v>0</v>
      </c>
    </row>
    <row r="632" spans="1:14" x14ac:dyDescent="0.25">
      <c r="A632">
        <v>575.09072300000003</v>
      </c>
      <c r="B632" s="1">
        <f>DATE(2011,11,27) + TIME(2,10,38)</f>
        <v>40874.090717592589</v>
      </c>
      <c r="C632">
        <v>80</v>
      </c>
      <c r="D632">
        <v>76.778633118000002</v>
      </c>
      <c r="E632">
        <v>50</v>
      </c>
      <c r="F632">
        <v>49.844005584999998</v>
      </c>
      <c r="G632">
        <v>1326.5469971</v>
      </c>
      <c r="H632">
        <v>1324.175293</v>
      </c>
      <c r="I632">
        <v>1345.1116943</v>
      </c>
      <c r="J632">
        <v>1340.0809326000001</v>
      </c>
      <c r="K632">
        <v>0</v>
      </c>
      <c r="L632">
        <v>550</v>
      </c>
      <c r="M632">
        <v>550</v>
      </c>
      <c r="N632">
        <v>0</v>
      </c>
    </row>
    <row r="633" spans="1:14" x14ac:dyDescent="0.25">
      <c r="A633">
        <v>576.44491600000003</v>
      </c>
      <c r="B633" s="1">
        <f>DATE(2011,11,28) + TIME(10,40,40)</f>
        <v>40875.444907407407</v>
      </c>
      <c r="C633">
        <v>80</v>
      </c>
      <c r="D633">
        <v>76.654899596999996</v>
      </c>
      <c r="E633">
        <v>50</v>
      </c>
      <c r="F633">
        <v>49.845481872999997</v>
      </c>
      <c r="G633">
        <v>1326.5059814000001</v>
      </c>
      <c r="H633">
        <v>1324.1202393000001</v>
      </c>
      <c r="I633">
        <v>1345.1005858999999</v>
      </c>
      <c r="J633">
        <v>1340.0710449000001</v>
      </c>
      <c r="K633">
        <v>0</v>
      </c>
      <c r="L633">
        <v>550</v>
      </c>
      <c r="M633">
        <v>550</v>
      </c>
      <c r="N633">
        <v>0</v>
      </c>
    </row>
    <row r="634" spans="1:14" x14ac:dyDescent="0.25">
      <c r="A634">
        <v>577.84993799999995</v>
      </c>
      <c r="B634" s="1">
        <f>DATE(2011,11,29) + TIME(20,23,54)</f>
        <v>40876.849930555552</v>
      </c>
      <c r="C634">
        <v>80</v>
      </c>
      <c r="D634">
        <v>76.528511046999995</v>
      </c>
      <c r="E634">
        <v>50</v>
      </c>
      <c r="F634">
        <v>49.846759796000001</v>
      </c>
      <c r="G634">
        <v>1326.463501</v>
      </c>
      <c r="H634">
        <v>1324.0628661999999</v>
      </c>
      <c r="I634">
        <v>1345.0895995999999</v>
      </c>
      <c r="J634">
        <v>1340.0611572</v>
      </c>
      <c r="K634">
        <v>0</v>
      </c>
      <c r="L634">
        <v>550</v>
      </c>
      <c r="M634">
        <v>550</v>
      </c>
      <c r="N634">
        <v>0</v>
      </c>
    </row>
    <row r="635" spans="1:14" x14ac:dyDescent="0.25">
      <c r="A635">
        <v>579</v>
      </c>
      <c r="B635" s="1">
        <f>DATE(2011,12,1) + TIME(0,0,0)</f>
        <v>40878</v>
      </c>
      <c r="C635">
        <v>80</v>
      </c>
      <c r="D635">
        <v>76.421028136999993</v>
      </c>
      <c r="E635">
        <v>50</v>
      </c>
      <c r="F635">
        <v>49.847667694000002</v>
      </c>
      <c r="G635">
        <v>1326.4204102000001</v>
      </c>
      <c r="H635">
        <v>1324.0054932</v>
      </c>
      <c r="I635">
        <v>1345.0787353999999</v>
      </c>
      <c r="J635">
        <v>1340.0512695</v>
      </c>
      <c r="K635">
        <v>0</v>
      </c>
      <c r="L635">
        <v>550</v>
      </c>
      <c r="M635">
        <v>550</v>
      </c>
      <c r="N635">
        <v>0</v>
      </c>
    </row>
    <row r="636" spans="1:14" x14ac:dyDescent="0.25">
      <c r="A636">
        <v>580.45915000000002</v>
      </c>
      <c r="B636" s="1">
        <f>DATE(2011,12,2) + TIME(11,1,10)</f>
        <v>40879.459143518521</v>
      </c>
      <c r="C636">
        <v>80</v>
      </c>
      <c r="D636">
        <v>76.293830872000001</v>
      </c>
      <c r="E636">
        <v>50</v>
      </c>
      <c r="F636">
        <v>49.848655700999998</v>
      </c>
      <c r="G636">
        <v>1326.3822021000001</v>
      </c>
      <c r="H636">
        <v>1323.9528809000001</v>
      </c>
      <c r="I636">
        <v>1345.0704346</v>
      </c>
      <c r="J636">
        <v>1340.0437012</v>
      </c>
      <c r="K636">
        <v>0</v>
      </c>
      <c r="L636">
        <v>550</v>
      </c>
      <c r="M636">
        <v>550</v>
      </c>
      <c r="N636">
        <v>0</v>
      </c>
    </row>
    <row r="637" spans="1:14" x14ac:dyDescent="0.25">
      <c r="A637">
        <v>582.02680899999996</v>
      </c>
      <c r="B637" s="1">
        <f>DATE(2011,12,4) + TIME(0,38,36)</f>
        <v>40881.026805555557</v>
      </c>
      <c r="C637">
        <v>80</v>
      </c>
      <c r="D637">
        <v>76.160331725999995</v>
      </c>
      <c r="E637">
        <v>50</v>
      </c>
      <c r="F637">
        <v>49.849571228000002</v>
      </c>
      <c r="G637">
        <v>1326.3361815999999</v>
      </c>
      <c r="H637">
        <v>1323.8905029</v>
      </c>
      <c r="I637">
        <v>1345.0603027</v>
      </c>
      <c r="J637">
        <v>1340.0343018000001</v>
      </c>
      <c r="K637">
        <v>0</v>
      </c>
      <c r="L637">
        <v>550</v>
      </c>
      <c r="M637">
        <v>550</v>
      </c>
      <c r="N637">
        <v>0</v>
      </c>
    </row>
    <row r="638" spans="1:14" x14ac:dyDescent="0.25">
      <c r="A638">
        <v>583.65978199999995</v>
      </c>
      <c r="B638" s="1">
        <f>DATE(2011,12,5) + TIME(15,50,5)</f>
        <v>40882.659780092596</v>
      </c>
      <c r="C638">
        <v>80</v>
      </c>
      <c r="D638">
        <v>76.023132324000002</v>
      </c>
      <c r="E638">
        <v>50</v>
      </c>
      <c r="F638">
        <v>49.850399017000001</v>
      </c>
      <c r="G638">
        <v>1326.2868652</v>
      </c>
      <c r="H638">
        <v>1323.8238524999999</v>
      </c>
      <c r="I638">
        <v>1345.0498047000001</v>
      </c>
      <c r="J638">
        <v>1340.0247803</v>
      </c>
      <c r="K638">
        <v>0</v>
      </c>
      <c r="L638">
        <v>550</v>
      </c>
      <c r="M638">
        <v>550</v>
      </c>
      <c r="N638">
        <v>0</v>
      </c>
    </row>
    <row r="639" spans="1:14" x14ac:dyDescent="0.25">
      <c r="A639">
        <v>585.35888499999999</v>
      </c>
      <c r="B639" s="1">
        <f>DATE(2011,12,7) + TIME(8,36,47)</f>
        <v>40884.358877314815</v>
      </c>
      <c r="C639">
        <v>80</v>
      </c>
      <c r="D639">
        <v>75.882324218999997</v>
      </c>
      <c r="E639">
        <v>50</v>
      </c>
      <c r="F639">
        <v>49.851158142000003</v>
      </c>
      <c r="G639">
        <v>1326.2352295000001</v>
      </c>
      <c r="H639">
        <v>1323.7541504000001</v>
      </c>
      <c r="I639">
        <v>1345.0395507999999</v>
      </c>
      <c r="J639">
        <v>1340.0152588000001</v>
      </c>
      <c r="K639">
        <v>0</v>
      </c>
      <c r="L639">
        <v>550</v>
      </c>
      <c r="M639">
        <v>550</v>
      </c>
      <c r="N639">
        <v>0</v>
      </c>
    </row>
    <row r="640" spans="1:14" x14ac:dyDescent="0.25">
      <c r="A640">
        <v>587.10069299999998</v>
      </c>
      <c r="B640" s="1">
        <f>DATE(2011,12,9) + TIME(2,24,59)</f>
        <v>40886.100682870368</v>
      </c>
      <c r="C640">
        <v>80</v>
      </c>
      <c r="D640">
        <v>75.739395142000006</v>
      </c>
      <c r="E640">
        <v>50</v>
      </c>
      <c r="F640">
        <v>49.851848601999997</v>
      </c>
      <c r="G640">
        <v>1326.1815185999999</v>
      </c>
      <c r="H640">
        <v>1323.6813964999999</v>
      </c>
      <c r="I640">
        <v>1345.0294189000001</v>
      </c>
      <c r="J640">
        <v>1340.0057373</v>
      </c>
      <c r="K640">
        <v>0</v>
      </c>
      <c r="L640">
        <v>550</v>
      </c>
      <c r="M640">
        <v>550</v>
      </c>
      <c r="N640">
        <v>0</v>
      </c>
    </row>
    <row r="641" spans="1:14" x14ac:dyDescent="0.25">
      <c r="A641">
        <v>588.889366</v>
      </c>
      <c r="B641" s="1">
        <f>DATE(2011,12,10) + TIME(21,20,41)</f>
        <v>40887.889363425929</v>
      </c>
      <c r="C641">
        <v>80</v>
      </c>
      <c r="D641">
        <v>75.594299316000004</v>
      </c>
      <c r="E641">
        <v>50</v>
      </c>
      <c r="F641">
        <v>49.852485657000003</v>
      </c>
      <c r="G641">
        <v>1326.1262207</v>
      </c>
      <c r="H641">
        <v>1323.6063231999999</v>
      </c>
      <c r="I641">
        <v>1345.0195312000001</v>
      </c>
      <c r="J641">
        <v>1339.996582</v>
      </c>
      <c r="K641">
        <v>0</v>
      </c>
      <c r="L641">
        <v>550</v>
      </c>
      <c r="M641">
        <v>550</v>
      </c>
      <c r="N641">
        <v>0</v>
      </c>
    </row>
    <row r="642" spans="1:14" x14ac:dyDescent="0.25">
      <c r="A642">
        <v>590.72868200000005</v>
      </c>
      <c r="B642" s="1">
        <f>DATE(2011,12,12) + TIME(17,29,18)</f>
        <v>40889.728680555556</v>
      </c>
      <c r="C642">
        <v>80</v>
      </c>
      <c r="D642">
        <v>75.446975707999997</v>
      </c>
      <c r="E642">
        <v>50</v>
      </c>
      <c r="F642">
        <v>49.853076934999997</v>
      </c>
      <c r="G642">
        <v>1326.0692139</v>
      </c>
      <c r="H642">
        <v>1323.5289307</v>
      </c>
      <c r="I642">
        <v>1345.0098877</v>
      </c>
      <c r="J642">
        <v>1339.9874268000001</v>
      </c>
      <c r="K642">
        <v>0</v>
      </c>
      <c r="L642">
        <v>550</v>
      </c>
      <c r="M642">
        <v>550</v>
      </c>
      <c r="N642">
        <v>0</v>
      </c>
    </row>
    <row r="643" spans="1:14" x14ac:dyDescent="0.25">
      <c r="A643">
        <v>592.62269400000002</v>
      </c>
      <c r="B643" s="1">
        <f>DATE(2011,12,14) + TIME(14,56,40)</f>
        <v>40891.622685185182</v>
      </c>
      <c r="C643">
        <v>80</v>
      </c>
      <c r="D643">
        <v>75.297271729000002</v>
      </c>
      <c r="E643">
        <v>50</v>
      </c>
      <c r="F643">
        <v>49.853630066000001</v>
      </c>
      <c r="G643">
        <v>1326.010376</v>
      </c>
      <c r="H643">
        <v>1323.4488524999999</v>
      </c>
      <c r="I643">
        <v>1345.0004882999999</v>
      </c>
      <c r="J643">
        <v>1339.9786377</v>
      </c>
      <c r="K643">
        <v>0</v>
      </c>
      <c r="L643">
        <v>550</v>
      </c>
      <c r="M643">
        <v>550</v>
      </c>
      <c r="N643">
        <v>0</v>
      </c>
    </row>
    <row r="644" spans="1:14" x14ac:dyDescent="0.25">
      <c r="A644">
        <v>594.57565999999997</v>
      </c>
      <c r="B644" s="1">
        <f>DATE(2011,12,16) + TIME(13,48,57)</f>
        <v>40893.575659722221</v>
      </c>
      <c r="C644">
        <v>80</v>
      </c>
      <c r="D644">
        <v>75.145034789999997</v>
      </c>
      <c r="E644">
        <v>50</v>
      </c>
      <c r="F644">
        <v>49.854156494000001</v>
      </c>
      <c r="G644">
        <v>1325.9495850000001</v>
      </c>
      <c r="H644">
        <v>1323.3660889</v>
      </c>
      <c r="I644">
        <v>1344.9913329999999</v>
      </c>
      <c r="J644">
        <v>1339.9698486</v>
      </c>
      <c r="K644">
        <v>0</v>
      </c>
      <c r="L644">
        <v>550</v>
      </c>
      <c r="M644">
        <v>550</v>
      </c>
      <c r="N644">
        <v>0</v>
      </c>
    </row>
    <row r="645" spans="1:14" x14ac:dyDescent="0.25">
      <c r="A645">
        <v>596.59214599999996</v>
      </c>
      <c r="B645" s="1">
        <f>DATE(2011,12,18) + TIME(14,12,41)</f>
        <v>40895.592141203706</v>
      </c>
      <c r="C645">
        <v>80</v>
      </c>
      <c r="D645">
        <v>74.989997864000003</v>
      </c>
      <c r="E645">
        <v>50</v>
      </c>
      <c r="F645">
        <v>49.854656218999999</v>
      </c>
      <c r="G645">
        <v>1325.8869629000001</v>
      </c>
      <c r="H645">
        <v>1323.2806396000001</v>
      </c>
      <c r="I645">
        <v>1344.9822998</v>
      </c>
      <c r="J645">
        <v>1339.9611815999999</v>
      </c>
      <c r="K645">
        <v>0</v>
      </c>
      <c r="L645">
        <v>550</v>
      </c>
      <c r="M645">
        <v>550</v>
      </c>
      <c r="N645">
        <v>0</v>
      </c>
    </row>
    <row r="646" spans="1:14" x14ac:dyDescent="0.25">
      <c r="A646">
        <v>598.67707399999995</v>
      </c>
      <c r="B646" s="1">
        <f>DATE(2011,12,20) + TIME(16,14,59)</f>
        <v>40897.677071759259</v>
      </c>
      <c r="C646">
        <v>80</v>
      </c>
      <c r="D646">
        <v>74.831741332999997</v>
      </c>
      <c r="E646">
        <v>50</v>
      </c>
      <c r="F646">
        <v>49.855136870999999</v>
      </c>
      <c r="G646">
        <v>1325.8221435999999</v>
      </c>
      <c r="H646">
        <v>1323.1920166</v>
      </c>
      <c r="I646">
        <v>1344.9733887</v>
      </c>
      <c r="J646">
        <v>1339.9527588000001</v>
      </c>
      <c r="K646">
        <v>0</v>
      </c>
      <c r="L646">
        <v>550</v>
      </c>
      <c r="M646">
        <v>550</v>
      </c>
      <c r="N646">
        <v>0</v>
      </c>
    </row>
    <row r="647" spans="1:14" x14ac:dyDescent="0.25">
      <c r="A647">
        <v>600.83495500000004</v>
      </c>
      <c r="B647" s="1">
        <f>DATE(2011,12,22) + TIME(20,2,20)</f>
        <v>40899.834953703707</v>
      </c>
      <c r="C647">
        <v>80</v>
      </c>
      <c r="D647">
        <v>74.670066833000007</v>
      </c>
      <c r="E647">
        <v>50</v>
      </c>
      <c r="F647">
        <v>49.855602263999998</v>
      </c>
      <c r="G647">
        <v>1325.7550048999999</v>
      </c>
      <c r="H647">
        <v>1323.1002197</v>
      </c>
      <c r="I647">
        <v>1344.9645995999999</v>
      </c>
      <c r="J647">
        <v>1339.9443358999999</v>
      </c>
      <c r="K647">
        <v>0</v>
      </c>
      <c r="L647">
        <v>550</v>
      </c>
      <c r="M647">
        <v>550</v>
      </c>
      <c r="N647">
        <v>0</v>
      </c>
    </row>
    <row r="648" spans="1:14" x14ac:dyDescent="0.25">
      <c r="A648">
        <v>603.07202099999995</v>
      </c>
      <c r="B648" s="1">
        <f>DATE(2011,12,25) + TIME(1,43,42)</f>
        <v>40902.072013888886</v>
      </c>
      <c r="C648">
        <v>80</v>
      </c>
      <c r="D648">
        <v>74.504554748999993</v>
      </c>
      <c r="E648">
        <v>50</v>
      </c>
      <c r="F648">
        <v>49.856060028000002</v>
      </c>
      <c r="G648">
        <v>1325.6854248</v>
      </c>
      <c r="H648">
        <v>1323.0051269999999</v>
      </c>
      <c r="I648">
        <v>1344.9559326000001</v>
      </c>
      <c r="J648">
        <v>1339.9360352000001</v>
      </c>
      <c r="K648">
        <v>0</v>
      </c>
      <c r="L648">
        <v>550</v>
      </c>
      <c r="M648">
        <v>550</v>
      </c>
      <c r="N648">
        <v>0</v>
      </c>
    </row>
    <row r="649" spans="1:14" x14ac:dyDescent="0.25">
      <c r="A649">
        <v>605.39466100000004</v>
      </c>
      <c r="B649" s="1">
        <f>DATE(2011,12,27) + TIME(9,28,18)</f>
        <v>40904.394652777781</v>
      </c>
      <c r="C649">
        <v>80</v>
      </c>
      <c r="D649">
        <v>74.334732056000007</v>
      </c>
      <c r="E649">
        <v>50</v>
      </c>
      <c r="F649">
        <v>49.856506348000003</v>
      </c>
      <c r="G649">
        <v>1325.6132812000001</v>
      </c>
      <c r="H649">
        <v>1322.9061279</v>
      </c>
      <c r="I649">
        <v>1344.9473877</v>
      </c>
      <c r="J649">
        <v>1339.9278564000001</v>
      </c>
      <c r="K649">
        <v>0</v>
      </c>
      <c r="L649">
        <v>550</v>
      </c>
      <c r="M649">
        <v>550</v>
      </c>
      <c r="N649">
        <v>0</v>
      </c>
    </row>
    <row r="650" spans="1:14" x14ac:dyDescent="0.25">
      <c r="A650">
        <v>607.79423399999996</v>
      </c>
      <c r="B650" s="1">
        <f>DATE(2011,12,29) + TIME(19,3,41)</f>
        <v>40906.794224537036</v>
      </c>
      <c r="C650">
        <v>80</v>
      </c>
      <c r="D650">
        <v>74.16078186</v>
      </c>
      <c r="E650">
        <v>50</v>
      </c>
      <c r="F650">
        <v>49.856948852999999</v>
      </c>
      <c r="G650">
        <v>1325.5383300999999</v>
      </c>
      <c r="H650">
        <v>1322.8033447</v>
      </c>
      <c r="I650">
        <v>1344.9388428</v>
      </c>
      <c r="J650">
        <v>1339.9196777</v>
      </c>
      <c r="K650">
        <v>0</v>
      </c>
      <c r="L650">
        <v>550</v>
      </c>
      <c r="M650">
        <v>550</v>
      </c>
      <c r="N650">
        <v>0</v>
      </c>
    </row>
    <row r="651" spans="1:14" x14ac:dyDescent="0.25">
      <c r="A651">
        <v>610</v>
      </c>
      <c r="B651" s="1">
        <f>DATE(2012,1,1) + TIME(0,0,0)</f>
        <v>40909</v>
      </c>
      <c r="C651">
        <v>80</v>
      </c>
      <c r="D651">
        <v>73.995140075999998</v>
      </c>
      <c r="E651">
        <v>50</v>
      </c>
      <c r="F651">
        <v>49.857337952000002</v>
      </c>
      <c r="G651">
        <v>1325.4617920000001</v>
      </c>
      <c r="H651">
        <v>1322.6986084</v>
      </c>
      <c r="I651">
        <v>1344.9302978999999</v>
      </c>
      <c r="J651">
        <v>1339.911499</v>
      </c>
      <c r="K651">
        <v>0</v>
      </c>
      <c r="L651">
        <v>550</v>
      </c>
      <c r="M651">
        <v>550</v>
      </c>
      <c r="N651">
        <v>0</v>
      </c>
    </row>
    <row r="652" spans="1:14" x14ac:dyDescent="0.25">
      <c r="A652">
        <v>612.45860400000004</v>
      </c>
      <c r="B652" s="1">
        <f>DATE(2012,1,3) + TIME(11,0,23)</f>
        <v>40911.458599537036</v>
      </c>
      <c r="C652">
        <v>80</v>
      </c>
      <c r="D652">
        <v>73.819305420000006</v>
      </c>
      <c r="E652">
        <v>50</v>
      </c>
      <c r="F652">
        <v>49.857753754000001</v>
      </c>
      <c r="G652">
        <v>1325.3885498</v>
      </c>
      <c r="H652">
        <v>1322.5969238</v>
      </c>
      <c r="I652">
        <v>1344.9229736</v>
      </c>
      <c r="J652">
        <v>1339.9044189000001</v>
      </c>
      <c r="K652">
        <v>0</v>
      </c>
      <c r="L652">
        <v>550</v>
      </c>
      <c r="M652">
        <v>550</v>
      </c>
      <c r="N652">
        <v>0</v>
      </c>
    </row>
    <row r="653" spans="1:14" x14ac:dyDescent="0.25">
      <c r="A653">
        <v>615.04491900000005</v>
      </c>
      <c r="B653" s="1">
        <f>DATE(2012,1,6) + TIME(1,4,41)</f>
        <v>40914.044918981483</v>
      </c>
      <c r="C653">
        <v>80</v>
      </c>
      <c r="D653">
        <v>73.636489867999998</v>
      </c>
      <c r="E653">
        <v>50</v>
      </c>
      <c r="F653">
        <v>49.858177185000002</v>
      </c>
      <c r="G653">
        <v>1325.3089600000001</v>
      </c>
      <c r="H653">
        <v>1322.4873047000001</v>
      </c>
      <c r="I653">
        <v>1344.9150391000001</v>
      </c>
      <c r="J653">
        <v>1339.8968506000001</v>
      </c>
      <c r="K653">
        <v>0</v>
      </c>
      <c r="L653">
        <v>550</v>
      </c>
      <c r="M653">
        <v>550</v>
      </c>
      <c r="N653">
        <v>0</v>
      </c>
    </row>
    <row r="654" spans="1:14" x14ac:dyDescent="0.25">
      <c r="A654">
        <v>617.705331</v>
      </c>
      <c r="B654" s="1">
        <f>DATE(2012,1,8) + TIME(16,55,40)</f>
        <v>40916.705324074072</v>
      </c>
      <c r="C654">
        <v>80</v>
      </c>
      <c r="D654">
        <v>73.448158264</v>
      </c>
      <c r="E654">
        <v>50</v>
      </c>
      <c r="F654">
        <v>49.858600615999997</v>
      </c>
      <c r="G654">
        <v>1325.2257079999999</v>
      </c>
      <c r="H654">
        <v>1322.3724365</v>
      </c>
      <c r="I654">
        <v>1344.9071045000001</v>
      </c>
      <c r="J654">
        <v>1339.8892822</v>
      </c>
      <c r="K654">
        <v>0</v>
      </c>
      <c r="L654">
        <v>550</v>
      </c>
      <c r="M654">
        <v>550</v>
      </c>
      <c r="N654">
        <v>0</v>
      </c>
    </row>
    <row r="655" spans="1:14" x14ac:dyDescent="0.25">
      <c r="A655">
        <v>620.44756299999995</v>
      </c>
      <c r="B655" s="1">
        <f>DATE(2012,1,11) + TIME(10,44,29)</f>
        <v>40919.447557870371</v>
      </c>
      <c r="C655">
        <v>80</v>
      </c>
      <c r="D655">
        <v>73.253898621000005</v>
      </c>
      <c r="E655">
        <v>50</v>
      </c>
      <c r="F655">
        <v>49.859024048000002</v>
      </c>
      <c r="G655">
        <v>1325.1398925999999</v>
      </c>
      <c r="H655">
        <v>1322.2536620999999</v>
      </c>
      <c r="I655">
        <v>1344.8991699000001</v>
      </c>
      <c r="J655">
        <v>1339.8817139</v>
      </c>
      <c r="K655">
        <v>0</v>
      </c>
      <c r="L655">
        <v>550</v>
      </c>
      <c r="M655">
        <v>550</v>
      </c>
      <c r="N655">
        <v>0</v>
      </c>
    </row>
    <row r="656" spans="1:14" x14ac:dyDescent="0.25">
      <c r="A656">
        <v>623.27815999999996</v>
      </c>
      <c r="B656" s="1">
        <f>DATE(2012,1,14) + TIME(6,40,33)</f>
        <v>40922.27815972222</v>
      </c>
      <c r="C656">
        <v>80</v>
      </c>
      <c r="D656">
        <v>73.053100585999999</v>
      </c>
      <c r="E656">
        <v>50</v>
      </c>
      <c r="F656">
        <v>49.859451294000003</v>
      </c>
      <c r="G656">
        <v>1325.0513916</v>
      </c>
      <c r="H656">
        <v>1322.1311035000001</v>
      </c>
      <c r="I656">
        <v>1344.8912353999999</v>
      </c>
      <c r="J656">
        <v>1339.8743896000001</v>
      </c>
      <c r="K656">
        <v>0</v>
      </c>
      <c r="L656">
        <v>550</v>
      </c>
      <c r="M656">
        <v>550</v>
      </c>
      <c r="N656">
        <v>0</v>
      </c>
    </row>
    <row r="657" spans="1:14" x14ac:dyDescent="0.25">
      <c r="A657">
        <v>626.18697399999996</v>
      </c>
      <c r="B657" s="1">
        <f>DATE(2012,1,17) + TIME(4,29,14)</f>
        <v>40925.186967592592</v>
      </c>
      <c r="C657">
        <v>80</v>
      </c>
      <c r="D657">
        <v>72.845664978000002</v>
      </c>
      <c r="E657">
        <v>50</v>
      </c>
      <c r="F657">
        <v>49.859878539999997</v>
      </c>
      <c r="G657">
        <v>1324.9602050999999</v>
      </c>
      <c r="H657">
        <v>1322.0043945</v>
      </c>
      <c r="I657">
        <v>1344.8834228999999</v>
      </c>
      <c r="J657">
        <v>1339.8669434000001</v>
      </c>
      <c r="K657">
        <v>0</v>
      </c>
      <c r="L657">
        <v>550</v>
      </c>
      <c r="M657">
        <v>550</v>
      </c>
      <c r="N657">
        <v>0</v>
      </c>
    </row>
    <row r="658" spans="1:14" x14ac:dyDescent="0.25">
      <c r="A658">
        <v>629.16805999999997</v>
      </c>
      <c r="B658" s="1">
        <f>DATE(2012,1,20) + TIME(4,2,0)</f>
        <v>40928.168055555558</v>
      </c>
      <c r="C658">
        <v>80</v>
      </c>
      <c r="D658">
        <v>72.631385803000001</v>
      </c>
      <c r="E658">
        <v>50</v>
      </c>
      <c r="F658">
        <v>49.860305785999998</v>
      </c>
      <c r="G658">
        <v>1324.8664550999999</v>
      </c>
      <c r="H658">
        <v>1321.8740233999999</v>
      </c>
      <c r="I658">
        <v>1344.8756103999999</v>
      </c>
      <c r="J658">
        <v>1339.8597411999999</v>
      </c>
      <c r="K658">
        <v>0</v>
      </c>
      <c r="L658">
        <v>550</v>
      </c>
      <c r="M658">
        <v>550</v>
      </c>
      <c r="N658">
        <v>0</v>
      </c>
    </row>
    <row r="659" spans="1:14" x14ac:dyDescent="0.25">
      <c r="A659">
        <v>632.22895200000005</v>
      </c>
      <c r="B659" s="1">
        <f>DATE(2012,1,23) + TIME(5,29,41)</f>
        <v>40931.228946759256</v>
      </c>
      <c r="C659">
        <v>80</v>
      </c>
      <c r="D659">
        <v>72.409484863000003</v>
      </c>
      <c r="E659">
        <v>50</v>
      </c>
      <c r="F659">
        <v>49.860736846999998</v>
      </c>
      <c r="G659">
        <v>1324.7705077999999</v>
      </c>
      <c r="H659">
        <v>1321.7402344</v>
      </c>
      <c r="I659">
        <v>1344.8679199000001</v>
      </c>
      <c r="J659">
        <v>1339.8526611</v>
      </c>
      <c r="K659">
        <v>0</v>
      </c>
      <c r="L659">
        <v>550</v>
      </c>
      <c r="M659">
        <v>550</v>
      </c>
      <c r="N659">
        <v>0</v>
      </c>
    </row>
    <row r="660" spans="1:14" x14ac:dyDescent="0.25">
      <c r="A660">
        <v>635.37739899999997</v>
      </c>
      <c r="B660" s="1">
        <f>DATE(2012,1,26) + TIME(9,3,27)</f>
        <v>40934.377395833333</v>
      </c>
      <c r="C660">
        <v>80</v>
      </c>
      <c r="D660">
        <v>72.178970336999996</v>
      </c>
      <c r="E660">
        <v>50</v>
      </c>
      <c r="F660">
        <v>49.861171722000002</v>
      </c>
      <c r="G660">
        <v>1324.6722411999999</v>
      </c>
      <c r="H660">
        <v>1321.6027832</v>
      </c>
      <c r="I660">
        <v>1344.8602295000001</v>
      </c>
      <c r="J660">
        <v>1339.8457031</v>
      </c>
      <c r="K660">
        <v>0</v>
      </c>
      <c r="L660">
        <v>550</v>
      </c>
      <c r="M660">
        <v>550</v>
      </c>
      <c r="N660">
        <v>0</v>
      </c>
    </row>
    <row r="661" spans="1:14" x14ac:dyDescent="0.25">
      <c r="A661">
        <v>638.61815000000001</v>
      </c>
      <c r="B661" s="1">
        <f>DATE(2012,1,29) + TIME(14,50,8)</f>
        <v>40937.618148148147</v>
      </c>
      <c r="C661">
        <v>80</v>
      </c>
      <c r="D661">
        <v>71.938735961999996</v>
      </c>
      <c r="E661">
        <v>50</v>
      </c>
      <c r="F661">
        <v>49.861610413000001</v>
      </c>
      <c r="G661">
        <v>1324.5714111</v>
      </c>
      <c r="H661">
        <v>1321.4615478999999</v>
      </c>
      <c r="I661">
        <v>1344.8525391000001</v>
      </c>
      <c r="J661">
        <v>1339.8387451000001</v>
      </c>
      <c r="K661">
        <v>0</v>
      </c>
      <c r="L661">
        <v>550</v>
      </c>
      <c r="M661">
        <v>550</v>
      </c>
      <c r="N661">
        <v>0</v>
      </c>
    </row>
    <row r="662" spans="1:14" x14ac:dyDescent="0.25">
      <c r="A662">
        <v>641</v>
      </c>
      <c r="B662" s="1">
        <f>DATE(2012,2,1) + TIME(0,0,0)</f>
        <v>40940</v>
      </c>
      <c r="C662">
        <v>80</v>
      </c>
      <c r="D662">
        <v>71.731277465999995</v>
      </c>
      <c r="E662">
        <v>50</v>
      </c>
      <c r="F662">
        <v>49.861923218000001</v>
      </c>
      <c r="G662">
        <v>1324.4708252</v>
      </c>
      <c r="H662">
        <v>1321.3225098</v>
      </c>
      <c r="I662">
        <v>1344.8446045000001</v>
      </c>
      <c r="J662">
        <v>1339.8317870999999</v>
      </c>
      <c r="K662">
        <v>0</v>
      </c>
      <c r="L662">
        <v>550</v>
      </c>
      <c r="M662">
        <v>550</v>
      </c>
      <c r="N662">
        <v>0</v>
      </c>
    </row>
    <row r="663" spans="1:14" x14ac:dyDescent="0.25">
      <c r="A663">
        <v>644.31803000000002</v>
      </c>
      <c r="B663" s="1">
        <f>DATE(2012,2,4) + TIME(7,37,57)</f>
        <v>40943.318020833336</v>
      </c>
      <c r="C663">
        <v>80</v>
      </c>
      <c r="D663">
        <v>71.488540649000001</v>
      </c>
      <c r="E663">
        <v>50</v>
      </c>
      <c r="F663">
        <v>49.862361907999997</v>
      </c>
      <c r="G663">
        <v>1324.3875731999999</v>
      </c>
      <c r="H663">
        <v>1321.2015381000001</v>
      </c>
      <c r="I663">
        <v>1344.8394774999999</v>
      </c>
      <c r="J663">
        <v>1339.8270264</v>
      </c>
      <c r="K663">
        <v>0</v>
      </c>
      <c r="L663">
        <v>550</v>
      </c>
      <c r="M663">
        <v>550</v>
      </c>
      <c r="N663">
        <v>0</v>
      </c>
    </row>
    <row r="664" spans="1:14" x14ac:dyDescent="0.25">
      <c r="A664">
        <v>647.76247000000001</v>
      </c>
      <c r="B664" s="1">
        <f>DATE(2012,2,7) + TIME(18,17,57)</f>
        <v>40946.762465277781</v>
      </c>
      <c r="C664">
        <v>80</v>
      </c>
      <c r="D664">
        <v>71.227378845000004</v>
      </c>
      <c r="E664">
        <v>50</v>
      </c>
      <c r="F664">
        <v>49.862808227999999</v>
      </c>
      <c r="G664">
        <v>1324.284668</v>
      </c>
      <c r="H664">
        <v>1321.0568848</v>
      </c>
      <c r="I664">
        <v>1344.8319091999999</v>
      </c>
      <c r="J664">
        <v>1339.8204346</v>
      </c>
      <c r="K664">
        <v>0</v>
      </c>
      <c r="L664">
        <v>550</v>
      </c>
      <c r="M664">
        <v>550</v>
      </c>
      <c r="N664">
        <v>0</v>
      </c>
    </row>
    <row r="665" spans="1:14" x14ac:dyDescent="0.25">
      <c r="A665">
        <v>651.29169200000001</v>
      </c>
      <c r="B665" s="1">
        <f>DATE(2012,2,11) + TIME(7,0,2)</f>
        <v>40950.291689814818</v>
      </c>
      <c r="C665">
        <v>80</v>
      </c>
      <c r="D665">
        <v>70.949943542</v>
      </c>
      <c r="E665">
        <v>50</v>
      </c>
      <c r="F665">
        <v>49.863254546999997</v>
      </c>
      <c r="G665">
        <v>1324.1776123</v>
      </c>
      <c r="H665">
        <v>1320.9060059000001</v>
      </c>
      <c r="I665">
        <v>1344.8242187999999</v>
      </c>
      <c r="J665">
        <v>1339.8139647999999</v>
      </c>
      <c r="K665">
        <v>0</v>
      </c>
      <c r="L665">
        <v>550</v>
      </c>
      <c r="M665">
        <v>550</v>
      </c>
      <c r="N665">
        <v>0</v>
      </c>
    </row>
    <row r="666" spans="1:14" x14ac:dyDescent="0.25">
      <c r="A666">
        <v>654.91700500000002</v>
      </c>
      <c r="B666" s="1">
        <f>DATE(2012,2,14) + TIME(22,0,29)</f>
        <v>40953.917002314818</v>
      </c>
      <c r="C666">
        <v>80</v>
      </c>
      <c r="D666">
        <v>70.656509399000001</v>
      </c>
      <c r="E666">
        <v>50</v>
      </c>
      <c r="F666">
        <v>49.863704681000002</v>
      </c>
      <c r="G666">
        <v>1324.0679932</v>
      </c>
      <c r="H666">
        <v>1320.7506103999999</v>
      </c>
      <c r="I666">
        <v>1344.8164062000001</v>
      </c>
      <c r="J666">
        <v>1339.8074951000001</v>
      </c>
      <c r="K666">
        <v>0</v>
      </c>
      <c r="L666">
        <v>550</v>
      </c>
      <c r="M666">
        <v>550</v>
      </c>
      <c r="N666">
        <v>0</v>
      </c>
    </row>
    <row r="667" spans="1:14" x14ac:dyDescent="0.25">
      <c r="A667">
        <v>658.64921200000003</v>
      </c>
      <c r="B667" s="1">
        <f>DATE(2012,2,18) + TIME(15,34,51)</f>
        <v>40957.649201388886</v>
      </c>
      <c r="C667">
        <v>80</v>
      </c>
      <c r="D667">
        <v>70.346343993999994</v>
      </c>
      <c r="E667">
        <v>50</v>
      </c>
      <c r="F667">
        <v>49.864162444999998</v>
      </c>
      <c r="G667">
        <v>1323.9560547000001</v>
      </c>
      <c r="H667">
        <v>1320.5911865</v>
      </c>
      <c r="I667">
        <v>1344.8085937999999</v>
      </c>
      <c r="J667">
        <v>1339.8010254000001</v>
      </c>
      <c r="K667">
        <v>0</v>
      </c>
      <c r="L667">
        <v>550</v>
      </c>
      <c r="M667">
        <v>550</v>
      </c>
      <c r="N667">
        <v>0</v>
      </c>
    </row>
    <row r="668" spans="1:14" x14ac:dyDescent="0.25">
      <c r="A668">
        <v>662.49069099999997</v>
      </c>
      <c r="B668" s="1">
        <f>DATE(2012,2,22) + TIME(11,46,35)</f>
        <v>40961.490682870368</v>
      </c>
      <c r="C668">
        <v>80</v>
      </c>
      <c r="D668">
        <v>70.018371582</v>
      </c>
      <c r="E668">
        <v>50</v>
      </c>
      <c r="F668">
        <v>49.864624022999998</v>
      </c>
      <c r="G668">
        <v>1323.8416748</v>
      </c>
      <c r="H668">
        <v>1320.4278564000001</v>
      </c>
      <c r="I668">
        <v>1344.8007812000001</v>
      </c>
      <c r="J668">
        <v>1339.7945557</v>
      </c>
      <c r="K668">
        <v>0</v>
      </c>
      <c r="L668">
        <v>550</v>
      </c>
      <c r="M668">
        <v>550</v>
      </c>
      <c r="N668">
        <v>0</v>
      </c>
    </row>
    <row r="669" spans="1:14" x14ac:dyDescent="0.25">
      <c r="A669">
        <v>666.42499199999997</v>
      </c>
      <c r="B669" s="1">
        <f>DATE(2012,2,26) + TIME(10,11,59)</f>
        <v>40965.424988425926</v>
      </c>
      <c r="C669">
        <v>80</v>
      </c>
      <c r="D669">
        <v>69.671806334999999</v>
      </c>
      <c r="E669">
        <v>50</v>
      </c>
      <c r="F669">
        <v>49.865089417</v>
      </c>
      <c r="G669">
        <v>1323.7250977000001</v>
      </c>
      <c r="H669">
        <v>1320.2608643000001</v>
      </c>
      <c r="I669">
        <v>1344.7927245999999</v>
      </c>
      <c r="J669">
        <v>1339.7880858999999</v>
      </c>
      <c r="K669">
        <v>0</v>
      </c>
      <c r="L669">
        <v>550</v>
      </c>
      <c r="M669">
        <v>550</v>
      </c>
      <c r="N669">
        <v>0</v>
      </c>
    </row>
    <row r="670" spans="1:14" x14ac:dyDescent="0.25">
      <c r="A670">
        <v>670</v>
      </c>
      <c r="B670" s="1">
        <f>DATE(2012,3,1) + TIME(0,0,0)</f>
        <v>40969</v>
      </c>
      <c r="C670">
        <v>80</v>
      </c>
      <c r="D670">
        <v>69.326400757000002</v>
      </c>
      <c r="E670">
        <v>50</v>
      </c>
      <c r="F670">
        <v>49.865501404</v>
      </c>
      <c r="G670">
        <v>1323.6079102000001</v>
      </c>
      <c r="H670">
        <v>1320.0935059000001</v>
      </c>
      <c r="I670">
        <v>1344.7844238</v>
      </c>
      <c r="J670">
        <v>1339.7816161999999</v>
      </c>
      <c r="K670">
        <v>0</v>
      </c>
      <c r="L670">
        <v>550</v>
      </c>
      <c r="M670">
        <v>550</v>
      </c>
      <c r="N670">
        <v>0</v>
      </c>
    </row>
    <row r="671" spans="1:14" x14ac:dyDescent="0.25">
      <c r="A671">
        <v>674.02793599999995</v>
      </c>
      <c r="B671" s="1">
        <f>DATE(2012,3,5) + TIME(0,40,13)</f>
        <v>40973.027928240743</v>
      </c>
      <c r="C671">
        <v>80</v>
      </c>
      <c r="D671">
        <v>68.958389281999999</v>
      </c>
      <c r="E671">
        <v>50</v>
      </c>
      <c r="F671">
        <v>49.865962981999999</v>
      </c>
      <c r="G671">
        <v>1323.4984131000001</v>
      </c>
      <c r="H671">
        <v>1319.9332274999999</v>
      </c>
      <c r="I671">
        <v>1344.7772216999999</v>
      </c>
      <c r="J671">
        <v>1339.776001</v>
      </c>
      <c r="K671">
        <v>0</v>
      </c>
      <c r="L671">
        <v>550</v>
      </c>
      <c r="M671">
        <v>550</v>
      </c>
      <c r="N671">
        <v>0</v>
      </c>
    </row>
    <row r="672" spans="1:14" x14ac:dyDescent="0.25">
      <c r="A672">
        <v>678.27118499999995</v>
      </c>
      <c r="B672" s="1">
        <f>DATE(2012,3,9) + TIME(6,30,30)</f>
        <v>40977.271180555559</v>
      </c>
      <c r="C672">
        <v>80</v>
      </c>
      <c r="D672">
        <v>68.561653136999993</v>
      </c>
      <c r="E672">
        <v>50</v>
      </c>
      <c r="F672">
        <v>49.866439819</v>
      </c>
      <c r="G672">
        <v>1323.3812256000001</v>
      </c>
      <c r="H672">
        <v>1319.7635498</v>
      </c>
      <c r="I672">
        <v>1344.769043</v>
      </c>
      <c r="J672">
        <v>1339.7697754000001</v>
      </c>
      <c r="K672">
        <v>0</v>
      </c>
      <c r="L672">
        <v>550</v>
      </c>
      <c r="M672">
        <v>550</v>
      </c>
      <c r="N672">
        <v>0</v>
      </c>
    </row>
    <row r="673" spans="1:14" x14ac:dyDescent="0.25">
      <c r="A673">
        <v>682.62223200000005</v>
      </c>
      <c r="B673" s="1">
        <f>DATE(2012,3,13) + TIME(14,56,0)</f>
        <v>40981.62222222222</v>
      </c>
      <c r="C673">
        <v>80</v>
      </c>
      <c r="D673">
        <v>68.138061523000005</v>
      </c>
      <c r="E673">
        <v>50</v>
      </c>
      <c r="F673">
        <v>49.866920471</v>
      </c>
      <c r="G673">
        <v>1323.2601318</v>
      </c>
      <c r="H673">
        <v>1319.5877685999999</v>
      </c>
      <c r="I673">
        <v>1344.760376</v>
      </c>
      <c r="J673">
        <v>1339.7633057</v>
      </c>
      <c r="K673">
        <v>0</v>
      </c>
      <c r="L673">
        <v>550</v>
      </c>
      <c r="M673">
        <v>550</v>
      </c>
      <c r="N673">
        <v>0</v>
      </c>
    </row>
    <row r="674" spans="1:14" x14ac:dyDescent="0.25">
      <c r="A674">
        <v>687.09612300000003</v>
      </c>
      <c r="B674" s="1">
        <f>DATE(2012,3,18) + TIME(2,18,25)</f>
        <v>40986.096122685187</v>
      </c>
      <c r="C674">
        <v>80</v>
      </c>
      <c r="D674">
        <v>67.689010620000005</v>
      </c>
      <c r="E674">
        <v>50</v>
      </c>
      <c r="F674">
        <v>49.867401123</v>
      </c>
      <c r="G674">
        <v>1323.1375731999999</v>
      </c>
      <c r="H674">
        <v>1319.4086914</v>
      </c>
      <c r="I674">
        <v>1344.7514647999999</v>
      </c>
      <c r="J674">
        <v>1339.7567139</v>
      </c>
      <c r="K674">
        <v>0</v>
      </c>
      <c r="L674">
        <v>550</v>
      </c>
      <c r="M674">
        <v>550</v>
      </c>
      <c r="N674">
        <v>0</v>
      </c>
    </row>
    <row r="675" spans="1:14" x14ac:dyDescent="0.25">
      <c r="A675">
        <v>691.69976499999996</v>
      </c>
      <c r="B675" s="1">
        <f>DATE(2012,3,22) + TIME(16,47,39)</f>
        <v>40990.699756944443</v>
      </c>
      <c r="C675">
        <v>80</v>
      </c>
      <c r="D675">
        <v>67.214485167999996</v>
      </c>
      <c r="E675">
        <v>50</v>
      </c>
      <c r="F675">
        <v>49.867889404000003</v>
      </c>
      <c r="G675">
        <v>1323.0137939000001</v>
      </c>
      <c r="H675">
        <v>1319.2269286999999</v>
      </c>
      <c r="I675">
        <v>1344.7424315999999</v>
      </c>
      <c r="J675">
        <v>1339.7501221</v>
      </c>
      <c r="K675">
        <v>0</v>
      </c>
      <c r="L675">
        <v>550</v>
      </c>
      <c r="M675">
        <v>550</v>
      </c>
      <c r="N675">
        <v>0</v>
      </c>
    </row>
    <row r="676" spans="1:14" x14ac:dyDescent="0.25">
      <c r="A676">
        <v>696.44009900000003</v>
      </c>
      <c r="B676" s="1">
        <f>DATE(2012,3,27) + TIME(10,33,44)</f>
        <v>40995.440092592595</v>
      </c>
      <c r="C676">
        <v>80</v>
      </c>
      <c r="D676">
        <v>66.714019774999997</v>
      </c>
      <c r="E676">
        <v>50</v>
      </c>
      <c r="F676">
        <v>49.868385314999998</v>
      </c>
      <c r="G676">
        <v>1322.8890381000001</v>
      </c>
      <c r="H676">
        <v>1319.0429687999999</v>
      </c>
      <c r="I676">
        <v>1344.7330322</v>
      </c>
      <c r="J676">
        <v>1339.7434082</v>
      </c>
      <c r="K676">
        <v>0</v>
      </c>
      <c r="L676">
        <v>550</v>
      </c>
      <c r="M676">
        <v>550</v>
      </c>
      <c r="N676">
        <v>0</v>
      </c>
    </row>
    <row r="677" spans="1:14" x14ac:dyDescent="0.25">
      <c r="A677">
        <v>701</v>
      </c>
      <c r="B677" s="1">
        <f>DATE(2012,4,1) + TIME(0,0,0)</f>
        <v>41000</v>
      </c>
      <c r="C677">
        <v>80</v>
      </c>
      <c r="D677">
        <v>66.201522827000005</v>
      </c>
      <c r="E677">
        <v>50</v>
      </c>
      <c r="F677">
        <v>49.868846892999997</v>
      </c>
      <c r="G677">
        <v>1322.7640381000001</v>
      </c>
      <c r="H677">
        <v>1318.8585204999999</v>
      </c>
      <c r="I677">
        <v>1344.7233887</v>
      </c>
      <c r="J677">
        <v>1339.7365723</v>
      </c>
      <c r="K677">
        <v>0</v>
      </c>
      <c r="L677">
        <v>550</v>
      </c>
      <c r="M677">
        <v>550</v>
      </c>
      <c r="N677">
        <v>0</v>
      </c>
    </row>
    <row r="678" spans="1:14" x14ac:dyDescent="0.25">
      <c r="A678">
        <v>705.86618399999998</v>
      </c>
      <c r="B678" s="1">
        <f>DATE(2012,4,5) + TIME(20,47,18)</f>
        <v>41004.866180555553</v>
      </c>
      <c r="C678">
        <v>80</v>
      </c>
      <c r="D678">
        <v>65.668647766000007</v>
      </c>
      <c r="E678">
        <v>50</v>
      </c>
      <c r="F678">
        <v>49.869338988999999</v>
      </c>
      <c r="G678">
        <v>1322.6445312000001</v>
      </c>
      <c r="H678">
        <v>1318.6790771000001</v>
      </c>
      <c r="I678">
        <v>1344.7139893000001</v>
      </c>
      <c r="J678">
        <v>1339.7299805</v>
      </c>
      <c r="K678">
        <v>0</v>
      </c>
      <c r="L678">
        <v>550</v>
      </c>
      <c r="M678">
        <v>550</v>
      </c>
      <c r="N678">
        <v>0</v>
      </c>
    </row>
    <row r="679" spans="1:14" x14ac:dyDescent="0.25">
      <c r="A679">
        <v>710.97817499999996</v>
      </c>
      <c r="B679" s="1">
        <f>DATE(2012,4,10) + TIME(23,28,34)</f>
        <v>41009.978171296294</v>
      </c>
      <c r="C679">
        <v>80</v>
      </c>
      <c r="D679">
        <v>65.104476929</v>
      </c>
      <c r="E679">
        <v>50</v>
      </c>
      <c r="F679">
        <v>49.869846344000003</v>
      </c>
      <c r="G679">
        <v>1322.5227050999999</v>
      </c>
      <c r="H679">
        <v>1318.4964600000001</v>
      </c>
      <c r="I679">
        <v>1344.7041016000001</v>
      </c>
      <c r="J679">
        <v>1339.7231445</v>
      </c>
      <c r="K679">
        <v>0</v>
      </c>
      <c r="L679">
        <v>550</v>
      </c>
      <c r="M679">
        <v>550</v>
      </c>
      <c r="N679">
        <v>0</v>
      </c>
    </row>
    <row r="680" spans="1:14" x14ac:dyDescent="0.25">
      <c r="A680">
        <v>716.23447599999997</v>
      </c>
      <c r="B680" s="1">
        <f>DATE(2012,4,16) + TIME(5,37,38)</f>
        <v>41015.234467592592</v>
      </c>
      <c r="C680">
        <v>80</v>
      </c>
      <c r="D680">
        <v>64.510360718000001</v>
      </c>
      <c r="E680">
        <v>50</v>
      </c>
      <c r="F680">
        <v>49.870353698999999</v>
      </c>
      <c r="G680">
        <v>1322.3991699000001</v>
      </c>
      <c r="H680">
        <v>1318.3106689000001</v>
      </c>
      <c r="I680">
        <v>1344.6934814000001</v>
      </c>
      <c r="J680">
        <v>1339.7158202999999</v>
      </c>
      <c r="K680">
        <v>0</v>
      </c>
      <c r="L680">
        <v>550</v>
      </c>
      <c r="M680">
        <v>550</v>
      </c>
      <c r="N680">
        <v>0</v>
      </c>
    </row>
    <row r="681" spans="1:14" x14ac:dyDescent="0.25">
      <c r="A681">
        <v>721.658051</v>
      </c>
      <c r="B681" s="1">
        <f>DATE(2012,4,21) + TIME(15,47,35)</f>
        <v>41020.658043981479</v>
      </c>
      <c r="C681">
        <v>80</v>
      </c>
      <c r="D681">
        <v>63.889396667</v>
      </c>
      <c r="E681">
        <v>50</v>
      </c>
      <c r="F681">
        <v>49.870868682999998</v>
      </c>
      <c r="G681">
        <v>1322.276001</v>
      </c>
      <c r="H681">
        <v>1318.1240233999999</v>
      </c>
      <c r="I681">
        <v>1344.6824951000001</v>
      </c>
      <c r="J681">
        <v>1339.708374</v>
      </c>
      <c r="K681">
        <v>0</v>
      </c>
      <c r="L681">
        <v>550</v>
      </c>
      <c r="M681">
        <v>550</v>
      </c>
      <c r="N681">
        <v>0</v>
      </c>
    </row>
    <row r="682" spans="1:14" x14ac:dyDescent="0.25">
      <c r="A682">
        <v>727.215193</v>
      </c>
      <c r="B682" s="1">
        <f>DATE(2012,4,27) + TIME(5,9,52)</f>
        <v>41026.215185185189</v>
      </c>
      <c r="C682">
        <v>80</v>
      </c>
      <c r="D682">
        <v>63.244537354000002</v>
      </c>
      <c r="E682">
        <v>50</v>
      </c>
      <c r="F682">
        <v>49.871387482000003</v>
      </c>
      <c r="G682">
        <v>1322.1534423999999</v>
      </c>
      <c r="H682">
        <v>1317.9375</v>
      </c>
      <c r="I682">
        <v>1344.6711425999999</v>
      </c>
      <c r="J682">
        <v>1339.7005615</v>
      </c>
      <c r="K682">
        <v>0</v>
      </c>
      <c r="L682">
        <v>550</v>
      </c>
      <c r="M682">
        <v>550</v>
      </c>
      <c r="N682">
        <v>0</v>
      </c>
    </row>
    <row r="683" spans="1:14" x14ac:dyDescent="0.25">
      <c r="A683">
        <v>731</v>
      </c>
      <c r="B683" s="1">
        <f>DATE(2012,5,1) + TIME(0,0,0)</f>
        <v>41030</v>
      </c>
      <c r="C683">
        <v>80</v>
      </c>
      <c r="D683">
        <v>62.679431915000002</v>
      </c>
      <c r="E683">
        <v>50</v>
      </c>
      <c r="F683">
        <v>49.87171936</v>
      </c>
      <c r="G683">
        <v>1322.0338135</v>
      </c>
      <c r="H683">
        <v>1317.7604980000001</v>
      </c>
      <c r="I683">
        <v>1344.6591797000001</v>
      </c>
      <c r="J683">
        <v>1339.6923827999999</v>
      </c>
      <c r="K683">
        <v>0</v>
      </c>
      <c r="L683">
        <v>550</v>
      </c>
      <c r="M683">
        <v>550</v>
      </c>
      <c r="N683">
        <v>0</v>
      </c>
    </row>
    <row r="684" spans="1:14" x14ac:dyDescent="0.25">
      <c r="A684">
        <v>731.000001</v>
      </c>
      <c r="B684" s="1">
        <f>DATE(2012,5,1) + TIME(0,0,0)</f>
        <v>41030</v>
      </c>
      <c r="C684">
        <v>80</v>
      </c>
      <c r="D684">
        <v>62.679473877</v>
      </c>
      <c r="E684">
        <v>50</v>
      </c>
      <c r="F684">
        <v>49.871692656999997</v>
      </c>
      <c r="G684">
        <v>1327.4982910000001</v>
      </c>
      <c r="H684">
        <v>1322.2954102000001</v>
      </c>
      <c r="I684">
        <v>1339.4923096</v>
      </c>
      <c r="J684">
        <v>1335.6685791</v>
      </c>
      <c r="K684">
        <v>550</v>
      </c>
      <c r="L684">
        <v>0</v>
      </c>
      <c r="M684">
        <v>0</v>
      </c>
      <c r="N684">
        <v>550</v>
      </c>
    </row>
    <row r="685" spans="1:14" x14ac:dyDescent="0.25">
      <c r="A685">
        <v>731.00000399999999</v>
      </c>
      <c r="B685" s="1">
        <f>DATE(2012,5,1) + TIME(0,0,0)</f>
        <v>41030</v>
      </c>
      <c r="C685">
        <v>80</v>
      </c>
      <c r="D685">
        <v>62.679580688000001</v>
      </c>
      <c r="E685">
        <v>50</v>
      </c>
      <c r="F685">
        <v>49.871623993</v>
      </c>
      <c r="G685">
        <v>1328.0635986</v>
      </c>
      <c r="H685">
        <v>1322.9700928</v>
      </c>
      <c r="I685">
        <v>1338.9582519999999</v>
      </c>
      <c r="J685">
        <v>1335.1339111</v>
      </c>
      <c r="K685">
        <v>550</v>
      </c>
      <c r="L685">
        <v>0</v>
      </c>
      <c r="M685">
        <v>0</v>
      </c>
      <c r="N685">
        <v>550</v>
      </c>
    </row>
    <row r="686" spans="1:14" x14ac:dyDescent="0.25">
      <c r="A686">
        <v>731.00001299999997</v>
      </c>
      <c r="B686" s="1">
        <f>DATE(2012,5,1) + TIME(0,0,1)</f>
        <v>41030.000011574077</v>
      </c>
      <c r="C686">
        <v>80</v>
      </c>
      <c r="D686">
        <v>62.679828643999997</v>
      </c>
      <c r="E686">
        <v>50</v>
      </c>
      <c r="F686">
        <v>49.871475220000001</v>
      </c>
      <c r="G686">
        <v>1329.3323975000001</v>
      </c>
      <c r="H686">
        <v>1324.3913574000001</v>
      </c>
      <c r="I686">
        <v>1337.7596435999999</v>
      </c>
      <c r="J686">
        <v>1333.9344481999999</v>
      </c>
      <c r="K686">
        <v>550</v>
      </c>
      <c r="L686">
        <v>0</v>
      </c>
      <c r="M686">
        <v>0</v>
      </c>
      <c r="N686">
        <v>550</v>
      </c>
    </row>
    <row r="687" spans="1:14" x14ac:dyDescent="0.25">
      <c r="A687">
        <v>731.00004000000001</v>
      </c>
      <c r="B687" s="1">
        <f>DATE(2012,5,1) + TIME(0,0,3)</f>
        <v>41030.000034722223</v>
      </c>
      <c r="C687">
        <v>80</v>
      </c>
      <c r="D687">
        <v>62.680305480999998</v>
      </c>
      <c r="E687">
        <v>50</v>
      </c>
      <c r="F687">
        <v>49.871219635000003</v>
      </c>
      <c r="G687">
        <v>1331.4868164</v>
      </c>
      <c r="H687">
        <v>1326.6164550999999</v>
      </c>
      <c r="I687">
        <v>1335.7551269999999</v>
      </c>
      <c r="J687">
        <v>1331.9296875</v>
      </c>
      <c r="K687">
        <v>550</v>
      </c>
      <c r="L687">
        <v>0</v>
      </c>
      <c r="M687">
        <v>0</v>
      </c>
      <c r="N687">
        <v>550</v>
      </c>
    </row>
    <row r="688" spans="1:14" x14ac:dyDescent="0.25">
      <c r="A688">
        <v>731.00012100000004</v>
      </c>
      <c r="B688" s="1">
        <f>DATE(2012,5,1) + TIME(0,0,10)</f>
        <v>41030.000115740739</v>
      </c>
      <c r="C688">
        <v>80</v>
      </c>
      <c r="D688">
        <v>62.681179047000001</v>
      </c>
      <c r="E688">
        <v>50</v>
      </c>
      <c r="F688">
        <v>49.870903015000003</v>
      </c>
      <c r="G688">
        <v>1334.1633300999999</v>
      </c>
      <c r="H688">
        <v>1329.2401123</v>
      </c>
      <c r="I688">
        <v>1333.2990723</v>
      </c>
      <c r="J688">
        <v>1329.4779053</v>
      </c>
      <c r="K688">
        <v>550</v>
      </c>
      <c r="L688">
        <v>0</v>
      </c>
      <c r="M688">
        <v>0</v>
      </c>
      <c r="N688">
        <v>550</v>
      </c>
    </row>
    <row r="689" spans="1:14" x14ac:dyDescent="0.25">
      <c r="A689">
        <v>731.00036399999999</v>
      </c>
      <c r="B689" s="1">
        <f>DATE(2012,5,1) + TIME(0,0,31)</f>
        <v>41030.000358796293</v>
      </c>
      <c r="C689">
        <v>80</v>
      </c>
      <c r="D689">
        <v>62.683155059999997</v>
      </c>
      <c r="E689">
        <v>50</v>
      </c>
      <c r="F689">
        <v>49.870552062999998</v>
      </c>
      <c r="G689">
        <v>1337.0113524999999</v>
      </c>
      <c r="H689">
        <v>1332.0084228999999</v>
      </c>
      <c r="I689">
        <v>1330.7519531</v>
      </c>
      <c r="J689">
        <v>1326.9273682</v>
      </c>
      <c r="K689">
        <v>550</v>
      </c>
      <c r="L689">
        <v>0</v>
      </c>
      <c r="M689">
        <v>0</v>
      </c>
      <c r="N689">
        <v>550</v>
      </c>
    </row>
    <row r="690" spans="1:14" x14ac:dyDescent="0.25">
      <c r="A690">
        <v>731.00109299999997</v>
      </c>
      <c r="B690" s="1">
        <f>DATE(2012,5,1) + TIME(0,1,34)</f>
        <v>41030.001087962963</v>
      </c>
      <c r="C690">
        <v>80</v>
      </c>
      <c r="D690">
        <v>62.688419342000003</v>
      </c>
      <c r="E690">
        <v>50</v>
      </c>
      <c r="F690">
        <v>49.870136260999999</v>
      </c>
      <c r="G690">
        <v>1339.8992920000001</v>
      </c>
      <c r="H690">
        <v>1334.8265381000001</v>
      </c>
      <c r="I690">
        <v>1328.190918</v>
      </c>
      <c r="J690">
        <v>1324.3221435999999</v>
      </c>
      <c r="K690">
        <v>550</v>
      </c>
      <c r="L690">
        <v>0</v>
      </c>
      <c r="M690">
        <v>0</v>
      </c>
      <c r="N690">
        <v>550</v>
      </c>
    </row>
    <row r="691" spans="1:14" x14ac:dyDescent="0.25">
      <c r="A691">
        <v>731.00328000000002</v>
      </c>
      <c r="B691" s="1">
        <f>DATE(2012,5,1) + TIME(0,4,43)</f>
        <v>41030.003275462965</v>
      </c>
      <c r="C691">
        <v>80</v>
      </c>
      <c r="D691">
        <v>62.703529357999997</v>
      </c>
      <c r="E691">
        <v>50</v>
      </c>
      <c r="F691">
        <v>49.869552612</v>
      </c>
      <c r="G691">
        <v>1342.5109863</v>
      </c>
      <c r="H691">
        <v>1337.3970947</v>
      </c>
      <c r="I691">
        <v>1325.8227539</v>
      </c>
      <c r="J691">
        <v>1321.8621826000001</v>
      </c>
      <c r="K691">
        <v>550</v>
      </c>
      <c r="L691">
        <v>0</v>
      </c>
      <c r="M691">
        <v>0</v>
      </c>
      <c r="N691">
        <v>550</v>
      </c>
    </row>
    <row r="692" spans="1:14" x14ac:dyDescent="0.25">
      <c r="A692">
        <v>731.00984100000005</v>
      </c>
      <c r="B692" s="1">
        <f>DATE(2012,5,1) + TIME(0,14,10)</f>
        <v>41030.009837962964</v>
      </c>
      <c r="C692">
        <v>80</v>
      </c>
      <c r="D692">
        <v>62.748035430999998</v>
      </c>
      <c r="E692">
        <v>50</v>
      </c>
      <c r="F692">
        <v>49.868461609000001</v>
      </c>
      <c r="G692">
        <v>1344.3634033000001</v>
      </c>
      <c r="H692">
        <v>1339.2458495999999</v>
      </c>
      <c r="I692">
        <v>1324.0739745999999</v>
      </c>
      <c r="J692">
        <v>1320.0288086</v>
      </c>
      <c r="K692">
        <v>550</v>
      </c>
      <c r="L692">
        <v>0</v>
      </c>
      <c r="M692">
        <v>0</v>
      </c>
      <c r="N692">
        <v>550</v>
      </c>
    </row>
    <row r="693" spans="1:14" x14ac:dyDescent="0.25">
      <c r="A693">
        <v>731.02952400000004</v>
      </c>
      <c r="B693" s="1">
        <f>DATE(2012,5,1) + TIME(0,42,30)</f>
        <v>41030.029513888891</v>
      </c>
      <c r="C693">
        <v>80</v>
      </c>
      <c r="D693">
        <v>62.879837035999998</v>
      </c>
      <c r="E693">
        <v>50</v>
      </c>
      <c r="F693">
        <v>49.865722656000003</v>
      </c>
      <c r="G693">
        <v>1345.3431396000001</v>
      </c>
      <c r="H693">
        <v>1340.2380370999999</v>
      </c>
      <c r="I693">
        <v>1323.1236572</v>
      </c>
      <c r="J693">
        <v>1319.0384521000001</v>
      </c>
      <c r="K693">
        <v>550</v>
      </c>
      <c r="L693">
        <v>0</v>
      </c>
      <c r="M693">
        <v>0</v>
      </c>
      <c r="N693">
        <v>550</v>
      </c>
    </row>
    <row r="694" spans="1:14" x14ac:dyDescent="0.25">
      <c r="A694">
        <v>731.088573</v>
      </c>
      <c r="B694" s="1">
        <f>DATE(2012,5,1) + TIME(2,7,32)</f>
        <v>41030.088564814818</v>
      </c>
      <c r="C694">
        <v>80</v>
      </c>
      <c r="D694">
        <v>63.265750885000003</v>
      </c>
      <c r="E694">
        <v>50</v>
      </c>
      <c r="F694">
        <v>49.857913971000002</v>
      </c>
      <c r="G694">
        <v>1345.7052002</v>
      </c>
      <c r="H694">
        <v>1340.630249</v>
      </c>
      <c r="I694">
        <v>1322.7949219</v>
      </c>
      <c r="J694">
        <v>1318.6986084</v>
      </c>
      <c r="K694">
        <v>550</v>
      </c>
      <c r="L694">
        <v>0</v>
      </c>
      <c r="M694">
        <v>0</v>
      </c>
      <c r="N694">
        <v>550</v>
      </c>
    </row>
    <row r="695" spans="1:14" x14ac:dyDescent="0.25">
      <c r="A695">
        <v>731.19380799999999</v>
      </c>
      <c r="B695" s="1">
        <f>DATE(2012,5,1) + TIME(4,39,5)</f>
        <v>41030.193807870368</v>
      </c>
      <c r="C695">
        <v>80</v>
      </c>
      <c r="D695">
        <v>63.926620483000001</v>
      </c>
      <c r="E695">
        <v>50</v>
      </c>
      <c r="F695">
        <v>49.844303130999997</v>
      </c>
      <c r="G695">
        <v>1345.7481689000001</v>
      </c>
      <c r="H695">
        <v>1340.7159423999999</v>
      </c>
      <c r="I695">
        <v>1322.7550048999999</v>
      </c>
      <c r="J695">
        <v>1318.6567382999999</v>
      </c>
      <c r="K695">
        <v>550</v>
      </c>
      <c r="L695">
        <v>0</v>
      </c>
      <c r="M695">
        <v>0</v>
      </c>
      <c r="N695">
        <v>550</v>
      </c>
    </row>
    <row r="696" spans="1:14" x14ac:dyDescent="0.25">
      <c r="A696">
        <v>731.30109400000003</v>
      </c>
      <c r="B696" s="1">
        <f>DATE(2012,5,1) + TIME(7,13,34)</f>
        <v>41030.301087962966</v>
      </c>
      <c r="C696">
        <v>80</v>
      </c>
      <c r="D696">
        <v>64.575180054</v>
      </c>
      <c r="E696">
        <v>50</v>
      </c>
      <c r="F696">
        <v>49.830566406000003</v>
      </c>
      <c r="G696">
        <v>1345.7385254000001</v>
      </c>
      <c r="H696">
        <v>1340.7353516000001</v>
      </c>
      <c r="I696">
        <v>1322.7578125</v>
      </c>
      <c r="J696">
        <v>1318.6583252</v>
      </c>
      <c r="K696">
        <v>550</v>
      </c>
      <c r="L696">
        <v>0</v>
      </c>
      <c r="M696">
        <v>0</v>
      </c>
      <c r="N696">
        <v>550</v>
      </c>
    </row>
    <row r="697" spans="1:14" x14ac:dyDescent="0.25">
      <c r="A697">
        <v>731.41071799999997</v>
      </c>
      <c r="B697" s="1">
        <f>DATE(2012,5,1) + TIME(9,51,26)</f>
        <v>41030.410717592589</v>
      </c>
      <c r="C697">
        <v>80</v>
      </c>
      <c r="D697">
        <v>65.212524414000001</v>
      </c>
      <c r="E697">
        <v>50</v>
      </c>
      <c r="F697">
        <v>49.816665649000001</v>
      </c>
      <c r="G697">
        <v>1345.715332</v>
      </c>
      <c r="H697">
        <v>1340.739624</v>
      </c>
      <c r="I697">
        <v>1322.7607422000001</v>
      </c>
      <c r="J697">
        <v>1318.6602783000001</v>
      </c>
      <c r="K697">
        <v>550</v>
      </c>
      <c r="L697">
        <v>0</v>
      </c>
      <c r="M697">
        <v>0</v>
      </c>
      <c r="N697">
        <v>550</v>
      </c>
    </row>
    <row r="698" spans="1:14" x14ac:dyDescent="0.25">
      <c r="A698">
        <v>731.52279799999997</v>
      </c>
      <c r="B698" s="1">
        <f>DATE(2012,5,1) + TIME(12,32,49)</f>
        <v>41030.522789351853</v>
      </c>
      <c r="C698">
        <v>80</v>
      </c>
      <c r="D698">
        <v>65.838638306000007</v>
      </c>
      <c r="E698">
        <v>50</v>
      </c>
      <c r="F698">
        <v>49.802589417</v>
      </c>
      <c r="G698">
        <v>1345.6912841999999</v>
      </c>
      <c r="H698">
        <v>1340.7414550999999</v>
      </c>
      <c r="I698">
        <v>1322.7620850000001</v>
      </c>
      <c r="J698">
        <v>1318.6606445</v>
      </c>
      <c r="K698">
        <v>550</v>
      </c>
      <c r="L698">
        <v>0</v>
      </c>
      <c r="M698">
        <v>0</v>
      </c>
      <c r="N698">
        <v>550</v>
      </c>
    </row>
    <row r="699" spans="1:14" x14ac:dyDescent="0.25">
      <c r="A699">
        <v>731.63746700000002</v>
      </c>
      <c r="B699" s="1">
        <f>DATE(2012,5,1) + TIME(15,17,57)</f>
        <v>41030.637465277781</v>
      </c>
      <c r="C699">
        <v>80</v>
      </c>
      <c r="D699">
        <v>66.453338622999993</v>
      </c>
      <c r="E699">
        <v>50</v>
      </c>
      <c r="F699">
        <v>49.788333893000001</v>
      </c>
      <c r="G699">
        <v>1345.6691894999999</v>
      </c>
      <c r="H699">
        <v>1340.7436522999999</v>
      </c>
      <c r="I699">
        <v>1322.7629394999999</v>
      </c>
      <c r="J699">
        <v>1318.6604004000001</v>
      </c>
      <c r="K699">
        <v>550</v>
      </c>
      <c r="L699">
        <v>0</v>
      </c>
      <c r="M699">
        <v>0</v>
      </c>
      <c r="N699">
        <v>550</v>
      </c>
    </row>
    <row r="700" spans="1:14" x14ac:dyDescent="0.25">
      <c r="A700">
        <v>731.75486100000001</v>
      </c>
      <c r="B700" s="1">
        <f>DATE(2012,5,1) + TIME(18,6,59)</f>
        <v>41030.754849537036</v>
      </c>
      <c r="C700">
        <v>80</v>
      </c>
      <c r="D700">
        <v>67.056549071999996</v>
      </c>
      <c r="E700">
        <v>50</v>
      </c>
      <c r="F700">
        <v>49.773883820000002</v>
      </c>
      <c r="G700">
        <v>1345.6495361</v>
      </c>
      <c r="H700">
        <v>1340.7467041</v>
      </c>
      <c r="I700">
        <v>1322.7635498</v>
      </c>
      <c r="J700">
        <v>1318.6599120999999</v>
      </c>
      <c r="K700">
        <v>550</v>
      </c>
      <c r="L700">
        <v>0</v>
      </c>
      <c r="M700">
        <v>0</v>
      </c>
      <c r="N700">
        <v>550</v>
      </c>
    </row>
    <row r="701" spans="1:14" x14ac:dyDescent="0.25">
      <c r="A701">
        <v>731.87512900000002</v>
      </c>
      <c r="B701" s="1">
        <f>DATE(2012,5,1) + TIME(21,0,11)</f>
        <v>41030.875127314815</v>
      </c>
      <c r="C701">
        <v>80</v>
      </c>
      <c r="D701">
        <v>67.648155212000006</v>
      </c>
      <c r="E701">
        <v>50</v>
      </c>
      <c r="F701">
        <v>49.759227752999998</v>
      </c>
      <c r="G701">
        <v>1345.6322021000001</v>
      </c>
      <c r="H701">
        <v>1340.7508545000001</v>
      </c>
      <c r="I701">
        <v>1322.7640381000001</v>
      </c>
      <c r="J701">
        <v>1318.6593018000001</v>
      </c>
      <c r="K701">
        <v>550</v>
      </c>
      <c r="L701">
        <v>0</v>
      </c>
      <c r="M701">
        <v>0</v>
      </c>
      <c r="N701">
        <v>550</v>
      </c>
    </row>
    <row r="702" spans="1:14" x14ac:dyDescent="0.25">
      <c r="A702">
        <v>731.99842899999999</v>
      </c>
      <c r="B702" s="1">
        <f>DATE(2012,5,1) + TIME(23,57,44)</f>
        <v>41030.998425925929</v>
      </c>
      <c r="C702">
        <v>80</v>
      </c>
      <c r="D702">
        <v>68.228027343999997</v>
      </c>
      <c r="E702">
        <v>50</v>
      </c>
      <c r="F702">
        <v>49.744350433000001</v>
      </c>
      <c r="G702">
        <v>1345.6173096</v>
      </c>
      <c r="H702">
        <v>1340.7559814000001</v>
      </c>
      <c r="I702">
        <v>1322.7644043</v>
      </c>
      <c r="J702">
        <v>1318.6586914</v>
      </c>
      <c r="K702">
        <v>550</v>
      </c>
      <c r="L702">
        <v>0</v>
      </c>
      <c r="M702">
        <v>0</v>
      </c>
      <c r="N702">
        <v>550</v>
      </c>
    </row>
    <row r="703" spans="1:14" x14ac:dyDescent="0.25">
      <c r="A703">
        <v>732.12482399999999</v>
      </c>
      <c r="B703" s="1">
        <f>DATE(2012,5,2) + TIME(2,59,44)</f>
        <v>41031.124814814815</v>
      </c>
      <c r="C703">
        <v>80</v>
      </c>
      <c r="D703">
        <v>68.795555114999999</v>
      </c>
      <c r="E703">
        <v>50</v>
      </c>
      <c r="F703">
        <v>49.729259491000001</v>
      </c>
      <c r="G703">
        <v>1345.6047363</v>
      </c>
      <c r="H703">
        <v>1340.762207</v>
      </c>
      <c r="I703">
        <v>1322.7648925999999</v>
      </c>
      <c r="J703">
        <v>1318.6578368999999</v>
      </c>
      <c r="K703">
        <v>550</v>
      </c>
      <c r="L703">
        <v>0</v>
      </c>
      <c r="M703">
        <v>0</v>
      </c>
      <c r="N703">
        <v>550</v>
      </c>
    </row>
    <row r="704" spans="1:14" x14ac:dyDescent="0.25">
      <c r="A704">
        <v>732.25441799999999</v>
      </c>
      <c r="B704" s="1">
        <f>DATE(2012,5,2) + TIME(6,6,21)</f>
        <v>41031.25440972222</v>
      </c>
      <c r="C704">
        <v>80</v>
      </c>
      <c r="D704">
        <v>69.350326538000004</v>
      </c>
      <c r="E704">
        <v>50</v>
      </c>
      <c r="F704">
        <v>49.713939666999998</v>
      </c>
      <c r="G704">
        <v>1345.5943603999999</v>
      </c>
      <c r="H704">
        <v>1340.7692870999999</v>
      </c>
      <c r="I704">
        <v>1322.7652588000001</v>
      </c>
      <c r="J704">
        <v>1318.6569824000001</v>
      </c>
      <c r="K704">
        <v>550</v>
      </c>
      <c r="L704">
        <v>0</v>
      </c>
      <c r="M704">
        <v>0</v>
      </c>
      <c r="N704">
        <v>550</v>
      </c>
    </row>
    <row r="705" spans="1:14" x14ac:dyDescent="0.25">
      <c r="A705">
        <v>732.38739199999998</v>
      </c>
      <c r="B705" s="1">
        <f>DATE(2012,5,2) + TIME(9,17,50)</f>
        <v>41031.387384259258</v>
      </c>
      <c r="C705">
        <v>80</v>
      </c>
      <c r="D705">
        <v>69.892234802000004</v>
      </c>
      <c r="E705">
        <v>50</v>
      </c>
      <c r="F705">
        <v>49.698383331000002</v>
      </c>
      <c r="G705">
        <v>1345.5859375</v>
      </c>
      <c r="H705">
        <v>1340.7770995999999</v>
      </c>
      <c r="I705">
        <v>1322.765625</v>
      </c>
      <c r="J705">
        <v>1318.6561279</v>
      </c>
      <c r="K705">
        <v>550</v>
      </c>
      <c r="L705">
        <v>0</v>
      </c>
      <c r="M705">
        <v>0</v>
      </c>
      <c r="N705">
        <v>550</v>
      </c>
    </row>
    <row r="706" spans="1:14" x14ac:dyDescent="0.25">
      <c r="A706">
        <v>732.52394000000004</v>
      </c>
      <c r="B706" s="1">
        <f>DATE(2012,5,2) + TIME(12,34,28)</f>
        <v>41031.523935185185</v>
      </c>
      <c r="C706">
        <v>80</v>
      </c>
      <c r="D706">
        <v>70.420814514</v>
      </c>
      <c r="E706">
        <v>50</v>
      </c>
      <c r="F706">
        <v>49.682575225999997</v>
      </c>
      <c r="G706">
        <v>1345.5794678</v>
      </c>
      <c r="H706">
        <v>1340.7857666</v>
      </c>
      <c r="I706">
        <v>1322.7659911999999</v>
      </c>
      <c r="J706">
        <v>1318.6551514</v>
      </c>
      <c r="K706">
        <v>550</v>
      </c>
      <c r="L706">
        <v>0</v>
      </c>
      <c r="M706">
        <v>0</v>
      </c>
      <c r="N706">
        <v>550</v>
      </c>
    </row>
    <row r="707" spans="1:14" x14ac:dyDescent="0.25">
      <c r="A707">
        <v>732.66427199999998</v>
      </c>
      <c r="B707" s="1">
        <f>DATE(2012,5,2) + TIME(15,56,33)</f>
        <v>41031.664270833331</v>
      </c>
      <c r="C707">
        <v>80</v>
      </c>
      <c r="D707">
        <v>70.936141968000001</v>
      </c>
      <c r="E707">
        <v>50</v>
      </c>
      <c r="F707">
        <v>49.666500092</v>
      </c>
      <c r="G707">
        <v>1345.5748291</v>
      </c>
      <c r="H707">
        <v>1340.7951660000001</v>
      </c>
      <c r="I707">
        <v>1322.7663574000001</v>
      </c>
      <c r="J707">
        <v>1318.6541748</v>
      </c>
      <c r="K707">
        <v>550</v>
      </c>
      <c r="L707">
        <v>0</v>
      </c>
      <c r="M707">
        <v>0</v>
      </c>
      <c r="N707">
        <v>550</v>
      </c>
    </row>
    <row r="708" spans="1:14" x14ac:dyDescent="0.25">
      <c r="A708">
        <v>732.80860900000005</v>
      </c>
      <c r="B708" s="1">
        <f>DATE(2012,5,2) + TIME(19,24,23)</f>
        <v>41031.808599537035</v>
      </c>
      <c r="C708">
        <v>80</v>
      </c>
      <c r="D708">
        <v>71.43812561</v>
      </c>
      <c r="E708">
        <v>50</v>
      </c>
      <c r="F708">
        <v>49.650138855000002</v>
      </c>
      <c r="G708">
        <v>1345.5717772999999</v>
      </c>
      <c r="H708">
        <v>1340.8050536999999</v>
      </c>
      <c r="I708">
        <v>1322.7667236</v>
      </c>
      <c r="J708">
        <v>1318.6530762</v>
      </c>
      <c r="K708">
        <v>550</v>
      </c>
      <c r="L708">
        <v>0</v>
      </c>
      <c r="M708">
        <v>0</v>
      </c>
      <c r="N708">
        <v>550</v>
      </c>
    </row>
    <row r="709" spans="1:14" x14ac:dyDescent="0.25">
      <c r="A709">
        <v>732.95717400000001</v>
      </c>
      <c r="B709" s="1">
        <f>DATE(2012,5,2) + TIME(22,58,19)</f>
        <v>41031.95716435185</v>
      </c>
      <c r="C709">
        <v>80</v>
      </c>
      <c r="D709">
        <v>71.926528931000007</v>
      </c>
      <c r="E709">
        <v>50</v>
      </c>
      <c r="F709">
        <v>49.633476256999998</v>
      </c>
      <c r="G709">
        <v>1345.5703125</v>
      </c>
      <c r="H709">
        <v>1340.8156738</v>
      </c>
      <c r="I709">
        <v>1322.7669678</v>
      </c>
      <c r="J709">
        <v>1318.6519774999999</v>
      </c>
      <c r="K709">
        <v>550</v>
      </c>
      <c r="L709">
        <v>0</v>
      </c>
      <c r="M709">
        <v>0</v>
      </c>
      <c r="N709">
        <v>550</v>
      </c>
    </row>
    <row r="710" spans="1:14" x14ac:dyDescent="0.25">
      <c r="A710">
        <v>733.11022000000003</v>
      </c>
      <c r="B710" s="1">
        <f>DATE(2012,5,3) + TIME(2,38,43)</f>
        <v>41032.110219907408</v>
      </c>
      <c r="C710">
        <v>80</v>
      </c>
      <c r="D710">
        <v>72.401168823000006</v>
      </c>
      <c r="E710">
        <v>50</v>
      </c>
      <c r="F710">
        <v>49.616493224999999</v>
      </c>
      <c r="G710">
        <v>1345.5703125</v>
      </c>
      <c r="H710">
        <v>1340.8266602000001</v>
      </c>
      <c r="I710">
        <v>1322.7672118999999</v>
      </c>
      <c r="J710">
        <v>1318.6507568</v>
      </c>
      <c r="K710">
        <v>550</v>
      </c>
      <c r="L710">
        <v>0</v>
      </c>
      <c r="M710">
        <v>0</v>
      </c>
      <c r="N710">
        <v>550</v>
      </c>
    </row>
    <row r="711" spans="1:14" x14ac:dyDescent="0.25">
      <c r="A711">
        <v>733.26804100000004</v>
      </c>
      <c r="B711" s="1">
        <f>DATE(2012,5,3) + TIME(6,25,58)</f>
        <v>41032.26803240741</v>
      </c>
      <c r="C711">
        <v>80</v>
      </c>
      <c r="D711">
        <v>72.861900329999997</v>
      </c>
      <c r="E711">
        <v>50</v>
      </c>
      <c r="F711">
        <v>49.599174499999997</v>
      </c>
      <c r="G711">
        <v>1345.5716553</v>
      </c>
      <c r="H711">
        <v>1340.8381348</v>
      </c>
      <c r="I711">
        <v>1322.7673339999999</v>
      </c>
      <c r="J711">
        <v>1318.6494141000001</v>
      </c>
      <c r="K711">
        <v>550</v>
      </c>
      <c r="L711">
        <v>0</v>
      </c>
      <c r="M711">
        <v>0</v>
      </c>
      <c r="N711">
        <v>550</v>
      </c>
    </row>
    <row r="712" spans="1:14" x14ac:dyDescent="0.25">
      <c r="A712">
        <v>733.43093599999997</v>
      </c>
      <c r="B712" s="1">
        <f>DATE(2012,5,3) + TIME(10,20,32)</f>
        <v>41032.430925925924</v>
      </c>
      <c r="C712">
        <v>80</v>
      </c>
      <c r="D712">
        <v>73.308517456000004</v>
      </c>
      <c r="E712">
        <v>50</v>
      </c>
      <c r="F712">
        <v>49.581489562999998</v>
      </c>
      <c r="G712">
        <v>1345.5742187999999</v>
      </c>
      <c r="H712">
        <v>1340.8499756000001</v>
      </c>
      <c r="I712">
        <v>1322.7675781</v>
      </c>
      <c r="J712">
        <v>1318.6480713000001</v>
      </c>
      <c r="K712">
        <v>550</v>
      </c>
      <c r="L712">
        <v>0</v>
      </c>
      <c r="M712">
        <v>0</v>
      </c>
      <c r="N712">
        <v>550</v>
      </c>
    </row>
    <row r="713" spans="1:14" x14ac:dyDescent="0.25">
      <c r="A713">
        <v>733.59922600000004</v>
      </c>
      <c r="B713" s="1">
        <f>DATE(2012,5,3) + TIME(14,22,53)</f>
        <v>41032.599224537036</v>
      </c>
      <c r="C713">
        <v>80</v>
      </c>
      <c r="D713">
        <v>73.740806579999997</v>
      </c>
      <c r="E713">
        <v>50</v>
      </c>
      <c r="F713">
        <v>49.563423157000003</v>
      </c>
      <c r="G713">
        <v>1345.5778809000001</v>
      </c>
      <c r="H713">
        <v>1340.8621826000001</v>
      </c>
      <c r="I713">
        <v>1322.7677002</v>
      </c>
      <c r="J713">
        <v>1318.6467285000001</v>
      </c>
      <c r="K713">
        <v>550</v>
      </c>
      <c r="L713">
        <v>0</v>
      </c>
      <c r="M713">
        <v>0</v>
      </c>
      <c r="N713">
        <v>550</v>
      </c>
    </row>
    <row r="714" spans="1:14" x14ac:dyDescent="0.25">
      <c r="A714">
        <v>733.77326200000005</v>
      </c>
      <c r="B714" s="1">
        <f>DATE(2012,5,3) + TIME(18,33,29)</f>
        <v>41032.773252314815</v>
      </c>
      <c r="C714">
        <v>80</v>
      </c>
      <c r="D714">
        <v>74.158576964999995</v>
      </c>
      <c r="E714">
        <v>50</v>
      </c>
      <c r="F714">
        <v>49.544948578000003</v>
      </c>
      <c r="G714">
        <v>1345.5825195</v>
      </c>
      <c r="H714">
        <v>1340.8745117000001</v>
      </c>
      <c r="I714">
        <v>1322.7678223</v>
      </c>
      <c r="J714">
        <v>1318.6452637</v>
      </c>
      <c r="K714">
        <v>550</v>
      </c>
      <c r="L714">
        <v>0</v>
      </c>
      <c r="M714">
        <v>0</v>
      </c>
      <c r="N714">
        <v>550</v>
      </c>
    </row>
    <row r="715" spans="1:14" x14ac:dyDescent="0.25">
      <c r="A715">
        <v>733.95342400000004</v>
      </c>
      <c r="B715" s="1">
        <f>DATE(2012,5,3) + TIME(22,52,55)</f>
        <v>41032.953414351854</v>
      </c>
      <c r="C715">
        <v>80</v>
      </c>
      <c r="D715">
        <v>74.561607361</v>
      </c>
      <c r="E715">
        <v>50</v>
      </c>
      <c r="F715">
        <v>49.526039124</v>
      </c>
      <c r="G715">
        <v>1345.5882568</v>
      </c>
      <c r="H715">
        <v>1340.8870850000001</v>
      </c>
      <c r="I715">
        <v>1322.7679443</v>
      </c>
      <c r="J715">
        <v>1318.6436768000001</v>
      </c>
      <c r="K715">
        <v>550</v>
      </c>
      <c r="L715">
        <v>0</v>
      </c>
      <c r="M715">
        <v>0</v>
      </c>
      <c r="N715">
        <v>550</v>
      </c>
    </row>
    <row r="716" spans="1:14" x14ac:dyDescent="0.25">
      <c r="A716">
        <v>734.14012400000001</v>
      </c>
      <c r="B716" s="1">
        <f>DATE(2012,5,4) + TIME(3,21,46)</f>
        <v>41033.140115740738</v>
      </c>
      <c r="C716">
        <v>80</v>
      </c>
      <c r="D716">
        <v>74.949699401999993</v>
      </c>
      <c r="E716">
        <v>50</v>
      </c>
      <c r="F716">
        <v>49.506664276000002</v>
      </c>
      <c r="G716">
        <v>1345.5947266000001</v>
      </c>
      <c r="H716">
        <v>1340.8997803</v>
      </c>
      <c r="I716">
        <v>1322.7679443</v>
      </c>
      <c r="J716">
        <v>1318.6420897999999</v>
      </c>
      <c r="K716">
        <v>550</v>
      </c>
      <c r="L716">
        <v>0</v>
      </c>
      <c r="M716">
        <v>0</v>
      </c>
      <c r="N716">
        <v>550</v>
      </c>
    </row>
    <row r="717" spans="1:14" x14ac:dyDescent="0.25">
      <c r="A717">
        <v>734.33381299999996</v>
      </c>
      <c r="B717" s="1">
        <f>DATE(2012,5,4) + TIME(8,0,41)</f>
        <v>41033.333807870367</v>
      </c>
      <c r="C717">
        <v>80</v>
      </c>
      <c r="D717">
        <v>75.322418213000006</v>
      </c>
      <c r="E717">
        <v>50</v>
      </c>
      <c r="F717">
        <v>49.486793517999999</v>
      </c>
      <c r="G717">
        <v>1345.6019286999999</v>
      </c>
      <c r="H717">
        <v>1340.9125977000001</v>
      </c>
      <c r="I717">
        <v>1322.7679443</v>
      </c>
      <c r="J717">
        <v>1318.6403809000001</v>
      </c>
      <c r="K717">
        <v>550</v>
      </c>
      <c r="L717">
        <v>0</v>
      </c>
      <c r="M717">
        <v>0</v>
      </c>
      <c r="N717">
        <v>550</v>
      </c>
    </row>
    <row r="718" spans="1:14" x14ac:dyDescent="0.25">
      <c r="A718">
        <v>734.53498300000001</v>
      </c>
      <c r="B718" s="1">
        <f>DATE(2012,5,4) + TIME(12,50,22)</f>
        <v>41033.53497685185</v>
      </c>
      <c r="C718">
        <v>80</v>
      </c>
      <c r="D718">
        <v>75.679771423000005</v>
      </c>
      <c r="E718">
        <v>50</v>
      </c>
      <c r="F718">
        <v>49.466400145999998</v>
      </c>
      <c r="G718">
        <v>1345.6097411999999</v>
      </c>
      <c r="H718">
        <v>1340.925293</v>
      </c>
      <c r="I718">
        <v>1322.7679443</v>
      </c>
      <c r="J718">
        <v>1318.6385498</v>
      </c>
      <c r="K718">
        <v>550</v>
      </c>
      <c r="L718">
        <v>0</v>
      </c>
      <c r="M718">
        <v>0</v>
      </c>
      <c r="N718">
        <v>550</v>
      </c>
    </row>
    <row r="719" spans="1:14" x14ac:dyDescent="0.25">
      <c r="A719">
        <v>734.74419</v>
      </c>
      <c r="B719" s="1">
        <f>DATE(2012,5,4) + TIME(17,51,38)</f>
        <v>41033.744189814817</v>
      </c>
      <c r="C719">
        <v>80</v>
      </c>
      <c r="D719">
        <v>76.021652222</v>
      </c>
      <c r="E719">
        <v>50</v>
      </c>
      <c r="F719">
        <v>49.445438385000003</v>
      </c>
      <c r="G719">
        <v>1345.6180420000001</v>
      </c>
      <c r="H719">
        <v>1340.9379882999999</v>
      </c>
      <c r="I719">
        <v>1322.7678223</v>
      </c>
      <c r="J719">
        <v>1318.6367187999999</v>
      </c>
      <c r="K719">
        <v>550</v>
      </c>
      <c r="L719">
        <v>0</v>
      </c>
      <c r="M719">
        <v>0</v>
      </c>
      <c r="N719">
        <v>550</v>
      </c>
    </row>
    <row r="720" spans="1:14" x14ac:dyDescent="0.25">
      <c r="A720">
        <v>734.96209899999997</v>
      </c>
      <c r="B720" s="1">
        <f>DATE(2012,5,4) + TIME(23,5,25)</f>
        <v>41033.962094907409</v>
      </c>
      <c r="C720">
        <v>80</v>
      </c>
      <c r="D720">
        <v>76.348007202000005</v>
      </c>
      <c r="E720">
        <v>50</v>
      </c>
      <c r="F720">
        <v>49.423866271999998</v>
      </c>
      <c r="G720">
        <v>1345.6268310999999</v>
      </c>
      <c r="H720">
        <v>1340.9505615</v>
      </c>
      <c r="I720">
        <v>1322.7677002</v>
      </c>
      <c r="J720">
        <v>1318.6347656</v>
      </c>
      <c r="K720">
        <v>550</v>
      </c>
      <c r="L720">
        <v>0</v>
      </c>
      <c r="M720">
        <v>0</v>
      </c>
      <c r="N720">
        <v>550</v>
      </c>
    </row>
    <row r="721" spans="1:14" x14ac:dyDescent="0.25">
      <c r="A721">
        <v>735.18928700000004</v>
      </c>
      <c r="B721" s="1">
        <f>DATE(2012,5,5) + TIME(4,32,34)</f>
        <v>41034.189282407409</v>
      </c>
      <c r="C721">
        <v>80</v>
      </c>
      <c r="D721">
        <v>76.658584594999994</v>
      </c>
      <c r="E721">
        <v>50</v>
      </c>
      <c r="F721">
        <v>49.401641845999997</v>
      </c>
      <c r="G721">
        <v>1345.6358643000001</v>
      </c>
      <c r="H721">
        <v>1340.9628906</v>
      </c>
      <c r="I721">
        <v>1322.7674560999999</v>
      </c>
      <c r="J721">
        <v>1318.6326904</v>
      </c>
      <c r="K721">
        <v>550</v>
      </c>
      <c r="L721">
        <v>0</v>
      </c>
      <c r="M721">
        <v>0</v>
      </c>
      <c r="N721">
        <v>550</v>
      </c>
    </row>
    <row r="722" spans="1:14" x14ac:dyDescent="0.25">
      <c r="A722">
        <v>735.42647799999997</v>
      </c>
      <c r="B722" s="1">
        <f>DATE(2012,5,5) + TIME(10,14,7)</f>
        <v>41034.426469907405</v>
      </c>
      <c r="C722">
        <v>80</v>
      </c>
      <c r="D722">
        <v>76.953277588000006</v>
      </c>
      <c r="E722">
        <v>50</v>
      </c>
      <c r="F722">
        <v>49.378726958999998</v>
      </c>
      <c r="G722">
        <v>1345.6452637</v>
      </c>
      <c r="H722">
        <v>1340.9749756000001</v>
      </c>
      <c r="I722">
        <v>1322.7672118999999</v>
      </c>
      <c r="J722">
        <v>1318.6306152</v>
      </c>
      <c r="K722">
        <v>550</v>
      </c>
      <c r="L722">
        <v>0</v>
      </c>
      <c r="M722">
        <v>0</v>
      </c>
      <c r="N722">
        <v>550</v>
      </c>
    </row>
    <row r="723" spans="1:14" x14ac:dyDescent="0.25">
      <c r="A723">
        <v>735.67447500000003</v>
      </c>
      <c r="B723" s="1">
        <f>DATE(2012,5,5) + TIME(16,11,14)</f>
        <v>41034.674467592595</v>
      </c>
      <c r="C723">
        <v>80</v>
      </c>
      <c r="D723">
        <v>77.232017517000003</v>
      </c>
      <c r="E723">
        <v>50</v>
      </c>
      <c r="F723">
        <v>49.355060577000003</v>
      </c>
      <c r="G723">
        <v>1345.6546631000001</v>
      </c>
      <c r="H723">
        <v>1340.9866943</v>
      </c>
      <c r="I723">
        <v>1322.7669678</v>
      </c>
      <c r="J723">
        <v>1318.6282959</v>
      </c>
      <c r="K723">
        <v>550</v>
      </c>
      <c r="L723">
        <v>0</v>
      </c>
      <c r="M723">
        <v>0</v>
      </c>
      <c r="N723">
        <v>550</v>
      </c>
    </row>
    <row r="724" spans="1:14" x14ac:dyDescent="0.25">
      <c r="A724">
        <v>735.93417099999999</v>
      </c>
      <c r="B724" s="1">
        <f>DATE(2012,5,5) + TIME(22,25,12)</f>
        <v>41034.934166666666</v>
      </c>
      <c r="C724">
        <v>80</v>
      </c>
      <c r="D724">
        <v>77.494766235</v>
      </c>
      <c r="E724">
        <v>50</v>
      </c>
      <c r="F724">
        <v>49.330589293999999</v>
      </c>
      <c r="G724">
        <v>1345.6641846</v>
      </c>
      <c r="H724">
        <v>1340.9980469</v>
      </c>
      <c r="I724">
        <v>1322.7666016000001</v>
      </c>
      <c r="J724">
        <v>1318.6259766000001</v>
      </c>
      <c r="K724">
        <v>550</v>
      </c>
      <c r="L724">
        <v>0</v>
      </c>
      <c r="M724">
        <v>0</v>
      </c>
      <c r="N724">
        <v>550</v>
      </c>
    </row>
    <row r="725" spans="1:14" x14ac:dyDescent="0.25">
      <c r="A725">
        <v>736.20656099999997</v>
      </c>
      <c r="B725" s="1">
        <f>DATE(2012,5,6) + TIME(4,57,26)</f>
        <v>41035.206550925926</v>
      </c>
      <c r="C725">
        <v>80</v>
      </c>
      <c r="D725">
        <v>77.741539001000007</v>
      </c>
      <c r="E725">
        <v>50</v>
      </c>
      <c r="F725">
        <v>49.305248259999999</v>
      </c>
      <c r="G725">
        <v>1345.6735839999999</v>
      </c>
      <c r="H725">
        <v>1341.0089111</v>
      </c>
      <c r="I725">
        <v>1322.7661132999999</v>
      </c>
      <c r="J725">
        <v>1318.6234131000001</v>
      </c>
      <c r="K725">
        <v>550</v>
      </c>
      <c r="L725">
        <v>0</v>
      </c>
      <c r="M725">
        <v>0</v>
      </c>
      <c r="N725">
        <v>550</v>
      </c>
    </row>
    <row r="726" spans="1:14" x14ac:dyDescent="0.25">
      <c r="A726">
        <v>736.49276399999997</v>
      </c>
      <c r="B726" s="1">
        <f>DATE(2012,5,6) + TIME(11,49,34)</f>
        <v>41035.492754629631</v>
      </c>
      <c r="C726">
        <v>80</v>
      </c>
      <c r="D726">
        <v>77.972366332999997</v>
      </c>
      <c r="E726">
        <v>50</v>
      </c>
      <c r="F726">
        <v>49.278961182000003</v>
      </c>
      <c r="G726">
        <v>1345.6827393000001</v>
      </c>
      <c r="H726">
        <v>1341.0192870999999</v>
      </c>
      <c r="I726">
        <v>1322.7655029</v>
      </c>
      <c r="J726">
        <v>1318.6208495999999</v>
      </c>
      <c r="K726">
        <v>550</v>
      </c>
      <c r="L726">
        <v>0</v>
      </c>
      <c r="M726">
        <v>0</v>
      </c>
      <c r="N726">
        <v>550</v>
      </c>
    </row>
    <row r="727" spans="1:14" x14ac:dyDescent="0.25">
      <c r="A727">
        <v>736.794037</v>
      </c>
      <c r="B727" s="1">
        <f>DATE(2012,5,6) + TIME(19,3,24)</f>
        <v>41035.794027777774</v>
      </c>
      <c r="C727">
        <v>80</v>
      </c>
      <c r="D727">
        <v>78.187347411999994</v>
      </c>
      <c r="E727">
        <v>50</v>
      </c>
      <c r="F727">
        <v>49.251651764000002</v>
      </c>
      <c r="G727">
        <v>1345.6916504000001</v>
      </c>
      <c r="H727">
        <v>1341.0290527</v>
      </c>
      <c r="I727">
        <v>1322.7648925999999</v>
      </c>
      <c r="J727">
        <v>1318.6180420000001</v>
      </c>
      <c r="K727">
        <v>550</v>
      </c>
      <c r="L727">
        <v>0</v>
      </c>
      <c r="M727">
        <v>0</v>
      </c>
      <c r="N727">
        <v>550</v>
      </c>
    </row>
    <row r="728" spans="1:14" x14ac:dyDescent="0.25">
      <c r="A728">
        <v>737.111806</v>
      </c>
      <c r="B728" s="1">
        <f>DATE(2012,5,7) + TIME(2,41,0)</f>
        <v>41036.111805555556</v>
      </c>
      <c r="C728">
        <v>80</v>
      </c>
      <c r="D728">
        <v>78.386634826999995</v>
      </c>
      <c r="E728">
        <v>50</v>
      </c>
      <c r="F728">
        <v>49.223228454999997</v>
      </c>
      <c r="G728">
        <v>1345.7000731999999</v>
      </c>
      <c r="H728">
        <v>1341.0380858999999</v>
      </c>
      <c r="I728">
        <v>1322.7641602000001</v>
      </c>
      <c r="J728">
        <v>1318.6151123</v>
      </c>
      <c r="K728">
        <v>550</v>
      </c>
      <c r="L728">
        <v>0</v>
      </c>
      <c r="M728">
        <v>0</v>
      </c>
      <c r="N728">
        <v>550</v>
      </c>
    </row>
    <row r="729" spans="1:14" x14ac:dyDescent="0.25">
      <c r="A729">
        <v>737.44768899999997</v>
      </c>
      <c r="B729" s="1">
        <f>DATE(2012,5,7) + TIME(10,44,40)</f>
        <v>41036.447685185187</v>
      </c>
      <c r="C729">
        <v>80</v>
      </c>
      <c r="D729">
        <v>78.570426940999994</v>
      </c>
      <c r="E729">
        <v>50</v>
      </c>
      <c r="F729">
        <v>49.193588257000002</v>
      </c>
      <c r="G729">
        <v>1345.7081298999999</v>
      </c>
      <c r="H729">
        <v>1341.0465088000001</v>
      </c>
      <c r="I729">
        <v>1322.7633057</v>
      </c>
      <c r="J729">
        <v>1318.6120605000001</v>
      </c>
      <c r="K729">
        <v>550</v>
      </c>
      <c r="L729">
        <v>0</v>
      </c>
      <c r="M729">
        <v>0</v>
      </c>
      <c r="N729">
        <v>550</v>
      </c>
    </row>
    <row r="730" spans="1:14" x14ac:dyDescent="0.25">
      <c r="A730">
        <v>737.80371500000001</v>
      </c>
      <c r="B730" s="1">
        <f>DATE(2012,5,7) + TIME(19,17,20)</f>
        <v>41036.803703703707</v>
      </c>
      <c r="C730">
        <v>80</v>
      </c>
      <c r="D730">
        <v>78.739067078000005</v>
      </c>
      <c r="E730">
        <v>50</v>
      </c>
      <c r="F730">
        <v>49.162601471000002</v>
      </c>
      <c r="G730">
        <v>1345.715332</v>
      </c>
      <c r="H730">
        <v>1341.0540771000001</v>
      </c>
      <c r="I730">
        <v>1322.7623291</v>
      </c>
      <c r="J730">
        <v>1318.6087646000001</v>
      </c>
      <c r="K730">
        <v>550</v>
      </c>
      <c r="L730">
        <v>0</v>
      </c>
      <c r="M730">
        <v>0</v>
      </c>
      <c r="N730">
        <v>550</v>
      </c>
    </row>
    <row r="731" spans="1:14" x14ac:dyDescent="0.25">
      <c r="A731">
        <v>738.18195300000002</v>
      </c>
      <c r="B731" s="1">
        <f>DATE(2012,5,8) + TIME(4,22,0)</f>
        <v>41037.181944444441</v>
      </c>
      <c r="C731">
        <v>80</v>
      </c>
      <c r="D731">
        <v>78.892829895000006</v>
      </c>
      <c r="E731">
        <v>50</v>
      </c>
      <c r="F731">
        <v>49.130142212000003</v>
      </c>
      <c r="G731">
        <v>1345.7219238</v>
      </c>
      <c r="H731">
        <v>1341.0606689000001</v>
      </c>
      <c r="I731">
        <v>1322.7612305</v>
      </c>
      <c r="J731">
        <v>1318.6052245999999</v>
      </c>
      <c r="K731">
        <v>550</v>
      </c>
      <c r="L731">
        <v>0</v>
      </c>
      <c r="M731">
        <v>0</v>
      </c>
      <c r="N731">
        <v>550</v>
      </c>
    </row>
    <row r="732" spans="1:14" x14ac:dyDescent="0.25">
      <c r="A732">
        <v>738.58480399999996</v>
      </c>
      <c r="B732" s="1">
        <f>DATE(2012,5,8) + TIME(14,2,7)</f>
        <v>41037.584803240738</v>
      </c>
      <c r="C732">
        <v>80</v>
      </c>
      <c r="D732">
        <v>79.032058715999995</v>
      </c>
      <c r="E732">
        <v>50</v>
      </c>
      <c r="F732">
        <v>49.096065521</v>
      </c>
      <c r="G732">
        <v>1345.7275391000001</v>
      </c>
      <c r="H732">
        <v>1341.0664062000001</v>
      </c>
      <c r="I732">
        <v>1322.7600098</v>
      </c>
      <c r="J732">
        <v>1318.6014404</v>
      </c>
      <c r="K732">
        <v>550</v>
      </c>
      <c r="L732">
        <v>0</v>
      </c>
      <c r="M732">
        <v>0</v>
      </c>
      <c r="N732">
        <v>550</v>
      </c>
    </row>
    <row r="733" spans="1:14" x14ac:dyDescent="0.25">
      <c r="A733">
        <v>739.01515400000005</v>
      </c>
      <c r="B733" s="1">
        <f>DATE(2012,5,9) + TIME(0,21,49)</f>
        <v>41038.015150462961</v>
      </c>
      <c r="C733">
        <v>80</v>
      </c>
      <c r="D733">
        <v>79.157226562000005</v>
      </c>
      <c r="E733">
        <v>50</v>
      </c>
      <c r="F733">
        <v>49.060192108000003</v>
      </c>
      <c r="G733">
        <v>1345.7321777</v>
      </c>
      <c r="H733">
        <v>1341.0711670000001</v>
      </c>
      <c r="I733">
        <v>1322.7585449000001</v>
      </c>
      <c r="J733">
        <v>1318.5974120999999</v>
      </c>
      <c r="K733">
        <v>550</v>
      </c>
      <c r="L733">
        <v>0</v>
      </c>
      <c r="M733">
        <v>0</v>
      </c>
      <c r="N733">
        <v>550</v>
      </c>
    </row>
    <row r="734" spans="1:14" x14ac:dyDescent="0.25">
      <c r="A734">
        <v>739.47639500000002</v>
      </c>
      <c r="B734" s="1">
        <f>DATE(2012,5,9) + TIME(11,26,0)</f>
        <v>41038.476388888892</v>
      </c>
      <c r="C734">
        <v>80</v>
      </c>
      <c r="D734">
        <v>79.268859863000003</v>
      </c>
      <c r="E734">
        <v>50</v>
      </c>
      <c r="F734">
        <v>49.022315978999998</v>
      </c>
      <c r="G734">
        <v>1345.7357178</v>
      </c>
      <c r="H734">
        <v>1341.0748291</v>
      </c>
      <c r="I734">
        <v>1322.7569579999999</v>
      </c>
      <c r="J734">
        <v>1318.5930175999999</v>
      </c>
      <c r="K734">
        <v>550</v>
      </c>
      <c r="L734">
        <v>0</v>
      </c>
      <c r="M734">
        <v>0</v>
      </c>
      <c r="N734">
        <v>550</v>
      </c>
    </row>
    <row r="735" spans="1:14" x14ac:dyDescent="0.25">
      <c r="A735">
        <v>739.96205699999996</v>
      </c>
      <c r="B735" s="1">
        <f>DATE(2012,5,9) + TIME(23,5,21)</f>
        <v>41038.962048611109</v>
      </c>
      <c r="C735">
        <v>80</v>
      </c>
      <c r="D735">
        <v>79.365829468000001</v>
      </c>
      <c r="E735">
        <v>50</v>
      </c>
      <c r="F735">
        <v>48.982948303000001</v>
      </c>
      <c r="G735">
        <v>1345.7382812000001</v>
      </c>
      <c r="H735">
        <v>1341.0773925999999</v>
      </c>
      <c r="I735">
        <v>1322.7550048999999</v>
      </c>
      <c r="J735">
        <v>1318.5883789</v>
      </c>
      <c r="K735">
        <v>550</v>
      </c>
      <c r="L735">
        <v>0</v>
      </c>
      <c r="M735">
        <v>0</v>
      </c>
      <c r="N735">
        <v>550</v>
      </c>
    </row>
    <row r="736" spans="1:14" x14ac:dyDescent="0.25">
      <c r="A736">
        <v>740.45527300000003</v>
      </c>
      <c r="B736" s="1">
        <f>DATE(2012,5,10) + TIME(10,55,35)</f>
        <v>41039.455266203702</v>
      </c>
      <c r="C736">
        <v>80</v>
      </c>
      <c r="D736">
        <v>79.446884155000006</v>
      </c>
      <c r="E736">
        <v>50</v>
      </c>
      <c r="F736">
        <v>48.943321228000002</v>
      </c>
      <c r="G736">
        <v>1345.7401123</v>
      </c>
      <c r="H736">
        <v>1341.0792236</v>
      </c>
      <c r="I736">
        <v>1322.7529297000001</v>
      </c>
      <c r="J736">
        <v>1318.5834961</v>
      </c>
      <c r="K736">
        <v>550</v>
      </c>
      <c r="L736">
        <v>0</v>
      </c>
      <c r="M736">
        <v>0</v>
      </c>
      <c r="N736">
        <v>550</v>
      </c>
    </row>
    <row r="737" spans="1:14" x14ac:dyDescent="0.25">
      <c r="A737">
        <v>740.95834600000001</v>
      </c>
      <c r="B737" s="1">
        <f>DATE(2012,5,10) + TIME(23,0,1)</f>
        <v>41039.958344907405</v>
      </c>
      <c r="C737">
        <v>80</v>
      </c>
      <c r="D737">
        <v>79.514724731000001</v>
      </c>
      <c r="E737">
        <v>50</v>
      </c>
      <c r="F737">
        <v>48.903263092000003</v>
      </c>
      <c r="G737">
        <v>1345.7403564000001</v>
      </c>
      <c r="H737">
        <v>1341.0797118999999</v>
      </c>
      <c r="I737">
        <v>1322.7507324000001</v>
      </c>
      <c r="J737">
        <v>1318.5783690999999</v>
      </c>
      <c r="K737">
        <v>550</v>
      </c>
      <c r="L737">
        <v>0</v>
      </c>
      <c r="M737">
        <v>0</v>
      </c>
      <c r="N737">
        <v>550</v>
      </c>
    </row>
    <row r="738" spans="1:14" x14ac:dyDescent="0.25">
      <c r="A738">
        <v>741.47296900000003</v>
      </c>
      <c r="B738" s="1">
        <f>DATE(2012,5,11) + TIME(11,21,4)</f>
        <v>41040.472962962966</v>
      </c>
      <c r="C738">
        <v>80</v>
      </c>
      <c r="D738">
        <v>79.571479796999995</v>
      </c>
      <c r="E738">
        <v>50</v>
      </c>
      <c r="F738">
        <v>48.862663269000002</v>
      </c>
      <c r="G738">
        <v>1345.7390137</v>
      </c>
      <c r="H738">
        <v>1341.0789795000001</v>
      </c>
      <c r="I738">
        <v>1322.7484131000001</v>
      </c>
      <c r="J738">
        <v>1318.5731201000001</v>
      </c>
      <c r="K738">
        <v>550</v>
      </c>
      <c r="L738">
        <v>0</v>
      </c>
      <c r="M738">
        <v>0</v>
      </c>
      <c r="N738">
        <v>550</v>
      </c>
    </row>
    <row r="739" spans="1:14" x14ac:dyDescent="0.25">
      <c r="A739">
        <v>741.99755900000002</v>
      </c>
      <c r="B739" s="1">
        <f>DATE(2012,5,11) + TIME(23,56,29)</f>
        <v>41040.997557870367</v>
      </c>
      <c r="C739">
        <v>80</v>
      </c>
      <c r="D739">
        <v>79.618659973000007</v>
      </c>
      <c r="E739">
        <v>50</v>
      </c>
      <c r="F739">
        <v>48.821632385000001</v>
      </c>
      <c r="G739">
        <v>1345.7364502</v>
      </c>
      <c r="H739">
        <v>1341.0771483999999</v>
      </c>
      <c r="I739">
        <v>1322.7458495999999</v>
      </c>
      <c r="J739">
        <v>1318.5676269999999</v>
      </c>
      <c r="K739">
        <v>550</v>
      </c>
      <c r="L739">
        <v>0</v>
      </c>
      <c r="M739">
        <v>0</v>
      </c>
      <c r="N739">
        <v>550</v>
      </c>
    </row>
    <row r="740" spans="1:14" x14ac:dyDescent="0.25">
      <c r="A740">
        <v>742.53195500000004</v>
      </c>
      <c r="B740" s="1">
        <f>DATE(2012,5,12) + TIME(12,46,0)</f>
        <v>41041.531944444447</v>
      </c>
      <c r="C740">
        <v>80</v>
      </c>
      <c r="D740">
        <v>79.657775878999999</v>
      </c>
      <c r="E740">
        <v>50</v>
      </c>
      <c r="F740">
        <v>48.780185699</v>
      </c>
      <c r="G740">
        <v>1345.7325439000001</v>
      </c>
      <c r="H740">
        <v>1341.0744629000001</v>
      </c>
      <c r="I740">
        <v>1322.7431641000001</v>
      </c>
      <c r="J740">
        <v>1318.5620117000001</v>
      </c>
      <c r="K740">
        <v>550</v>
      </c>
      <c r="L740">
        <v>0</v>
      </c>
      <c r="M740">
        <v>0</v>
      </c>
      <c r="N740">
        <v>550</v>
      </c>
    </row>
    <row r="741" spans="1:14" x14ac:dyDescent="0.25">
      <c r="A741">
        <v>743.07727999999997</v>
      </c>
      <c r="B741" s="1">
        <f>DATE(2012,5,13) + TIME(1,51,16)</f>
        <v>41042.077268518522</v>
      </c>
      <c r="C741">
        <v>80</v>
      </c>
      <c r="D741">
        <v>79.690170288000004</v>
      </c>
      <c r="E741">
        <v>50</v>
      </c>
      <c r="F741">
        <v>48.738246918000002</v>
      </c>
      <c r="G741">
        <v>1345.7275391000001</v>
      </c>
      <c r="H741">
        <v>1341.0709228999999</v>
      </c>
      <c r="I741">
        <v>1322.7402344</v>
      </c>
      <c r="J741">
        <v>1318.5561522999999</v>
      </c>
      <c r="K741">
        <v>550</v>
      </c>
      <c r="L741">
        <v>0</v>
      </c>
      <c r="M741">
        <v>0</v>
      </c>
      <c r="N741">
        <v>550</v>
      </c>
    </row>
    <row r="742" spans="1:14" x14ac:dyDescent="0.25">
      <c r="A742">
        <v>743.63486799999998</v>
      </c>
      <c r="B742" s="1">
        <f>DATE(2012,5,13) + TIME(15,14,12)</f>
        <v>41042.63486111111</v>
      </c>
      <c r="C742">
        <v>80</v>
      </c>
      <c r="D742">
        <v>79.716987610000004</v>
      </c>
      <c r="E742">
        <v>50</v>
      </c>
      <c r="F742">
        <v>48.695735931000002</v>
      </c>
      <c r="G742">
        <v>1345.7215576000001</v>
      </c>
      <c r="H742">
        <v>1341.0665283000001</v>
      </c>
      <c r="I742">
        <v>1322.7373047000001</v>
      </c>
      <c r="J742">
        <v>1318.5501709</v>
      </c>
      <c r="K742">
        <v>550</v>
      </c>
      <c r="L742">
        <v>0</v>
      </c>
      <c r="M742">
        <v>0</v>
      </c>
      <c r="N742">
        <v>550</v>
      </c>
    </row>
    <row r="743" spans="1:14" x14ac:dyDescent="0.25">
      <c r="A743">
        <v>744.20613600000001</v>
      </c>
      <c r="B743" s="1">
        <f>DATE(2012,5,14) + TIME(4,56,50)</f>
        <v>41043.206134259257</v>
      </c>
      <c r="C743">
        <v>80</v>
      </c>
      <c r="D743">
        <v>79.739173889</v>
      </c>
      <c r="E743">
        <v>50</v>
      </c>
      <c r="F743">
        <v>48.652561188</v>
      </c>
      <c r="G743">
        <v>1345.7144774999999</v>
      </c>
      <c r="H743">
        <v>1341.0614014</v>
      </c>
      <c r="I743">
        <v>1322.7341309000001</v>
      </c>
      <c r="J743">
        <v>1318.5439452999999</v>
      </c>
      <c r="K743">
        <v>550</v>
      </c>
      <c r="L743">
        <v>0</v>
      </c>
      <c r="M743">
        <v>0</v>
      </c>
      <c r="N743">
        <v>550</v>
      </c>
    </row>
    <row r="744" spans="1:14" x14ac:dyDescent="0.25">
      <c r="A744">
        <v>744.79260799999997</v>
      </c>
      <c r="B744" s="1">
        <f>DATE(2012,5,14) + TIME(19,1,21)</f>
        <v>41043.792604166665</v>
      </c>
      <c r="C744">
        <v>80</v>
      </c>
      <c r="D744">
        <v>79.757507324000002</v>
      </c>
      <c r="E744">
        <v>50</v>
      </c>
      <c r="F744">
        <v>48.608631133999999</v>
      </c>
      <c r="G744">
        <v>1345.7064209</v>
      </c>
      <c r="H744">
        <v>1341.0556641000001</v>
      </c>
      <c r="I744">
        <v>1322.7308350000001</v>
      </c>
      <c r="J744">
        <v>1318.5374756000001</v>
      </c>
      <c r="K744">
        <v>550</v>
      </c>
      <c r="L744">
        <v>0</v>
      </c>
      <c r="M744">
        <v>0</v>
      </c>
      <c r="N744">
        <v>550</v>
      </c>
    </row>
    <row r="745" spans="1:14" x14ac:dyDescent="0.25">
      <c r="A745">
        <v>745.39594199999999</v>
      </c>
      <c r="B745" s="1">
        <f>DATE(2012,5,15) + TIME(9,30,9)</f>
        <v>41044.395937499998</v>
      </c>
      <c r="C745">
        <v>80</v>
      </c>
      <c r="D745">
        <v>79.772651671999995</v>
      </c>
      <c r="E745">
        <v>50</v>
      </c>
      <c r="F745">
        <v>48.563850403000004</v>
      </c>
      <c r="G745">
        <v>1345.6975098</v>
      </c>
      <c r="H745">
        <v>1341.0493164</v>
      </c>
      <c r="I745">
        <v>1322.7272949000001</v>
      </c>
      <c r="J745">
        <v>1318.5306396000001</v>
      </c>
      <c r="K745">
        <v>550</v>
      </c>
      <c r="L745">
        <v>0</v>
      </c>
      <c r="M745">
        <v>0</v>
      </c>
      <c r="N745">
        <v>550</v>
      </c>
    </row>
    <row r="746" spans="1:14" x14ac:dyDescent="0.25">
      <c r="A746">
        <v>746.01836900000001</v>
      </c>
      <c r="B746" s="1">
        <f>DATE(2012,5,16) + TIME(0,26,27)</f>
        <v>41045.018368055556</v>
      </c>
      <c r="C746">
        <v>80</v>
      </c>
      <c r="D746">
        <v>79.785148621000005</v>
      </c>
      <c r="E746">
        <v>50</v>
      </c>
      <c r="F746">
        <v>48.518077849999997</v>
      </c>
      <c r="G746">
        <v>1345.6878661999999</v>
      </c>
      <c r="H746">
        <v>1341.0423584</v>
      </c>
      <c r="I746">
        <v>1322.7236327999999</v>
      </c>
      <c r="J746">
        <v>1318.5236815999999</v>
      </c>
      <c r="K746">
        <v>550</v>
      </c>
      <c r="L746">
        <v>0</v>
      </c>
      <c r="M746">
        <v>0</v>
      </c>
      <c r="N746">
        <v>550</v>
      </c>
    </row>
    <row r="747" spans="1:14" x14ac:dyDescent="0.25">
      <c r="A747">
        <v>746.66197599999998</v>
      </c>
      <c r="B747" s="1">
        <f>DATE(2012,5,16) + TIME(15,53,14)</f>
        <v>41045.66196759259</v>
      </c>
      <c r="C747">
        <v>80</v>
      </c>
      <c r="D747">
        <v>79.795471191000004</v>
      </c>
      <c r="E747">
        <v>50</v>
      </c>
      <c r="F747">
        <v>48.471202849999997</v>
      </c>
      <c r="G747">
        <v>1345.6772461</v>
      </c>
      <c r="H747">
        <v>1341.0349120999999</v>
      </c>
      <c r="I747">
        <v>1322.7197266000001</v>
      </c>
      <c r="J747">
        <v>1318.5162353999999</v>
      </c>
      <c r="K747">
        <v>550</v>
      </c>
      <c r="L747">
        <v>0</v>
      </c>
      <c r="M747">
        <v>0</v>
      </c>
      <c r="N747">
        <v>550</v>
      </c>
    </row>
    <row r="748" spans="1:14" x14ac:dyDescent="0.25">
      <c r="A748">
        <v>747.32169399999998</v>
      </c>
      <c r="B748" s="1">
        <f>DATE(2012,5,17) + TIME(7,43,14)</f>
        <v>41046.321689814817</v>
      </c>
      <c r="C748">
        <v>80</v>
      </c>
      <c r="D748">
        <v>79.803901671999995</v>
      </c>
      <c r="E748">
        <v>50</v>
      </c>
      <c r="F748">
        <v>48.423545836999999</v>
      </c>
      <c r="G748">
        <v>1345.6660156</v>
      </c>
      <c r="H748">
        <v>1341.0268555</v>
      </c>
      <c r="I748">
        <v>1322.7155762</v>
      </c>
      <c r="J748">
        <v>1318.5085449000001</v>
      </c>
      <c r="K748">
        <v>550</v>
      </c>
      <c r="L748">
        <v>0</v>
      </c>
      <c r="M748">
        <v>0</v>
      </c>
      <c r="N748">
        <v>550</v>
      </c>
    </row>
    <row r="749" spans="1:14" x14ac:dyDescent="0.25">
      <c r="A749">
        <v>747.99915899999996</v>
      </c>
      <c r="B749" s="1">
        <f>DATE(2012,5,17) + TIME(23,58,47)</f>
        <v>41046.999155092592</v>
      </c>
      <c r="C749">
        <v>80</v>
      </c>
      <c r="D749">
        <v>79.810791015999996</v>
      </c>
      <c r="E749">
        <v>50</v>
      </c>
      <c r="F749">
        <v>48.375019072999997</v>
      </c>
      <c r="G749">
        <v>1345.6541748</v>
      </c>
      <c r="H749">
        <v>1341.0185547000001</v>
      </c>
      <c r="I749">
        <v>1322.7113036999999</v>
      </c>
      <c r="J749">
        <v>1318.5004882999999</v>
      </c>
      <c r="K749">
        <v>550</v>
      </c>
      <c r="L749">
        <v>0</v>
      </c>
      <c r="M749">
        <v>0</v>
      </c>
      <c r="N749">
        <v>550</v>
      </c>
    </row>
    <row r="750" spans="1:14" x14ac:dyDescent="0.25">
      <c r="A750">
        <v>748.69602599999996</v>
      </c>
      <c r="B750" s="1">
        <f>DATE(2012,5,18) + TIME(16,42,16)</f>
        <v>41047.696018518516</v>
      </c>
      <c r="C750">
        <v>80</v>
      </c>
      <c r="D750">
        <v>79.816444396999998</v>
      </c>
      <c r="E750">
        <v>50</v>
      </c>
      <c r="F750">
        <v>48.325531005999999</v>
      </c>
      <c r="G750">
        <v>1345.6417236</v>
      </c>
      <c r="H750">
        <v>1341.0097656</v>
      </c>
      <c r="I750">
        <v>1322.7067870999999</v>
      </c>
      <c r="J750">
        <v>1318.4921875</v>
      </c>
      <c r="K750">
        <v>550</v>
      </c>
      <c r="L750">
        <v>0</v>
      </c>
      <c r="M750">
        <v>0</v>
      </c>
      <c r="N750">
        <v>550</v>
      </c>
    </row>
    <row r="751" spans="1:14" x14ac:dyDescent="0.25">
      <c r="A751">
        <v>749.41411500000004</v>
      </c>
      <c r="B751" s="1">
        <f>DATE(2012,5,19) + TIME(9,56,19)</f>
        <v>41048.4141087963</v>
      </c>
      <c r="C751">
        <v>80</v>
      </c>
      <c r="D751">
        <v>79.821075438999998</v>
      </c>
      <c r="E751">
        <v>50</v>
      </c>
      <c r="F751">
        <v>48.274993895999998</v>
      </c>
      <c r="G751">
        <v>1345.6286620999999</v>
      </c>
      <c r="H751">
        <v>1341.0007324000001</v>
      </c>
      <c r="I751">
        <v>1322.7019043</v>
      </c>
      <c r="J751">
        <v>1318.4833983999999</v>
      </c>
      <c r="K751">
        <v>550</v>
      </c>
      <c r="L751">
        <v>0</v>
      </c>
      <c r="M751">
        <v>0</v>
      </c>
      <c r="N751">
        <v>550</v>
      </c>
    </row>
    <row r="752" spans="1:14" x14ac:dyDescent="0.25">
      <c r="A752">
        <v>750.15549699999997</v>
      </c>
      <c r="B752" s="1">
        <f>DATE(2012,5,20) + TIME(3,43,54)</f>
        <v>41049.155486111114</v>
      </c>
      <c r="C752">
        <v>80</v>
      </c>
      <c r="D752">
        <v>79.824890136999997</v>
      </c>
      <c r="E752">
        <v>50</v>
      </c>
      <c r="F752">
        <v>48.223297119000001</v>
      </c>
      <c r="G752">
        <v>1345.6151123</v>
      </c>
      <c r="H752">
        <v>1340.9912108999999</v>
      </c>
      <c r="I752">
        <v>1322.6968993999999</v>
      </c>
      <c r="J752">
        <v>1318.4742432</v>
      </c>
      <c r="K752">
        <v>550</v>
      </c>
      <c r="L752">
        <v>0</v>
      </c>
      <c r="M752">
        <v>0</v>
      </c>
      <c r="N752">
        <v>550</v>
      </c>
    </row>
    <row r="753" spans="1:14" x14ac:dyDescent="0.25">
      <c r="A753">
        <v>750.923089</v>
      </c>
      <c r="B753" s="1">
        <f>DATE(2012,5,20) + TIME(22,9,14)</f>
        <v>41049.923078703701</v>
      </c>
      <c r="C753">
        <v>80</v>
      </c>
      <c r="D753">
        <v>79.828025818</v>
      </c>
      <c r="E753">
        <v>50</v>
      </c>
      <c r="F753">
        <v>48.170284271</v>
      </c>
      <c r="G753">
        <v>1345.6010742000001</v>
      </c>
      <c r="H753">
        <v>1340.9814452999999</v>
      </c>
      <c r="I753">
        <v>1322.6916504000001</v>
      </c>
      <c r="J753">
        <v>1318.4647216999999</v>
      </c>
      <c r="K753">
        <v>550</v>
      </c>
      <c r="L753">
        <v>0</v>
      </c>
      <c r="M753">
        <v>0</v>
      </c>
      <c r="N753">
        <v>550</v>
      </c>
    </row>
    <row r="754" spans="1:14" x14ac:dyDescent="0.25">
      <c r="A754">
        <v>751.71953299999996</v>
      </c>
      <c r="B754" s="1">
        <f>DATE(2012,5,21) + TIME(17,16,7)</f>
        <v>41050.719525462962</v>
      </c>
      <c r="C754">
        <v>80</v>
      </c>
      <c r="D754">
        <v>79.830619811999995</v>
      </c>
      <c r="E754">
        <v>50</v>
      </c>
      <c r="F754">
        <v>48.115825653000002</v>
      </c>
      <c r="G754">
        <v>1345.5864257999999</v>
      </c>
      <c r="H754">
        <v>1340.9714355000001</v>
      </c>
      <c r="I754">
        <v>1322.6861572</v>
      </c>
      <c r="J754">
        <v>1318.4545897999999</v>
      </c>
      <c r="K754">
        <v>550</v>
      </c>
      <c r="L754">
        <v>0</v>
      </c>
      <c r="M754">
        <v>0</v>
      </c>
      <c r="N754">
        <v>550</v>
      </c>
    </row>
    <row r="755" spans="1:14" x14ac:dyDescent="0.25">
      <c r="A755">
        <v>752.54784800000004</v>
      </c>
      <c r="B755" s="1">
        <f>DATE(2012,5,22) + TIME(13,8,54)</f>
        <v>41051.547847222224</v>
      </c>
      <c r="C755">
        <v>80</v>
      </c>
      <c r="D755">
        <v>79.832778931000007</v>
      </c>
      <c r="E755">
        <v>50</v>
      </c>
      <c r="F755">
        <v>48.059768677000001</v>
      </c>
      <c r="G755">
        <v>1345.5712891000001</v>
      </c>
      <c r="H755">
        <v>1340.9610596</v>
      </c>
      <c r="I755">
        <v>1322.6802978999999</v>
      </c>
      <c r="J755">
        <v>1318.4439697</v>
      </c>
      <c r="K755">
        <v>550</v>
      </c>
      <c r="L755">
        <v>0</v>
      </c>
      <c r="M755">
        <v>0</v>
      </c>
      <c r="N755">
        <v>550</v>
      </c>
    </row>
    <row r="756" spans="1:14" x14ac:dyDescent="0.25">
      <c r="A756">
        <v>753.41146800000001</v>
      </c>
      <c r="B756" s="1">
        <f>DATE(2012,5,23) + TIME(9,52,30)</f>
        <v>41052.411458333336</v>
      </c>
      <c r="C756">
        <v>80</v>
      </c>
      <c r="D756">
        <v>79.834564209000007</v>
      </c>
      <c r="E756">
        <v>50</v>
      </c>
      <c r="F756">
        <v>48.001949310000001</v>
      </c>
      <c r="G756">
        <v>1345.5555420000001</v>
      </c>
      <c r="H756">
        <v>1340.9503173999999</v>
      </c>
      <c r="I756">
        <v>1322.6740723</v>
      </c>
      <c r="J756">
        <v>1318.4328613</v>
      </c>
      <c r="K756">
        <v>550</v>
      </c>
      <c r="L756">
        <v>0</v>
      </c>
      <c r="M756">
        <v>0</v>
      </c>
      <c r="N756">
        <v>550</v>
      </c>
    </row>
    <row r="757" spans="1:14" x14ac:dyDescent="0.25">
      <c r="A757">
        <v>754.31172400000003</v>
      </c>
      <c r="B757" s="1">
        <f>DATE(2012,5,24) + TIME(7,28,52)</f>
        <v>41053.311712962961</v>
      </c>
      <c r="C757">
        <v>80</v>
      </c>
      <c r="D757">
        <v>79.836051940999994</v>
      </c>
      <c r="E757">
        <v>50</v>
      </c>
      <c r="F757">
        <v>47.942314148000001</v>
      </c>
      <c r="G757">
        <v>1345.5393065999999</v>
      </c>
      <c r="H757">
        <v>1340.9392089999999</v>
      </c>
      <c r="I757">
        <v>1322.6674805</v>
      </c>
      <c r="J757">
        <v>1318.4210204999999</v>
      </c>
      <c r="K757">
        <v>550</v>
      </c>
      <c r="L757">
        <v>0</v>
      </c>
      <c r="M757">
        <v>0</v>
      </c>
      <c r="N757">
        <v>550</v>
      </c>
    </row>
    <row r="758" spans="1:14" x14ac:dyDescent="0.25">
      <c r="A758">
        <v>755.24081899999999</v>
      </c>
      <c r="B758" s="1">
        <f>DATE(2012,5,25) + TIME(5,46,46)</f>
        <v>41054.240810185183</v>
      </c>
      <c r="C758">
        <v>80</v>
      </c>
      <c r="D758">
        <v>79.837280273000005</v>
      </c>
      <c r="E758">
        <v>50</v>
      </c>
      <c r="F758">
        <v>47.881298065000003</v>
      </c>
      <c r="G758">
        <v>1345.5225829999999</v>
      </c>
      <c r="H758">
        <v>1340.9278564000001</v>
      </c>
      <c r="I758">
        <v>1322.6605225000001</v>
      </c>
      <c r="J758">
        <v>1318.4084473</v>
      </c>
      <c r="K758">
        <v>550</v>
      </c>
      <c r="L758">
        <v>0</v>
      </c>
      <c r="M758">
        <v>0</v>
      </c>
      <c r="N758">
        <v>550</v>
      </c>
    </row>
    <row r="759" spans="1:14" x14ac:dyDescent="0.25">
      <c r="A759">
        <v>756.19210199999998</v>
      </c>
      <c r="B759" s="1">
        <f>DATE(2012,5,26) + TIME(4,36,37)</f>
        <v>41055.192094907405</v>
      </c>
      <c r="C759">
        <v>80</v>
      </c>
      <c r="D759">
        <v>79.838294982999997</v>
      </c>
      <c r="E759">
        <v>50</v>
      </c>
      <c r="F759">
        <v>47.819286345999998</v>
      </c>
      <c r="G759">
        <v>1345.5054932</v>
      </c>
      <c r="H759">
        <v>1340.9163818</v>
      </c>
      <c r="I759">
        <v>1322.6531981999999</v>
      </c>
      <c r="J759">
        <v>1318.3955077999999</v>
      </c>
      <c r="K759">
        <v>550</v>
      </c>
      <c r="L759">
        <v>0</v>
      </c>
      <c r="M759">
        <v>0</v>
      </c>
      <c r="N759">
        <v>550</v>
      </c>
    </row>
    <row r="760" spans="1:14" x14ac:dyDescent="0.25">
      <c r="A760">
        <v>757.15339900000004</v>
      </c>
      <c r="B760" s="1">
        <f>DATE(2012,5,27) + TIME(3,40,53)</f>
        <v>41056.153391203705</v>
      </c>
      <c r="C760">
        <v>80</v>
      </c>
      <c r="D760">
        <v>79.839111328000001</v>
      </c>
      <c r="E760">
        <v>50</v>
      </c>
      <c r="F760">
        <v>47.756946564000003</v>
      </c>
      <c r="G760">
        <v>1345.4882812000001</v>
      </c>
      <c r="H760">
        <v>1340.9047852000001</v>
      </c>
      <c r="I760">
        <v>1322.6456298999999</v>
      </c>
      <c r="J760">
        <v>1318.3819579999999</v>
      </c>
      <c r="K760">
        <v>550</v>
      </c>
      <c r="L760">
        <v>0</v>
      </c>
      <c r="M760">
        <v>0</v>
      </c>
      <c r="N760">
        <v>550</v>
      </c>
    </row>
    <row r="761" spans="1:14" x14ac:dyDescent="0.25">
      <c r="A761">
        <v>758.12765999999999</v>
      </c>
      <c r="B761" s="1">
        <f>DATE(2012,5,28) + TIME(3,3,49)</f>
        <v>41057.127650462964</v>
      </c>
      <c r="C761">
        <v>80</v>
      </c>
      <c r="D761">
        <v>79.839790343999994</v>
      </c>
      <c r="E761">
        <v>50</v>
      </c>
      <c r="F761">
        <v>47.694187163999999</v>
      </c>
      <c r="G761">
        <v>1345.4710693</v>
      </c>
      <c r="H761">
        <v>1340.8933105000001</v>
      </c>
      <c r="I761">
        <v>1322.6378173999999</v>
      </c>
      <c r="J761">
        <v>1318.3679199000001</v>
      </c>
      <c r="K761">
        <v>550</v>
      </c>
      <c r="L761">
        <v>0</v>
      </c>
      <c r="M761">
        <v>0</v>
      </c>
      <c r="N761">
        <v>550</v>
      </c>
    </row>
    <row r="762" spans="1:14" x14ac:dyDescent="0.25">
      <c r="A762">
        <v>759.11774700000001</v>
      </c>
      <c r="B762" s="1">
        <f>DATE(2012,5,29) + TIME(2,49,33)</f>
        <v>41058.117743055554</v>
      </c>
      <c r="C762">
        <v>80</v>
      </c>
      <c r="D762">
        <v>79.840347289999997</v>
      </c>
      <c r="E762">
        <v>50</v>
      </c>
      <c r="F762">
        <v>47.630901336999997</v>
      </c>
      <c r="G762">
        <v>1345.4539795000001</v>
      </c>
      <c r="H762">
        <v>1340.8818358999999</v>
      </c>
      <c r="I762">
        <v>1322.6297606999999</v>
      </c>
      <c r="J762">
        <v>1318.3536377</v>
      </c>
      <c r="K762">
        <v>550</v>
      </c>
      <c r="L762">
        <v>0</v>
      </c>
      <c r="M762">
        <v>0</v>
      </c>
      <c r="N762">
        <v>550</v>
      </c>
    </row>
    <row r="763" spans="1:14" x14ac:dyDescent="0.25">
      <c r="A763">
        <v>760.12770599999999</v>
      </c>
      <c r="B763" s="1">
        <f>DATE(2012,5,30) + TIME(3,3,53)</f>
        <v>41059.127696759257</v>
      </c>
      <c r="C763">
        <v>80</v>
      </c>
      <c r="D763">
        <v>79.840805054</v>
      </c>
      <c r="E763">
        <v>50</v>
      </c>
      <c r="F763">
        <v>47.566928863999998</v>
      </c>
      <c r="G763">
        <v>1345.4368896000001</v>
      </c>
      <c r="H763">
        <v>1340.8703613</v>
      </c>
      <c r="I763">
        <v>1322.6214600000001</v>
      </c>
      <c r="J763">
        <v>1318.3387451000001</v>
      </c>
      <c r="K763">
        <v>550</v>
      </c>
      <c r="L763">
        <v>0</v>
      </c>
      <c r="M763">
        <v>0</v>
      </c>
      <c r="N763">
        <v>550</v>
      </c>
    </row>
    <row r="764" spans="1:14" x14ac:dyDescent="0.25">
      <c r="A764">
        <v>761.16104900000005</v>
      </c>
      <c r="B764" s="1">
        <f>DATE(2012,5,31) + TIME(3,51,54)</f>
        <v>41060.161041666666</v>
      </c>
      <c r="C764">
        <v>80</v>
      </c>
      <c r="D764">
        <v>79.841186523000005</v>
      </c>
      <c r="E764">
        <v>50</v>
      </c>
      <c r="F764">
        <v>47.502117157000001</v>
      </c>
      <c r="G764">
        <v>1345.4196777</v>
      </c>
      <c r="H764">
        <v>1340.8590088000001</v>
      </c>
      <c r="I764">
        <v>1322.6129149999999</v>
      </c>
      <c r="J764">
        <v>1318.3234863</v>
      </c>
      <c r="K764">
        <v>550</v>
      </c>
      <c r="L764">
        <v>0</v>
      </c>
      <c r="M764">
        <v>0</v>
      </c>
      <c r="N764">
        <v>550</v>
      </c>
    </row>
    <row r="765" spans="1:14" x14ac:dyDescent="0.25">
      <c r="A765">
        <v>762</v>
      </c>
      <c r="B765" s="1">
        <f>DATE(2012,6,1) + TIME(0,0,0)</f>
        <v>41061</v>
      </c>
      <c r="C765">
        <v>80</v>
      </c>
      <c r="D765">
        <v>79.841438292999996</v>
      </c>
      <c r="E765">
        <v>50</v>
      </c>
      <c r="F765">
        <v>47.447612761999999</v>
      </c>
      <c r="G765">
        <v>1345.4025879000001</v>
      </c>
      <c r="H765">
        <v>1340.8476562000001</v>
      </c>
      <c r="I765">
        <v>1322.604126</v>
      </c>
      <c r="J765">
        <v>1318.3083495999999</v>
      </c>
      <c r="K765">
        <v>550</v>
      </c>
      <c r="L765">
        <v>0</v>
      </c>
      <c r="M765">
        <v>0</v>
      </c>
      <c r="N765">
        <v>550</v>
      </c>
    </row>
    <row r="766" spans="1:14" x14ac:dyDescent="0.25">
      <c r="A766">
        <v>763.060204</v>
      </c>
      <c r="B766" s="1">
        <f>DATE(2012,6,2) + TIME(1,26,41)</f>
        <v>41062.060196759259</v>
      </c>
      <c r="C766">
        <v>80</v>
      </c>
      <c r="D766">
        <v>79.841705321999996</v>
      </c>
      <c r="E766">
        <v>50</v>
      </c>
      <c r="F766">
        <v>47.382617949999997</v>
      </c>
      <c r="G766">
        <v>1345.3886719</v>
      </c>
      <c r="H766">
        <v>1340.838501</v>
      </c>
      <c r="I766">
        <v>1322.5965576000001</v>
      </c>
      <c r="J766">
        <v>1318.2941894999999</v>
      </c>
      <c r="K766">
        <v>550</v>
      </c>
      <c r="L766">
        <v>0</v>
      </c>
      <c r="M766">
        <v>0</v>
      </c>
      <c r="N766">
        <v>550</v>
      </c>
    </row>
    <row r="767" spans="1:14" x14ac:dyDescent="0.25">
      <c r="A767">
        <v>764.15240200000005</v>
      </c>
      <c r="B767" s="1">
        <f>DATE(2012,6,3) + TIME(3,39,27)</f>
        <v>41063.152395833335</v>
      </c>
      <c r="C767">
        <v>80</v>
      </c>
      <c r="D767">
        <v>79.841934203999998</v>
      </c>
      <c r="E767">
        <v>50</v>
      </c>
      <c r="F767">
        <v>47.316383362000003</v>
      </c>
      <c r="G767">
        <v>1345.3714600000001</v>
      </c>
      <c r="H767">
        <v>1340.8271483999999</v>
      </c>
      <c r="I767">
        <v>1322.5872803</v>
      </c>
      <c r="J767">
        <v>1318.2775879000001</v>
      </c>
      <c r="K767">
        <v>550</v>
      </c>
      <c r="L767">
        <v>0</v>
      </c>
      <c r="M767">
        <v>0</v>
      </c>
      <c r="N767">
        <v>550</v>
      </c>
    </row>
    <row r="768" spans="1:14" x14ac:dyDescent="0.25">
      <c r="A768">
        <v>765.26214200000004</v>
      </c>
      <c r="B768" s="1">
        <f>DATE(2012,6,4) + TIME(6,17,29)</f>
        <v>41064.262141203704</v>
      </c>
      <c r="C768">
        <v>80</v>
      </c>
      <c r="D768">
        <v>79.842117310000006</v>
      </c>
      <c r="E768">
        <v>50</v>
      </c>
      <c r="F768">
        <v>47.249618529999999</v>
      </c>
      <c r="G768">
        <v>1345.3542480000001</v>
      </c>
      <c r="H768">
        <v>1340.8157959</v>
      </c>
      <c r="I768">
        <v>1322.5776367000001</v>
      </c>
      <c r="J768">
        <v>1318.2602539</v>
      </c>
      <c r="K768">
        <v>550</v>
      </c>
      <c r="L768">
        <v>0</v>
      </c>
      <c r="M768">
        <v>0</v>
      </c>
      <c r="N768">
        <v>550</v>
      </c>
    </row>
    <row r="769" spans="1:14" x14ac:dyDescent="0.25">
      <c r="A769">
        <v>766.39245000000005</v>
      </c>
      <c r="B769" s="1">
        <f>DATE(2012,6,5) + TIME(9,25,7)</f>
        <v>41065.392442129632</v>
      </c>
      <c r="C769">
        <v>80</v>
      </c>
      <c r="D769">
        <v>79.842262267999999</v>
      </c>
      <c r="E769">
        <v>50</v>
      </c>
      <c r="F769">
        <v>47.182239531999997</v>
      </c>
      <c r="G769">
        <v>1345.3369141000001</v>
      </c>
      <c r="H769">
        <v>1340.8044434000001</v>
      </c>
      <c r="I769">
        <v>1322.567749</v>
      </c>
      <c r="J769">
        <v>1318.2423096</v>
      </c>
      <c r="K769">
        <v>550</v>
      </c>
      <c r="L769">
        <v>0</v>
      </c>
      <c r="M769">
        <v>0</v>
      </c>
      <c r="N769">
        <v>550</v>
      </c>
    </row>
    <row r="770" spans="1:14" x14ac:dyDescent="0.25">
      <c r="A770">
        <v>767.54697299999998</v>
      </c>
      <c r="B770" s="1">
        <f>DATE(2012,6,6) + TIME(13,7,38)</f>
        <v>41066.546967592592</v>
      </c>
      <c r="C770">
        <v>80</v>
      </c>
      <c r="D770">
        <v>79.842384338000002</v>
      </c>
      <c r="E770">
        <v>50</v>
      </c>
      <c r="F770">
        <v>47.114131927000003</v>
      </c>
      <c r="G770">
        <v>1345.3197021000001</v>
      </c>
      <c r="H770">
        <v>1340.7932129000001</v>
      </c>
      <c r="I770">
        <v>1322.5574951000001</v>
      </c>
      <c r="J770">
        <v>1318.223999</v>
      </c>
      <c r="K770">
        <v>550</v>
      </c>
      <c r="L770">
        <v>0</v>
      </c>
      <c r="M770">
        <v>0</v>
      </c>
      <c r="N770">
        <v>550</v>
      </c>
    </row>
    <row r="771" spans="1:14" x14ac:dyDescent="0.25">
      <c r="A771">
        <v>768.73031900000001</v>
      </c>
      <c r="B771" s="1">
        <f>DATE(2012,6,7) + TIME(17,31,39)</f>
        <v>41067.730312500003</v>
      </c>
      <c r="C771">
        <v>80</v>
      </c>
      <c r="D771">
        <v>79.842483521000005</v>
      </c>
      <c r="E771">
        <v>50</v>
      </c>
      <c r="F771">
        <v>47.045135498</v>
      </c>
      <c r="G771">
        <v>1345.3024902</v>
      </c>
      <c r="H771">
        <v>1340.7818603999999</v>
      </c>
      <c r="I771">
        <v>1322.546875</v>
      </c>
      <c r="J771">
        <v>1318.2048339999999</v>
      </c>
      <c r="K771">
        <v>550</v>
      </c>
      <c r="L771">
        <v>0</v>
      </c>
      <c r="M771">
        <v>0</v>
      </c>
      <c r="N771">
        <v>550</v>
      </c>
    </row>
    <row r="772" spans="1:14" x14ac:dyDescent="0.25">
      <c r="A772">
        <v>769.94619999999998</v>
      </c>
      <c r="B772" s="1">
        <f>DATE(2012,6,8) + TIME(22,42,31)</f>
        <v>41068.946192129632</v>
      </c>
      <c r="C772">
        <v>80</v>
      </c>
      <c r="D772">
        <v>79.842552185000002</v>
      </c>
      <c r="E772">
        <v>50</v>
      </c>
      <c r="F772">
        <v>46.975128173999998</v>
      </c>
      <c r="G772">
        <v>1345.2851562000001</v>
      </c>
      <c r="H772">
        <v>1340.7706298999999</v>
      </c>
      <c r="I772">
        <v>1322.5360106999999</v>
      </c>
      <c r="J772">
        <v>1318.1851807</v>
      </c>
      <c r="K772">
        <v>550</v>
      </c>
      <c r="L772">
        <v>0</v>
      </c>
      <c r="M772">
        <v>0</v>
      </c>
      <c r="N772">
        <v>550</v>
      </c>
    </row>
    <row r="773" spans="1:14" x14ac:dyDescent="0.25">
      <c r="A773">
        <v>771.19874200000004</v>
      </c>
      <c r="B773" s="1">
        <f>DATE(2012,6,10) + TIME(4,46,11)</f>
        <v>41070.198738425926</v>
      </c>
      <c r="C773">
        <v>80</v>
      </c>
      <c r="D773">
        <v>79.842613220000004</v>
      </c>
      <c r="E773">
        <v>50</v>
      </c>
      <c r="F773">
        <v>46.903972625999998</v>
      </c>
      <c r="G773">
        <v>1345.2677002</v>
      </c>
      <c r="H773">
        <v>1340.7592772999999</v>
      </c>
      <c r="I773">
        <v>1322.5246582</v>
      </c>
      <c r="J773">
        <v>1318.1646728999999</v>
      </c>
      <c r="K773">
        <v>550</v>
      </c>
      <c r="L773">
        <v>0</v>
      </c>
      <c r="M773">
        <v>0</v>
      </c>
      <c r="N773">
        <v>550</v>
      </c>
    </row>
    <row r="774" spans="1:14" x14ac:dyDescent="0.25">
      <c r="A774">
        <v>772.49256300000002</v>
      </c>
      <c r="B774" s="1">
        <f>DATE(2012,6,11) + TIME(11,49,17)</f>
        <v>41071.49255787037</v>
      </c>
      <c r="C774">
        <v>80</v>
      </c>
      <c r="D774">
        <v>79.842658997000001</v>
      </c>
      <c r="E774">
        <v>50</v>
      </c>
      <c r="F774">
        <v>46.831516266000001</v>
      </c>
      <c r="G774">
        <v>1345.2501221</v>
      </c>
      <c r="H774">
        <v>1340.7478027</v>
      </c>
      <c r="I774">
        <v>1322.5129394999999</v>
      </c>
      <c r="J774">
        <v>1318.1433105000001</v>
      </c>
      <c r="K774">
        <v>550</v>
      </c>
      <c r="L774">
        <v>0</v>
      </c>
      <c r="M774">
        <v>0</v>
      </c>
      <c r="N774">
        <v>550</v>
      </c>
    </row>
    <row r="775" spans="1:14" x14ac:dyDescent="0.25">
      <c r="A775">
        <v>773.83283600000004</v>
      </c>
      <c r="B775" s="1">
        <f>DATE(2012,6,12) + TIME(19,59,17)</f>
        <v>41072.832835648151</v>
      </c>
      <c r="C775">
        <v>80</v>
      </c>
      <c r="D775">
        <v>79.842689514</v>
      </c>
      <c r="E775">
        <v>50</v>
      </c>
      <c r="F775">
        <v>46.757598877</v>
      </c>
      <c r="G775">
        <v>1345.2322998</v>
      </c>
      <c r="H775">
        <v>1340.7362060999999</v>
      </c>
      <c r="I775">
        <v>1322.5007324000001</v>
      </c>
      <c r="J775">
        <v>1318.1210937999999</v>
      </c>
      <c r="K775">
        <v>550</v>
      </c>
      <c r="L775">
        <v>0</v>
      </c>
      <c r="M775">
        <v>0</v>
      </c>
      <c r="N775">
        <v>550</v>
      </c>
    </row>
    <row r="776" spans="1:14" x14ac:dyDescent="0.25">
      <c r="A776">
        <v>775.20623499999999</v>
      </c>
      <c r="B776" s="1">
        <f>DATE(2012,6,14) + TIME(4,56,58)</f>
        <v>41074.206226851849</v>
      </c>
      <c r="C776">
        <v>80</v>
      </c>
      <c r="D776">
        <v>79.842712402000004</v>
      </c>
      <c r="E776">
        <v>50</v>
      </c>
      <c r="F776">
        <v>46.682804107999999</v>
      </c>
      <c r="G776">
        <v>1345.2141113</v>
      </c>
      <c r="H776">
        <v>1340.7244873</v>
      </c>
      <c r="I776">
        <v>1322.4880370999999</v>
      </c>
      <c r="J776">
        <v>1318.0979004000001</v>
      </c>
      <c r="K776">
        <v>550</v>
      </c>
      <c r="L776">
        <v>0</v>
      </c>
      <c r="M776">
        <v>0</v>
      </c>
      <c r="N776">
        <v>550</v>
      </c>
    </row>
    <row r="777" spans="1:14" x14ac:dyDescent="0.25">
      <c r="A777">
        <v>776.60841800000003</v>
      </c>
      <c r="B777" s="1">
        <f>DATE(2012,6,15) + TIME(14,36,7)</f>
        <v>41075.608414351853</v>
      </c>
      <c r="C777">
        <v>80</v>
      </c>
      <c r="D777">
        <v>79.842727660999998</v>
      </c>
      <c r="E777">
        <v>50</v>
      </c>
      <c r="F777">
        <v>46.607398987000003</v>
      </c>
      <c r="G777">
        <v>1345.1960449000001</v>
      </c>
      <c r="H777">
        <v>1340.7127685999999</v>
      </c>
      <c r="I777">
        <v>1322.4748535000001</v>
      </c>
      <c r="J777">
        <v>1318.0739745999999</v>
      </c>
      <c r="K777">
        <v>550</v>
      </c>
      <c r="L777">
        <v>0</v>
      </c>
      <c r="M777">
        <v>0</v>
      </c>
      <c r="N777">
        <v>550</v>
      </c>
    </row>
    <row r="778" spans="1:14" x14ac:dyDescent="0.25">
      <c r="A778">
        <v>778.04368699999998</v>
      </c>
      <c r="B778" s="1">
        <f>DATE(2012,6,17) + TIME(1,2,54)</f>
        <v>41077.043680555558</v>
      </c>
      <c r="C778">
        <v>80</v>
      </c>
      <c r="D778">
        <v>79.842727660999998</v>
      </c>
      <c r="E778">
        <v>50</v>
      </c>
      <c r="F778">
        <v>46.531322479000004</v>
      </c>
      <c r="G778">
        <v>1345.1778564000001</v>
      </c>
      <c r="H778">
        <v>1340.7010498</v>
      </c>
      <c r="I778">
        <v>1322.4614257999999</v>
      </c>
      <c r="J778">
        <v>1318.0491943</v>
      </c>
      <c r="K778">
        <v>550</v>
      </c>
      <c r="L778">
        <v>0</v>
      </c>
      <c r="M778">
        <v>0</v>
      </c>
      <c r="N778">
        <v>550</v>
      </c>
    </row>
    <row r="779" spans="1:14" x14ac:dyDescent="0.25">
      <c r="A779">
        <v>779.51886100000002</v>
      </c>
      <c r="B779" s="1">
        <f>DATE(2012,6,18) + TIME(12,27,9)</f>
        <v>41078.518854166665</v>
      </c>
      <c r="C779">
        <v>80</v>
      </c>
      <c r="D779">
        <v>79.842727660999998</v>
      </c>
      <c r="E779">
        <v>50</v>
      </c>
      <c r="F779">
        <v>46.454414368000002</v>
      </c>
      <c r="G779">
        <v>1345.159668</v>
      </c>
      <c r="H779">
        <v>1340.6892089999999</v>
      </c>
      <c r="I779">
        <v>1322.4475098</v>
      </c>
      <c r="J779">
        <v>1318.0236815999999</v>
      </c>
      <c r="K779">
        <v>550</v>
      </c>
      <c r="L779">
        <v>0</v>
      </c>
      <c r="M779">
        <v>0</v>
      </c>
      <c r="N779">
        <v>550</v>
      </c>
    </row>
    <row r="780" spans="1:14" x14ac:dyDescent="0.25">
      <c r="A780">
        <v>781.03889500000002</v>
      </c>
      <c r="B780" s="1">
        <f>DATE(2012,6,20) + TIME(0,56,0)</f>
        <v>41080.038888888892</v>
      </c>
      <c r="C780">
        <v>80</v>
      </c>
      <c r="D780">
        <v>79.842727660999998</v>
      </c>
      <c r="E780">
        <v>50</v>
      </c>
      <c r="F780">
        <v>46.376586914000001</v>
      </c>
      <c r="G780">
        <v>1345.1413574000001</v>
      </c>
      <c r="H780">
        <v>1340.6773682</v>
      </c>
      <c r="I780">
        <v>1322.4332274999999</v>
      </c>
      <c r="J780">
        <v>1317.9973144999999</v>
      </c>
      <c r="K780">
        <v>550</v>
      </c>
      <c r="L780">
        <v>0</v>
      </c>
      <c r="M780">
        <v>0</v>
      </c>
      <c r="N780">
        <v>550</v>
      </c>
    </row>
    <row r="781" spans="1:14" x14ac:dyDescent="0.25">
      <c r="A781">
        <v>782.59900000000005</v>
      </c>
      <c r="B781" s="1">
        <f>DATE(2012,6,21) + TIME(14,22,33)</f>
        <v>41081.598993055559</v>
      </c>
      <c r="C781">
        <v>80</v>
      </c>
      <c r="D781">
        <v>79.842720032000003</v>
      </c>
      <c r="E781">
        <v>50</v>
      </c>
      <c r="F781">
        <v>46.298110962000003</v>
      </c>
      <c r="G781">
        <v>1345.1229248</v>
      </c>
      <c r="H781">
        <v>1340.6655272999999</v>
      </c>
      <c r="I781">
        <v>1322.418457</v>
      </c>
      <c r="J781">
        <v>1317.9699707</v>
      </c>
      <c r="K781">
        <v>550</v>
      </c>
      <c r="L781">
        <v>0</v>
      </c>
      <c r="M781">
        <v>0</v>
      </c>
      <c r="N781">
        <v>550</v>
      </c>
    </row>
    <row r="782" spans="1:14" x14ac:dyDescent="0.25">
      <c r="A782">
        <v>784.17060900000001</v>
      </c>
      <c r="B782" s="1">
        <f>DATE(2012,6,23) + TIME(4,5,40)</f>
        <v>41083.170601851853</v>
      </c>
      <c r="C782">
        <v>80</v>
      </c>
      <c r="D782">
        <v>79.842704772999994</v>
      </c>
      <c r="E782">
        <v>50</v>
      </c>
      <c r="F782">
        <v>46.220111846999998</v>
      </c>
      <c r="G782">
        <v>1345.1043701000001</v>
      </c>
      <c r="H782">
        <v>1340.6534423999999</v>
      </c>
      <c r="I782">
        <v>1322.4033202999999</v>
      </c>
      <c r="J782">
        <v>1317.9417725000001</v>
      </c>
      <c r="K782">
        <v>550</v>
      </c>
      <c r="L782">
        <v>0</v>
      </c>
      <c r="M782">
        <v>0</v>
      </c>
      <c r="N782">
        <v>550</v>
      </c>
    </row>
    <row r="783" spans="1:14" x14ac:dyDescent="0.25">
      <c r="A783">
        <v>785.75753899999995</v>
      </c>
      <c r="B783" s="1">
        <f>DATE(2012,6,24) + TIME(18,10,51)</f>
        <v>41084.757534722223</v>
      </c>
      <c r="C783">
        <v>80</v>
      </c>
      <c r="D783">
        <v>79.842689514</v>
      </c>
      <c r="E783">
        <v>50</v>
      </c>
      <c r="F783">
        <v>46.142665862999998</v>
      </c>
      <c r="G783">
        <v>1345.0860596</v>
      </c>
      <c r="H783">
        <v>1340.6416016000001</v>
      </c>
      <c r="I783">
        <v>1322.3879394999999</v>
      </c>
      <c r="J783">
        <v>1317.9132079999999</v>
      </c>
      <c r="K783">
        <v>550</v>
      </c>
      <c r="L783">
        <v>0</v>
      </c>
      <c r="M783">
        <v>0</v>
      </c>
      <c r="N783">
        <v>550</v>
      </c>
    </row>
    <row r="784" spans="1:14" x14ac:dyDescent="0.25">
      <c r="A784">
        <v>787.36780799999997</v>
      </c>
      <c r="B784" s="1">
        <f>DATE(2012,6,26) + TIME(8,49,38)</f>
        <v>41086.367800925924</v>
      </c>
      <c r="C784">
        <v>80</v>
      </c>
      <c r="D784">
        <v>79.842681885000005</v>
      </c>
      <c r="E784">
        <v>50</v>
      </c>
      <c r="F784">
        <v>46.065658569</v>
      </c>
      <c r="G784">
        <v>1345.0678711</v>
      </c>
      <c r="H784">
        <v>1340.6300048999999</v>
      </c>
      <c r="I784">
        <v>1322.3724365</v>
      </c>
      <c r="J784">
        <v>1317.8841553</v>
      </c>
      <c r="K784">
        <v>550</v>
      </c>
      <c r="L784">
        <v>0</v>
      </c>
      <c r="M784">
        <v>0</v>
      </c>
      <c r="N784">
        <v>550</v>
      </c>
    </row>
    <row r="785" spans="1:14" x14ac:dyDescent="0.25">
      <c r="A785">
        <v>789.00629100000003</v>
      </c>
      <c r="B785" s="1">
        <f>DATE(2012,6,28) + TIME(0,9,3)</f>
        <v>41088.006284722222</v>
      </c>
      <c r="C785">
        <v>80</v>
      </c>
      <c r="D785">
        <v>79.842666625999996</v>
      </c>
      <c r="E785">
        <v>50</v>
      </c>
      <c r="F785">
        <v>45.989067077999998</v>
      </c>
      <c r="G785">
        <v>1345.0499268000001</v>
      </c>
      <c r="H785">
        <v>1340.6182861</v>
      </c>
      <c r="I785">
        <v>1322.3566894999999</v>
      </c>
      <c r="J785">
        <v>1317.8544922000001</v>
      </c>
      <c r="K785">
        <v>550</v>
      </c>
      <c r="L785">
        <v>0</v>
      </c>
      <c r="M785">
        <v>0</v>
      </c>
      <c r="N785">
        <v>550</v>
      </c>
    </row>
    <row r="786" spans="1:14" x14ac:dyDescent="0.25">
      <c r="A786">
        <v>790.67816400000004</v>
      </c>
      <c r="B786" s="1">
        <f>DATE(2012,6,29) + TIME(16,16,33)</f>
        <v>41089.678159722222</v>
      </c>
      <c r="C786">
        <v>80</v>
      </c>
      <c r="D786">
        <v>79.842651367000002</v>
      </c>
      <c r="E786">
        <v>50</v>
      </c>
      <c r="F786">
        <v>45.912864685000002</v>
      </c>
      <c r="G786">
        <v>1345.0318603999999</v>
      </c>
      <c r="H786">
        <v>1340.6066894999999</v>
      </c>
      <c r="I786">
        <v>1322.3406981999999</v>
      </c>
      <c r="J786">
        <v>1317.8242187999999</v>
      </c>
      <c r="K786">
        <v>550</v>
      </c>
      <c r="L786">
        <v>0</v>
      </c>
      <c r="M786">
        <v>0</v>
      </c>
      <c r="N786">
        <v>550</v>
      </c>
    </row>
    <row r="787" spans="1:14" x14ac:dyDescent="0.25">
      <c r="A787">
        <v>792</v>
      </c>
      <c r="B787" s="1">
        <f>DATE(2012,7,1) + TIME(0,0,0)</f>
        <v>41091</v>
      </c>
      <c r="C787">
        <v>80</v>
      </c>
      <c r="D787">
        <v>79.842628478999998</v>
      </c>
      <c r="E787">
        <v>50</v>
      </c>
      <c r="F787">
        <v>45.849807738999999</v>
      </c>
      <c r="G787">
        <v>1345.0139160000001</v>
      </c>
      <c r="H787">
        <v>1340.5949707</v>
      </c>
      <c r="I787">
        <v>1322.3249512</v>
      </c>
      <c r="J787">
        <v>1317.7950439000001</v>
      </c>
      <c r="K787">
        <v>550</v>
      </c>
      <c r="L787">
        <v>0</v>
      </c>
      <c r="M787">
        <v>0</v>
      </c>
      <c r="N787">
        <v>550</v>
      </c>
    </row>
    <row r="788" spans="1:14" x14ac:dyDescent="0.25">
      <c r="A788">
        <v>793.71085200000005</v>
      </c>
      <c r="B788" s="1">
        <f>DATE(2012,7,2) + TIME(17,3,37)</f>
        <v>41092.710844907408</v>
      </c>
      <c r="C788">
        <v>80</v>
      </c>
      <c r="D788">
        <v>79.842628478999998</v>
      </c>
      <c r="E788">
        <v>50</v>
      </c>
      <c r="F788">
        <v>45.776626587000003</v>
      </c>
      <c r="G788">
        <v>1344.9998779</v>
      </c>
      <c r="H788">
        <v>1340.5859375</v>
      </c>
      <c r="I788">
        <v>1322.3111572</v>
      </c>
      <c r="J788">
        <v>1317.7679443</v>
      </c>
      <c r="K788">
        <v>550</v>
      </c>
      <c r="L788">
        <v>0</v>
      </c>
      <c r="M788">
        <v>0</v>
      </c>
      <c r="N788">
        <v>550</v>
      </c>
    </row>
    <row r="789" spans="1:14" x14ac:dyDescent="0.25">
      <c r="A789">
        <v>795.50625400000001</v>
      </c>
      <c r="B789" s="1">
        <f>DATE(2012,7,4) + TIME(12,9,0)</f>
        <v>41094.506249999999</v>
      </c>
      <c r="C789">
        <v>80</v>
      </c>
      <c r="D789">
        <v>79.842628478999998</v>
      </c>
      <c r="E789">
        <v>50</v>
      </c>
      <c r="F789">
        <v>45.702472686999997</v>
      </c>
      <c r="G789">
        <v>1344.9821777</v>
      </c>
      <c r="H789">
        <v>1340.5744629000001</v>
      </c>
      <c r="I789">
        <v>1322.2946777</v>
      </c>
      <c r="J789">
        <v>1317.7363281</v>
      </c>
      <c r="K789">
        <v>550</v>
      </c>
      <c r="L789">
        <v>0</v>
      </c>
      <c r="M789">
        <v>0</v>
      </c>
      <c r="N789">
        <v>550</v>
      </c>
    </row>
    <row r="790" spans="1:14" x14ac:dyDescent="0.25">
      <c r="A790">
        <v>797.35772999999995</v>
      </c>
      <c r="B790" s="1">
        <f>DATE(2012,7,6) + TIME(8,35,7)</f>
        <v>41096.357719907406</v>
      </c>
      <c r="C790">
        <v>80</v>
      </c>
      <c r="D790">
        <v>79.842628478999998</v>
      </c>
      <c r="E790">
        <v>50</v>
      </c>
      <c r="F790">
        <v>45.628353119000003</v>
      </c>
      <c r="G790">
        <v>1344.9637451000001</v>
      </c>
      <c r="H790">
        <v>1340.5626221</v>
      </c>
      <c r="I790">
        <v>1322.2775879000001</v>
      </c>
      <c r="J790">
        <v>1317.7032471</v>
      </c>
      <c r="K790">
        <v>550</v>
      </c>
      <c r="L790">
        <v>0</v>
      </c>
      <c r="M790">
        <v>0</v>
      </c>
      <c r="N790">
        <v>550</v>
      </c>
    </row>
    <row r="791" spans="1:14" x14ac:dyDescent="0.25">
      <c r="A791">
        <v>799.27427599999999</v>
      </c>
      <c r="B791" s="1">
        <f>DATE(2012,7,8) + TIME(6,34,57)</f>
        <v>41098.274270833332</v>
      </c>
      <c r="C791">
        <v>80</v>
      </c>
      <c r="D791">
        <v>79.842636107999994</v>
      </c>
      <c r="E791">
        <v>50</v>
      </c>
      <c r="F791">
        <v>45.554409026999998</v>
      </c>
      <c r="G791">
        <v>1344.9451904</v>
      </c>
      <c r="H791">
        <v>1340.5505370999999</v>
      </c>
      <c r="I791">
        <v>1322.2601318</v>
      </c>
      <c r="J791">
        <v>1317.6693115</v>
      </c>
      <c r="K791">
        <v>550</v>
      </c>
      <c r="L791">
        <v>0</v>
      </c>
      <c r="M791">
        <v>0</v>
      </c>
      <c r="N791">
        <v>550</v>
      </c>
    </row>
    <row r="792" spans="1:14" x14ac:dyDescent="0.25">
      <c r="A792">
        <v>801.22048900000004</v>
      </c>
      <c r="B792" s="1">
        <f>DATE(2012,7,10) + TIME(5,17,30)</f>
        <v>41100.220486111109</v>
      </c>
      <c r="C792">
        <v>80</v>
      </c>
      <c r="D792">
        <v>79.842636107999994</v>
      </c>
      <c r="E792">
        <v>50</v>
      </c>
      <c r="F792">
        <v>45.481899261000002</v>
      </c>
      <c r="G792">
        <v>1344.9263916</v>
      </c>
      <c r="H792">
        <v>1340.5383300999999</v>
      </c>
      <c r="I792">
        <v>1322.2421875</v>
      </c>
      <c r="J792">
        <v>1317.6342772999999</v>
      </c>
      <c r="K792">
        <v>550</v>
      </c>
      <c r="L792">
        <v>0</v>
      </c>
      <c r="M792">
        <v>0</v>
      </c>
      <c r="N792">
        <v>550</v>
      </c>
    </row>
    <row r="793" spans="1:14" x14ac:dyDescent="0.25">
      <c r="A793">
        <v>803.20057399999996</v>
      </c>
      <c r="B793" s="1">
        <f>DATE(2012,7,12) + TIME(4,48,49)</f>
        <v>41102.200567129628</v>
      </c>
      <c r="C793">
        <v>80</v>
      </c>
      <c r="D793">
        <v>79.842643738000007</v>
      </c>
      <c r="E793">
        <v>50</v>
      </c>
      <c r="F793">
        <v>45.411190032999997</v>
      </c>
      <c r="G793">
        <v>1344.9075928</v>
      </c>
      <c r="H793">
        <v>1340.5261230000001</v>
      </c>
      <c r="I793">
        <v>1322.2241211</v>
      </c>
      <c r="J793">
        <v>1317.5987548999999</v>
      </c>
      <c r="K793">
        <v>550</v>
      </c>
      <c r="L793">
        <v>0</v>
      </c>
      <c r="M793">
        <v>0</v>
      </c>
      <c r="N793">
        <v>550</v>
      </c>
    </row>
    <row r="794" spans="1:14" x14ac:dyDescent="0.25">
      <c r="A794">
        <v>805.21599000000003</v>
      </c>
      <c r="B794" s="1">
        <f>DATE(2012,7,14) + TIME(5,11,1)</f>
        <v>41104.215983796297</v>
      </c>
      <c r="C794">
        <v>80</v>
      </c>
      <c r="D794">
        <v>79.842651367000002</v>
      </c>
      <c r="E794">
        <v>50</v>
      </c>
      <c r="F794">
        <v>45.342697143999999</v>
      </c>
      <c r="G794">
        <v>1344.8887939000001</v>
      </c>
      <c r="H794">
        <v>1340.5139160000001</v>
      </c>
      <c r="I794">
        <v>1322.2059326000001</v>
      </c>
      <c r="J794">
        <v>1317.5627440999999</v>
      </c>
      <c r="K794">
        <v>550</v>
      </c>
      <c r="L794">
        <v>0</v>
      </c>
      <c r="M794">
        <v>0</v>
      </c>
      <c r="N794">
        <v>550</v>
      </c>
    </row>
    <row r="795" spans="1:14" x14ac:dyDescent="0.25">
      <c r="A795">
        <v>807.260355</v>
      </c>
      <c r="B795" s="1">
        <f>DATE(2012,7,16) + TIME(6,14,54)</f>
        <v>41106.260347222225</v>
      </c>
      <c r="C795">
        <v>80</v>
      </c>
      <c r="D795">
        <v>79.842666625999996</v>
      </c>
      <c r="E795">
        <v>50</v>
      </c>
      <c r="F795">
        <v>45.277008057000003</v>
      </c>
      <c r="G795">
        <v>1344.8699951000001</v>
      </c>
      <c r="H795">
        <v>1340.5017089999999</v>
      </c>
      <c r="I795">
        <v>1322.1876221</v>
      </c>
      <c r="J795">
        <v>1317.5263672000001</v>
      </c>
      <c r="K795">
        <v>550</v>
      </c>
      <c r="L795">
        <v>0</v>
      </c>
      <c r="M795">
        <v>0</v>
      </c>
      <c r="N795">
        <v>550</v>
      </c>
    </row>
    <row r="796" spans="1:14" x14ac:dyDescent="0.25">
      <c r="A796">
        <v>809.34035900000003</v>
      </c>
      <c r="B796" s="1">
        <f>DATE(2012,7,18) + TIME(8,10,6)</f>
        <v>41108.34034722222</v>
      </c>
      <c r="C796">
        <v>80</v>
      </c>
      <c r="D796">
        <v>79.842681885000005</v>
      </c>
      <c r="E796">
        <v>50</v>
      </c>
      <c r="F796">
        <v>45.214454650999997</v>
      </c>
      <c r="G796">
        <v>1344.8513184000001</v>
      </c>
      <c r="H796">
        <v>1340.4895019999999</v>
      </c>
      <c r="I796">
        <v>1322.1693115</v>
      </c>
      <c r="J796">
        <v>1317.4897461</v>
      </c>
      <c r="K796">
        <v>550</v>
      </c>
      <c r="L796">
        <v>0</v>
      </c>
      <c r="M796">
        <v>0</v>
      </c>
      <c r="N796">
        <v>550</v>
      </c>
    </row>
    <row r="797" spans="1:14" x14ac:dyDescent="0.25">
      <c r="A797">
        <v>811.46292600000004</v>
      </c>
      <c r="B797" s="1">
        <f>DATE(2012,7,20) + TIME(11,6,36)</f>
        <v>41110.462916666664</v>
      </c>
      <c r="C797">
        <v>80</v>
      </c>
      <c r="D797">
        <v>79.842697143999999</v>
      </c>
      <c r="E797">
        <v>50</v>
      </c>
      <c r="F797">
        <v>45.155399322999997</v>
      </c>
      <c r="G797">
        <v>1344.8326416</v>
      </c>
      <c r="H797">
        <v>1340.4772949000001</v>
      </c>
      <c r="I797">
        <v>1322.1511230000001</v>
      </c>
      <c r="J797">
        <v>1317.4527588000001</v>
      </c>
      <c r="K797">
        <v>550</v>
      </c>
      <c r="L797">
        <v>0</v>
      </c>
      <c r="M797">
        <v>0</v>
      </c>
      <c r="N797">
        <v>550</v>
      </c>
    </row>
    <row r="798" spans="1:14" x14ac:dyDescent="0.25">
      <c r="A798">
        <v>813.63543300000003</v>
      </c>
      <c r="B798" s="1">
        <f>DATE(2012,7,22) + TIME(15,15,1)</f>
        <v>41112.635428240741</v>
      </c>
      <c r="C798">
        <v>80</v>
      </c>
      <c r="D798">
        <v>79.842727660999998</v>
      </c>
      <c r="E798">
        <v>50</v>
      </c>
      <c r="F798">
        <v>45.100261688000003</v>
      </c>
      <c r="G798">
        <v>1344.8138428</v>
      </c>
      <c r="H798">
        <v>1340.4649658000001</v>
      </c>
      <c r="I798">
        <v>1322.1328125</v>
      </c>
      <c r="J798">
        <v>1317.4155272999999</v>
      </c>
      <c r="K798">
        <v>550</v>
      </c>
      <c r="L798">
        <v>0</v>
      </c>
      <c r="M798">
        <v>0</v>
      </c>
      <c r="N798">
        <v>550</v>
      </c>
    </row>
    <row r="799" spans="1:14" x14ac:dyDescent="0.25">
      <c r="A799">
        <v>815.86586699999998</v>
      </c>
      <c r="B799" s="1">
        <f>DATE(2012,7,24) + TIME(20,46,50)</f>
        <v>41114.865856481483</v>
      </c>
      <c r="C799">
        <v>80</v>
      </c>
      <c r="D799">
        <v>79.842758179</v>
      </c>
      <c r="E799">
        <v>50</v>
      </c>
      <c r="F799">
        <v>45.049545287999997</v>
      </c>
      <c r="G799">
        <v>1344.7950439000001</v>
      </c>
      <c r="H799">
        <v>1340.4525146000001</v>
      </c>
      <c r="I799">
        <v>1322.114624</v>
      </c>
      <c r="J799">
        <v>1317.3779297000001</v>
      </c>
      <c r="K799">
        <v>550</v>
      </c>
      <c r="L799">
        <v>0</v>
      </c>
      <c r="M799">
        <v>0</v>
      </c>
      <c r="N799">
        <v>550</v>
      </c>
    </row>
    <row r="800" spans="1:14" x14ac:dyDescent="0.25">
      <c r="A800">
        <v>818.15736800000002</v>
      </c>
      <c r="B800" s="1">
        <f>DATE(2012,7,27) + TIME(3,46,36)</f>
        <v>41117.157361111109</v>
      </c>
      <c r="C800">
        <v>80</v>
      </c>
      <c r="D800">
        <v>79.842788696</v>
      </c>
      <c r="E800">
        <v>50</v>
      </c>
      <c r="F800">
        <v>45.003936768000003</v>
      </c>
      <c r="G800">
        <v>1344.776001</v>
      </c>
      <c r="H800">
        <v>1340.4399414</v>
      </c>
      <c r="I800">
        <v>1322.0963135</v>
      </c>
      <c r="J800">
        <v>1317.3399658000001</v>
      </c>
      <c r="K800">
        <v>550</v>
      </c>
      <c r="L800">
        <v>0</v>
      </c>
      <c r="M800">
        <v>0</v>
      </c>
      <c r="N800">
        <v>550</v>
      </c>
    </row>
    <row r="801" spans="1:14" x14ac:dyDescent="0.25">
      <c r="A801">
        <v>820.49101099999996</v>
      </c>
      <c r="B801" s="1">
        <f>DATE(2012,7,29) + TIME(11,47,3)</f>
        <v>41119.491006944445</v>
      </c>
      <c r="C801">
        <v>80</v>
      </c>
      <c r="D801">
        <v>79.842826842999997</v>
      </c>
      <c r="E801">
        <v>50</v>
      </c>
      <c r="F801">
        <v>44.964466094999999</v>
      </c>
      <c r="G801">
        <v>1344.7567139</v>
      </c>
      <c r="H801">
        <v>1340.4272461</v>
      </c>
      <c r="I801">
        <v>1322.0782471</v>
      </c>
      <c r="J801">
        <v>1317.3018798999999</v>
      </c>
      <c r="K801">
        <v>550</v>
      </c>
      <c r="L801">
        <v>0</v>
      </c>
      <c r="M801">
        <v>0</v>
      </c>
      <c r="N801">
        <v>550</v>
      </c>
    </row>
    <row r="802" spans="1:14" x14ac:dyDescent="0.25">
      <c r="A802">
        <v>822.850189</v>
      </c>
      <c r="B802" s="1">
        <f>DATE(2012,7,31) + TIME(20,24,16)</f>
        <v>41121.850185185183</v>
      </c>
      <c r="C802">
        <v>80</v>
      </c>
      <c r="D802">
        <v>79.842872619999994</v>
      </c>
      <c r="E802">
        <v>50</v>
      </c>
      <c r="F802">
        <v>44.932136536000002</v>
      </c>
      <c r="G802">
        <v>1344.7374268000001</v>
      </c>
      <c r="H802">
        <v>1340.4144286999999</v>
      </c>
      <c r="I802">
        <v>1322.0603027</v>
      </c>
      <c r="J802">
        <v>1317.2640381000001</v>
      </c>
      <c r="K802">
        <v>550</v>
      </c>
      <c r="L802">
        <v>0</v>
      </c>
      <c r="M802">
        <v>0</v>
      </c>
      <c r="N802">
        <v>550</v>
      </c>
    </row>
    <row r="803" spans="1:14" x14ac:dyDescent="0.25">
      <c r="A803">
        <v>823</v>
      </c>
      <c r="B803" s="1">
        <f>DATE(2012,8,1) + TIME(0,0,0)</f>
        <v>41122</v>
      </c>
      <c r="C803">
        <v>80</v>
      </c>
      <c r="D803">
        <v>79.842857361</v>
      </c>
      <c r="E803">
        <v>50</v>
      </c>
      <c r="F803">
        <v>44.929702759000001</v>
      </c>
      <c r="G803">
        <v>1344.7185059000001</v>
      </c>
      <c r="H803">
        <v>1340.4020995999999</v>
      </c>
      <c r="I803">
        <v>1322.0499268000001</v>
      </c>
      <c r="J803">
        <v>1317.2398682</v>
      </c>
      <c r="K803">
        <v>550</v>
      </c>
      <c r="L803">
        <v>0</v>
      </c>
      <c r="M803">
        <v>0</v>
      </c>
      <c r="N803">
        <v>550</v>
      </c>
    </row>
    <row r="804" spans="1:14" x14ac:dyDescent="0.25">
      <c r="A804">
        <v>825.39227100000005</v>
      </c>
      <c r="B804" s="1">
        <f>DATE(2012,8,3) + TIME(9,24,52)</f>
        <v>41124.392268518517</v>
      </c>
      <c r="C804">
        <v>80</v>
      </c>
      <c r="D804">
        <v>79.842910767000006</v>
      </c>
      <c r="E804">
        <v>50</v>
      </c>
      <c r="F804">
        <v>44.906177520999996</v>
      </c>
      <c r="G804">
        <v>1344.7170410000001</v>
      </c>
      <c r="H804">
        <v>1340.4008789</v>
      </c>
      <c r="I804">
        <v>1322.0413818</v>
      </c>
      <c r="J804">
        <v>1317.2236327999999</v>
      </c>
      <c r="K804">
        <v>550</v>
      </c>
      <c r="L804">
        <v>0</v>
      </c>
      <c r="M804">
        <v>0</v>
      </c>
      <c r="N804">
        <v>550</v>
      </c>
    </row>
    <row r="805" spans="1:14" x14ac:dyDescent="0.25">
      <c r="A805">
        <v>827.83359399999995</v>
      </c>
      <c r="B805" s="1">
        <f>DATE(2012,8,5) + TIME(20,0,22)</f>
        <v>41126.833587962959</v>
      </c>
      <c r="C805">
        <v>80</v>
      </c>
      <c r="D805">
        <v>79.842964171999995</v>
      </c>
      <c r="E805">
        <v>50</v>
      </c>
      <c r="F805">
        <v>44.891254425</v>
      </c>
      <c r="G805">
        <v>1344.697876</v>
      </c>
      <c r="H805">
        <v>1340.3881836</v>
      </c>
      <c r="I805">
        <v>1322.0245361</v>
      </c>
      <c r="J805">
        <v>1317.1870117000001</v>
      </c>
      <c r="K805">
        <v>550</v>
      </c>
      <c r="L805">
        <v>0</v>
      </c>
      <c r="M805">
        <v>0</v>
      </c>
      <c r="N805">
        <v>550</v>
      </c>
    </row>
    <row r="806" spans="1:14" x14ac:dyDescent="0.25">
      <c r="A806">
        <v>830.33182699999998</v>
      </c>
      <c r="B806" s="1">
        <f>DATE(2012,8,8) + TIME(7,57,49)</f>
        <v>41129.331817129627</v>
      </c>
      <c r="C806">
        <v>80</v>
      </c>
      <c r="D806">
        <v>79.843025208</v>
      </c>
      <c r="E806">
        <v>50</v>
      </c>
      <c r="F806">
        <v>44.885978698999999</v>
      </c>
      <c r="G806">
        <v>1344.6787108999999</v>
      </c>
      <c r="H806">
        <v>1340.3752440999999</v>
      </c>
      <c r="I806">
        <v>1322.0080565999999</v>
      </c>
      <c r="J806">
        <v>1317.1508789</v>
      </c>
      <c r="K806">
        <v>550</v>
      </c>
      <c r="L806">
        <v>0</v>
      </c>
      <c r="M806">
        <v>0</v>
      </c>
      <c r="N806">
        <v>550</v>
      </c>
    </row>
    <row r="807" spans="1:14" x14ac:dyDescent="0.25">
      <c r="A807">
        <v>832.89286600000003</v>
      </c>
      <c r="B807" s="1">
        <f>DATE(2012,8,10) + TIME(21,25,43)</f>
        <v>41131.892858796295</v>
      </c>
      <c r="C807">
        <v>80</v>
      </c>
      <c r="D807">
        <v>79.843086243000002</v>
      </c>
      <c r="E807">
        <v>50</v>
      </c>
      <c r="F807">
        <v>44.891540526999997</v>
      </c>
      <c r="G807">
        <v>1344.6593018000001</v>
      </c>
      <c r="H807">
        <v>1340.3623047000001</v>
      </c>
      <c r="I807">
        <v>1321.9919434000001</v>
      </c>
      <c r="J807">
        <v>1317.1151123</v>
      </c>
      <c r="K807">
        <v>550</v>
      </c>
      <c r="L807">
        <v>0</v>
      </c>
      <c r="M807">
        <v>0</v>
      </c>
      <c r="N807">
        <v>550</v>
      </c>
    </row>
    <row r="808" spans="1:14" x14ac:dyDescent="0.25">
      <c r="A808">
        <v>835.48990900000001</v>
      </c>
      <c r="B808" s="1">
        <f>DATE(2012,8,13) + TIME(11,45,28)</f>
        <v>41134.489907407406</v>
      </c>
      <c r="C808">
        <v>80</v>
      </c>
      <c r="D808">
        <v>79.843154906999999</v>
      </c>
      <c r="E808">
        <v>50</v>
      </c>
      <c r="F808">
        <v>44.909149169999999</v>
      </c>
      <c r="G808">
        <v>1344.6397704999999</v>
      </c>
      <c r="H808">
        <v>1340.3491211</v>
      </c>
      <c r="I808">
        <v>1321.9764404</v>
      </c>
      <c r="J808">
        <v>1317.0802002</v>
      </c>
      <c r="K808">
        <v>550</v>
      </c>
      <c r="L808">
        <v>0</v>
      </c>
      <c r="M808">
        <v>0</v>
      </c>
      <c r="N808">
        <v>550</v>
      </c>
    </row>
    <row r="809" spans="1:14" x14ac:dyDescent="0.25">
      <c r="A809">
        <v>838.13217899999995</v>
      </c>
      <c r="B809" s="1">
        <f>DATE(2012,8,16) + TIME(3,10,20)</f>
        <v>41137.132175925923</v>
      </c>
      <c r="C809">
        <v>80</v>
      </c>
      <c r="D809">
        <v>79.843231200999995</v>
      </c>
      <c r="E809">
        <v>50</v>
      </c>
      <c r="F809">
        <v>44.939979553000001</v>
      </c>
      <c r="G809">
        <v>1344.6202393000001</v>
      </c>
      <c r="H809">
        <v>1340.3358154</v>
      </c>
      <c r="I809">
        <v>1321.9615478999999</v>
      </c>
      <c r="J809">
        <v>1317.0462646000001</v>
      </c>
      <c r="K809">
        <v>550</v>
      </c>
      <c r="L809">
        <v>0</v>
      </c>
      <c r="M809">
        <v>0</v>
      </c>
      <c r="N809">
        <v>550</v>
      </c>
    </row>
    <row r="810" spans="1:14" x14ac:dyDescent="0.25">
      <c r="A810">
        <v>840.82908499999996</v>
      </c>
      <c r="B810" s="1">
        <f>DATE(2012,8,18) + TIME(19,53,52)</f>
        <v>41139.829074074078</v>
      </c>
      <c r="C810">
        <v>80</v>
      </c>
      <c r="D810">
        <v>79.843307495000005</v>
      </c>
      <c r="E810">
        <v>50</v>
      </c>
      <c r="F810">
        <v>44.985328674000002</v>
      </c>
      <c r="G810">
        <v>1344.6005858999999</v>
      </c>
      <c r="H810">
        <v>1340.3225098</v>
      </c>
      <c r="I810">
        <v>1321.9473877</v>
      </c>
      <c r="J810">
        <v>1317.0136719</v>
      </c>
      <c r="K810">
        <v>550</v>
      </c>
      <c r="L810">
        <v>0</v>
      </c>
      <c r="M810">
        <v>0</v>
      </c>
      <c r="N810">
        <v>550</v>
      </c>
    </row>
    <row r="811" spans="1:14" x14ac:dyDescent="0.25">
      <c r="A811">
        <v>843.59076800000003</v>
      </c>
      <c r="B811" s="1">
        <f>DATE(2012,8,21) + TIME(14,10,42)</f>
        <v>41142.590763888889</v>
      </c>
      <c r="C811">
        <v>80</v>
      </c>
      <c r="D811">
        <v>79.843383789000001</v>
      </c>
      <c r="E811">
        <v>50</v>
      </c>
      <c r="F811">
        <v>45.046623230000002</v>
      </c>
      <c r="G811">
        <v>1344.5809326000001</v>
      </c>
      <c r="H811">
        <v>1340.309082</v>
      </c>
      <c r="I811">
        <v>1321.9339600000001</v>
      </c>
      <c r="J811">
        <v>1316.9824219</v>
      </c>
      <c r="K811">
        <v>550</v>
      </c>
      <c r="L811">
        <v>0</v>
      </c>
      <c r="M811">
        <v>0</v>
      </c>
      <c r="N811">
        <v>550</v>
      </c>
    </row>
    <row r="812" spans="1:14" x14ac:dyDescent="0.25">
      <c r="A812">
        <v>846.42830100000003</v>
      </c>
      <c r="B812" s="1">
        <f>DATE(2012,8,24) + TIME(10,16,45)</f>
        <v>41145.428298611114</v>
      </c>
      <c r="C812">
        <v>80</v>
      </c>
      <c r="D812">
        <v>79.843475342000005</v>
      </c>
      <c r="E812">
        <v>50</v>
      </c>
      <c r="F812">
        <v>45.125480652</v>
      </c>
      <c r="G812">
        <v>1344.5610352000001</v>
      </c>
      <c r="H812">
        <v>1340.2955322</v>
      </c>
      <c r="I812">
        <v>1321.9213867000001</v>
      </c>
      <c r="J812">
        <v>1316.9525146000001</v>
      </c>
      <c r="K812">
        <v>550</v>
      </c>
      <c r="L812">
        <v>0</v>
      </c>
      <c r="M812">
        <v>0</v>
      </c>
      <c r="N812">
        <v>550</v>
      </c>
    </row>
    <row r="813" spans="1:14" x14ac:dyDescent="0.25">
      <c r="A813">
        <v>849.35391000000004</v>
      </c>
      <c r="B813" s="1">
        <f>DATE(2012,8,27) + TIME(8,29,37)</f>
        <v>41148.353900462964</v>
      </c>
      <c r="C813">
        <v>80</v>
      </c>
      <c r="D813">
        <v>79.843566894999995</v>
      </c>
      <c r="E813">
        <v>50</v>
      </c>
      <c r="F813">
        <v>45.223716736</v>
      </c>
      <c r="G813">
        <v>1344.5408935999999</v>
      </c>
      <c r="H813">
        <v>1340.2817382999999</v>
      </c>
      <c r="I813">
        <v>1321.909668</v>
      </c>
      <c r="J813">
        <v>1316.9243164</v>
      </c>
      <c r="K813">
        <v>550</v>
      </c>
      <c r="L813">
        <v>0</v>
      </c>
      <c r="M813">
        <v>0</v>
      </c>
      <c r="N813">
        <v>550</v>
      </c>
    </row>
    <row r="814" spans="1:14" x14ac:dyDescent="0.25">
      <c r="A814">
        <v>852.33365400000002</v>
      </c>
      <c r="B814" s="1">
        <f>DATE(2012,8,30) + TIME(8,0,27)</f>
        <v>41151.333645833336</v>
      </c>
      <c r="C814">
        <v>80</v>
      </c>
      <c r="D814">
        <v>79.843673706000004</v>
      </c>
      <c r="E814">
        <v>50</v>
      </c>
      <c r="F814">
        <v>45.342380523999999</v>
      </c>
      <c r="G814">
        <v>1344.5203856999999</v>
      </c>
      <c r="H814">
        <v>1340.2675781</v>
      </c>
      <c r="I814">
        <v>1321.8989257999999</v>
      </c>
      <c r="J814">
        <v>1316.8980713000001</v>
      </c>
      <c r="K814">
        <v>550</v>
      </c>
      <c r="L814">
        <v>0</v>
      </c>
      <c r="M814">
        <v>0</v>
      </c>
      <c r="N814">
        <v>550</v>
      </c>
    </row>
    <row r="815" spans="1:14" x14ac:dyDescent="0.25">
      <c r="A815">
        <v>854</v>
      </c>
      <c r="B815" s="1">
        <f>DATE(2012,9,1) + TIME(0,0,0)</f>
        <v>41153</v>
      </c>
      <c r="C815">
        <v>80</v>
      </c>
      <c r="D815">
        <v>79.843681334999999</v>
      </c>
      <c r="E815">
        <v>50</v>
      </c>
      <c r="F815">
        <v>45.439872741999999</v>
      </c>
      <c r="G815">
        <v>1344.4997559000001</v>
      </c>
      <c r="H815">
        <v>1340.253418</v>
      </c>
      <c r="I815">
        <v>1321.8937988</v>
      </c>
      <c r="J815">
        <v>1316.8780518000001</v>
      </c>
      <c r="K815">
        <v>550</v>
      </c>
      <c r="L815">
        <v>0</v>
      </c>
      <c r="M815">
        <v>0</v>
      </c>
      <c r="N815">
        <v>550</v>
      </c>
    </row>
    <row r="816" spans="1:14" x14ac:dyDescent="0.25">
      <c r="A816">
        <v>857.00650800000005</v>
      </c>
      <c r="B816" s="1">
        <f>DATE(2012,9,4) + TIME(0,9,22)</f>
        <v>41156.006504629629</v>
      </c>
      <c r="C816">
        <v>80</v>
      </c>
      <c r="D816">
        <v>79.843811035000002</v>
      </c>
      <c r="E816">
        <v>50</v>
      </c>
      <c r="F816">
        <v>45.580818176000001</v>
      </c>
      <c r="G816">
        <v>1344.4885254000001</v>
      </c>
      <c r="H816">
        <v>1340.2454834</v>
      </c>
      <c r="I816">
        <v>1321.8834228999999</v>
      </c>
      <c r="J816">
        <v>1316.8609618999999</v>
      </c>
      <c r="K816">
        <v>550</v>
      </c>
      <c r="L816">
        <v>0</v>
      </c>
      <c r="M816">
        <v>0</v>
      </c>
      <c r="N816">
        <v>550</v>
      </c>
    </row>
    <row r="817" spans="1:14" x14ac:dyDescent="0.25">
      <c r="A817">
        <v>860.08731</v>
      </c>
      <c r="B817" s="1">
        <f>DATE(2012,9,7) + TIME(2,5,43)</f>
        <v>41159.08730324074</v>
      </c>
      <c r="C817">
        <v>80</v>
      </c>
      <c r="D817">
        <v>79.843933105000005</v>
      </c>
      <c r="E817">
        <v>50</v>
      </c>
      <c r="F817">
        <v>45.748046875</v>
      </c>
      <c r="G817">
        <v>1344.4682617000001</v>
      </c>
      <c r="H817">
        <v>1340.2314452999999</v>
      </c>
      <c r="I817">
        <v>1321.8764647999999</v>
      </c>
      <c r="J817">
        <v>1316.8419189000001</v>
      </c>
      <c r="K817">
        <v>550</v>
      </c>
      <c r="L817">
        <v>0</v>
      </c>
      <c r="M817">
        <v>0</v>
      </c>
      <c r="N817">
        <v>550</v>
      </c>
    </row>
    <row r="818" spans="1:14" x14ac:dyDescent="0.25">
      <c r="A818">
        <v>863.23473300000001</v>
      </c>
      <c r="B818" s="1">
        <f>DATE(2012,9,10) + TIME(5,38,0)</f>
        <v>41162.234722222223</v>
      </c>
      <c r="C818">
        <v>80</v>
      </c>
      <c r="D818">
        <v>79.844055175999998</v>
      </c>
      <c r="E818">
        <v>50</v>
      </c>
      <c r="F818">
        <v>45.940456390000001</v>
      </c>
      <c r="G818">
        <v>1344.447876</v>
      </c>
      <c r="H818">
        <v>1340.2172852000001</v>
      </c>
      <c r="I818">
        <v>1321.8706055</v>
      </c>
      <c r="J818">
        <v>1316.8253173999999</v>
      </c>
      <c r="K818">
        <v>550</v>
      </c>
      <c r="L818">
        <v>0</v>
      </c>
      <c r="M818">
        <v>0</v>
      </c>
      <c r="N818">
        <v>550</v>
      </c>
    </row>
    <row r="819" spans="1:14" x14ac:dyDescent="0.25">
      <c r="A819">
        <v>866.46101699999997</v>
      </c>
      <c r="B819" s="1">
        <f>DATE(2012,9,13) + TIME(11,3,51)</f>
        <v>41165.461006944446</v>
      </c>
      <c r="C819">
        <v>80</v>
      </c>
      <c r="D819">
        <v>79.844184874999996</v>
      </c>
      <c r="E819">
        <v>50</v>
      </c>
      <c r="F819">
        <v>46.157886505</v>
      </c>
      <c r="G819">
        <v>1344.4273682</v>
      </c>
      <c r="H819">
        <v>1340.2028809000001</v>
      </c>
      <c r="I819">
        <v>1321.8658447</v>
      </c>
      <c r="J819">
        <v>1316.8115233999999</v>
      </c>
      <c r="K819">
        <v>550</v>
      </c>
      <c r="L819">
        <v>0</v>
      </c>
      <c r="M819">
        <v>0</v>
      </c>
      <c r="N819">
        <v>550</v>
      </c>
    </row>
    <row r="820" spans="1:14" x14ac:dyDescent="0.25">
      <c r="A820">
        <v>869.76743899999997</v>
      </c>
      <c r="B820" s="1">
        <f>DATE(2012,9,16) + TIME(18,25,6)</f>
        <v>41168.767430555556</v>
      </c>
      <c r="C820">
        <v>80</v>
      </c>
      <c r="D820">
        <v>79.844314574999999</v>
      </c>
      <c r="E820">
        <v>50</v>
      </c>
      <c r="F820">
        <v>46.400291443</v>
      </c>
      <c r="G820">
        <v>1344.4066161999999</v>
      </c>
      <c r="H820">
        <v>1340.1883545000001</v>
      </c>
      <c r="I820">
        <v>1321.8624268000001</v>
      </c>
      <c r="J820">
        <v>1316.8007812000001</v>
      </c>
      <c r="K820">
        <v>550</v>
      </c>
      <c r="L820">
        <v>0</v>
      </c>
      <c r="M820">
        <v>0</v>
      </c>
      <c r="N820">
        <v>550</v>
      </c>
    </row>
    <row r="821" spans="1:14" x14ac:dyDescent="0.25">
      <c r="A821">
        <v>873.13884299999995</v>
      </c>
      <c r="B821" s="1">
        <f>DATE(2012,9,20) + TIME(3,19,56)</f>
        <v>41172.138842592591</v>
      </c>
      <c r="C821">
        <v>80</v>
      </c>
      <c r="D821">
        <v>79.844451903999996</v>
      </c>
      <c r="E821">
        <v>50</v>
      </c>
      <c r="F821">
        <v>46.666862488</v>
      </c>
      <c r="G821">
        <v>1344.3857422000001</v>
      </c>
      <c r="H821">
        <v>1340.1737060999999</v>
      </c>
      <c r="I821">
        <v>1321.8605957</v>
      </c>
      <c r="J821">
        <v>1316.7932129000001</v>
      </c>
      <c r="K821">
        <v>550</v>
      </c>
      <c r="L821">
        <v>0</v>
      </c>
      <c r="M821">
        <v>0</v>
      </c>
      <c r="N821">
        <v>550</v>
      </c>
    </row>
    <row r="822" spans="1:14" x14ac:dyDescent="0.25">
      <c r="A822">
        <v>876.58903599999996</v>
      </c>
      <c r="B822" s="1">
        <f>DATE(2012,9,23) + TIME(14,8,12)</f>
        <v>41175.58902777778</v>
      </c>
      <c r="C822">
        <v>80</v>
      </c>
      <c r="D822">
        <v>79.844589232999994</v>
      </c>
      <c r="E822">
        <v>50</v>
      </c>
      <c r="F822">
        <v>46.957206726000003</v>
      </c>
      <c r="G822">
        <v>1344.3648682</v>
      </c>
      <c r="H822">
        <v>1340.1590576000001</v>
      </c>
      <c r="I822">
        <v>1321.8602295000001</v>
      </c>
      <c r="J822">
        <v>1316.7890625</v>
      </c>
      <c r="K822">
        <v>550</v>
      </c>
      <c r="L822">
        <v>0</v>
      </c>
      <c r="M822">
        <v>0</v>
      </c>
      <c r="N822">
        <v>550</v>
      </c>
    </row>
    <row r="823" spans="1:14" x14ac:dyDescent="0.25">
      <c r="A823">
        <v>880.13262699999996</v>
      </c>
      <c r="B823" s="1">
        <f>DATE(2012,9,27) + TIME(3,10,58)</f>
        <v>41179.132615740738</v>
      </c>
      <c r="C823">
        <v>80</v>
      </c>
      <c r="D823">
        <v>79.844741821</v>
      </c>
      <c r="E823">
        <v>50</v>
      </c>
      <c r="F823">
        <v>47.271198273000003</v>
      </c>
      <c r="G823">
        <v>1344.3438721</v>
      </c>
      <c r="H823">
        <v>1340.1441649999999</v>
      </c>
      <c r="I823">
        <v>1321.8614502</v>
      </c>
      <c r="J823">
        <v>1316.7883300999999</v>
      </c>
      <c r="K823">
        <v>550</v>
      </c>
      <c r="L823">
        <v>0</v>
      </c>
      <c r="M823">
        <v>0</v>
      </c>
      <c r="N823">
        <v>550</v>
      </c>
    </row>
    <row r="824" spans="1:14" x14ac:dyDescent="0.25">
      <c r="A824">
        <v>883.78559900000005</v>
      </c>
      <c r="B824" s="1">
        <f>DATE(2012,9,30) + TIME(18,51,15)</f>
        <v>41182.785590277781</v>
      </c>
      <c r="C824">
        <v>80</v>
      </c>
      <c r="D824">
        <v>79.844894409000005</v>
      </c>
      <c r="E824">
        <v>50</v>
      </c>
      <c r="F824">
        <v>47.608825684000003</v>
      </c>
      <c r="G824">
        <v>1344.3226318</v>
      </c>
      <c r="H824">
        <v>1340.1291504000001</v>
      </c>
      <c r="I824">
        <v>1321.8642577999999</v>
      </c>
      <c r="J824">
        <v>1316.7911377</v>
      </c>
      <c r="K824">
        <v>550</v>
      </c>
      <c r="L824">
        <v>0</v>
      </c>
      <c r="M824">
        <v>0</v>
      </c>
      <c r="N824">
        <v>550</v>
      </c>
    </row>
    <row r="825" spans="1:14" x14ac:dyDescent="0.25">
      <c r="A825">
        <v>884</v>
      </c>
      <c r="B825" s="1">
        <f>DATE(2012,10,1) + TIME(0,0,0)</f>
        <v>41183</v>
      </c>
      <c r="C825">
        <v>80</v>
      </c>
      <c r="D825">
        <v>79.844886779999996</v>
      </c>
      <c r="E825">
        <v>50</v>
      </c>
      <c r="F825">
        <v>47.650413512999997</v>
      </c>
      <c r="G825">
        <v>1344.3017577999999</v>
      </c>
      <c r="H825">
        <v>1340.1148682</v>
      </c>
      <c r="I825">
        <v>1321.8863524999999</v>
      </c>
      <c r="J825">
        <v>1316.8006591999999</v>
      </c>
      <c r="K825">
        <v>550</v>
      </c>
      <c r="L825">
        <v>0</v>
      </c>
      <c r="M825">
        <v>0</v>
      </c>
      <c r="N825">
        <v>550</v>
      </c>
    </row>
    <row r="826" spans="1:14" x14ac:dyDescent="0.25">
      <c r="A826">
        <v>887.69940599999995</v>
      </c>
      <c r="B826" s="1">
        <f>DATE(2012,10,4) + TIME(16,47,8)</f>
        <v>41186.69939814815</v>
      </c>
      <c r="C826">
        <v>80</v>
      </c>
      <c r="D826">
        <v>79.845054626000007</v>
      </c>
      <c r="E826">
        <v>50</v>
      </c>
      <c r="F826">
        <v>47.997802733999997</v>
      </c>
      <c r="G826">
        <v>1344.2999268000001</v>
      </c>
      <c r="H826">
        <v>1340.1131591999999</v>
      </c>
      <c r="I826">
        <v>1321.8691406</v>
      </c>
      <c r="J826">
        <v>1316.7988281</v>
      </c>
      <c r="K826">
        <v>550</v>
      </c>
      <c r="L826">
        <v>0</v>
      </c>
      <c r="M826">
        <v>0</v>
      </c>
      <c r="N826">
        <v>550</v>
      </c>
    </row>
    <row r="827" spans="1:14" x14ac:dyDescent="0.25">
      <c r="A827">
        <v>891.47927300000003</v>
      </c>
      <c r="B827" s="1">
        <f>DATE(2012,10,8) + TIME(11,30,9)</f>
        <v>41190.479270833333</v>
      </c>
      <c r="C827">
        <v>80</v>
      </c>
      <c r="D827">
        <v>79.845230103000006</v>
      </c>
      <c r="E827">
        <v>50</v>
      </c>
      <c r="F827">
        <v>48.368888855000002</v>
      </c>
      <c r="G827">
        <v>1344.2788086</v>
      </c>
      <c r="H827">
        <v>1340.0981445</v>
      </c>
      <c r="I827">
        <v>1321.8757324000001</v>
      </c>
      <c r="J827">
        <v>1316.809082</v>
      </c>
      <c r="K827">
        <v>550</v>
      </c>
      <c r="L827">
        <v>0</v>
      </c>
      <c r="M827">
        <v>0</v>
      </c>
      <c r="N827">
        <v>550</v>
      </c>
    </row>
    <row r="828" spans="1:14" x14ac:dyDescent="0.25">
      <c r="A828">
        <v>895.33558300000004</v>
      </c>
      <c r="B828" s="1">
        <f>DATE(2012,10,12) + TIME(8,3,14)</f>
        <v>41194.335578703707</v>
      </c>
      <c r="C828">
        <v>80</v>
      </c>
      <c r="D828">
        <v>79.845397949000002</v>
      </c>
      <c r="E828">
        <v>50</v>
      </c>
      <c r="F828">
        <v>48.758502960000001</v>
      </c>
      <c r="G828">
        <v>1344.2575684000001</v>
      </c>
      <c r="H828">
        <v>1340.0831298999999</v>
      </c>
      <c r="I828">
        <v>1321.8840332</v>
      </c>
      <c r="J828">
        <v>1316.822876</v>
      </c>
      <c r="K828">
        <v>550</v>
      </c>
      <c r="L828">
        <v>0</v>
      </c>
      <c r="M828">
        <v>0</v>
      </c>
      <c r="N828">
        <v>550</v>
      </c>
    </row>
    <row r="829" spans="1:14" x14ac:dyDescent="0.25">
      <c r="A829">
        <v>899.26478299999997</v>
      </c>
      <c r="B829" s="1">
        <f>DATE(2012,10,16) + TIME(6,21,17)</f>
        <v>41198.264780092592</v>
      </c>
      <c r="C829">
        <v>80</v>
      </c>
      <c r="D829">
        <v>79.845573424999998</v>
      </c>
      <c r="E829">
        <v>50</v>
      </c>
      <c r="F829">
        <v>49.162509917999998</v>
      </c>
      <c r="G829">
        <v>1344.2363281</v>
      </c>
      <c r="H829">
        <v>1340.0681152</v>
      </c>
      <c r="I829">
        <v>1321.8941649999999</v>
      </c>
      <c r="J829">
        <v>1316.840332</v>
      </c>
      <c r="K829">
        <v>550</v>
      </c>
      <c r="L829">
        <v>0</v>
      </c>
      <c r="M829">
        <v>0</v>
      </c>
      <c r="N829">
        <v>550</v>
      </c>
    </row>
    <row r="830" spans="1:14" x14ac:dyDescent="0.25">
      <c r="A830">
        <v>903.28243999999995</v>
      </c>
      <c r="B830" s="1">
        <f>DATE(2012,10,20) + TIME(6,46,42)</f>
        <v>41202.282430555555</v>
      </c>
      <c r="C830">
        <v>80</v>
      </c>
      <c r="D830">
        <v>79.845756531000006</v>
      </c>
      <c r="E830">
        <v>50</v>
      </c>
      <c r="F830">
        <v>49.578140259000001</v>
      </c>
      <c r="G830">
        <v>1344.2152100000001</v>
      </c>
      <c r="H830">
        <v>1340.0532227000001</v>
      </c>
      <c r="I830">
        <v>1321.9057617000001</v>
      </c>
      <c r="J830">
        <v>1316.8610839999999</v>
      </c>
      <c r="K830">
        <v>550</v>
      </c>
      <c r="L830">
        <v>0</v>
      </c>
      <c r="M830">
        <v>0</v>
      </c>
      <c r="N830">
        <v>550</v>
      </c>
    </row>
    <row r="831" spans="1:14" x14ac:dyDescent="0.25">
      <c r="A831">
        <v>907.40522999999996</v>
      </c>
      <c r="B831" s="1">
        <f>DATE(2012,10,24) + TIME(9,43,31)</f>
        <v>41206.405219907407</v>
      </c>
      <c r="C831">
        <v>80</v>
      </c>
      <c r="D831">
        <v>79.845947265999996</v>
      </c>
      <c r="E831">
        <v>50</v>
      </c>
      <c r="F831">
        <v>50.003536224000001</v>
      </c>
      <c r="G831">
        <v>1344.1942139</v>
      </c>
      <c r="H831">
        <v>1340.0383300999999</v>
      </c>
      <c r="I831">
        <v>1321.9191894999999</v>
      </c>
      <c r="J831">
        <v>1316.8851318</v>
      </c>
      <c r="K831">
        <v>550</v>
      </c>
      <c r="L831">
        <v>0</v>
      </c>
      <c r="M831">
        <v>0</v>
      </c>
      <c r="N831">
        <v>550</v>
      </c>
    </row>
    <row r="832" spans="1:14" x14ac:dyDescent="0.25">
      <c r="A832">
        <v>911.65152699999999</v>
      </c>
      <c r="B832" s="1">
        <f>DATE(2012,10,28) + TIME(15,38,11)</f>
        <v>41210.651516203703</v>
      </c>
      <c r="C832">
        <v>80</v>
      </c>
      <c r="D832">
        <v>79.846145629999995</v>
      </c>
      <c r="E832">
        <v>50</v>
      </c>
      <c r="F832">
        <v>50.437019348</v>
      </c>
      <c r="G832">
        <v>1344.1730957</v>
      </c>
      <c r="H832">
        <v>1340.0234375</v>
      </c>
      <c r="I832">
        <v>1321.9342041</v>
      </c>
      <c r="J832">
        <v>1316.9122314000001</v>
      </c>
      <c r="K832">
        <v>550</v>
      </c>
      <c r="L832">
        <v>0</v>
      </c>
      <c r="M832">
        <v>0</v>
      </c>
      <c r="N832">
        <v>550</v>
      </c>
    </row>
    <row r="833" spans="1:14" x14ac:dyDescent="0.25">
      <c r="A833">
        <v>915</v>
      </c>
      <c r="B833" s="1">
        <f>DATE(2012,11,1) + TIME(0,0,0)</f>
        <v>41214</v>
      </c>
      <c r="C833">
        <v>80</v>
      </c>
      <c r="D833">
        <v>79.846267699999999</v>
      </c>
      <c r="E833">
        <v>50</v>
      </c>
      <c r="F833">
        <v>50.827281952</v>
      </c>
      <c r="G833">
        <v>1344.1518555</v>
      </c>
      <c r="H833">
        <v>1340.0086670000001</v>
      </c>
      <c r="I833">
        <v>1321.953125</v>
      </c>
      <c r="J833">
        <v>1316.9418945</v>
      </c>
      <c r="K833">
        <v>550</v>
      </c>
      <c r="L833">
        <v>0</v>
      </c>
      <c r="M833">
        <v>0</v>
      </c>
      <c r="N833">
        <v>550</v>
      </c>
    </row>
    <row r="834" spans="1:14" x14ac:dyDescent="0.25">
      <c r="A834">
        <v>915.000001</v>
      </c>
      <c r="B834" s="1">
        <f>DATE(2012,11,1) + TIME(0,0,0)</f>
        <v>41214</v>
      </c>
      <c r="C834">
        <v>80</v>
      </c>
      <c r="D834">
        <v>79.846244811999995</v>
      </c>
      <c r="E834">
        <v>50</v>
      </c>
      <c r="F834">
        <v>50.827312468999999</v>
      </c>
      <c r="G834">
        <v>1339.8088379000001</v>
      </c>
      <c r="H834">
        <v>1338.1444091999999</v>
      </c>
      <c r="I834">
        <v>1327.3957519999999</v>
      </c>
      <c r="J834">
        <v>1322.1903076000001</v>
      </c>
      <c r="K834">
        <v>0</v>
      </c>
      <c r="L834">
        <v>550</v>
      </c>
      <c r="M834">
        <v>550</v>
      </c>
      <c r="N834">
        <v>0</v>
      </c>
    </row>
    <row r="835" spans="1:14" x14ac:dyDescent="0.25">
      <c r="A835">
        <v>915.00000399999999</v>
      </c>
      <c r="B835" s="1">
        <f>DATE(2012,11,1) + TIME(0,0,0)</f>
        <v>41214</v>
      </c>
      <c r="C835">
        <v>80</v>
      </c>
      <c r="D835">
        <v>79.846168517999999</v>
      </c>
      <c r="E835">
        <v>50</v>
      </c>
      <c r="F835">
        <v>50.827392578000001</v>
      </c>
      <c r="G835">
        <v>1339.3040771000001</v>
      </c>
      <c r="H835">
        <v>1337.6394043</v>
      </c>
      <c r="I835">
        <v>1327.9521483999999</v>
      </c>
      <c r="J835">
        <v>1322.8195800999999</v>
      </c>
      <c r="K835">
        <v>0</v>
      </c>
      <c r="L835">
        <v>550</v>
      </c>
      <c r="M835">
        <v>550</v>
      </c>
      <c r="N835">
        <v>0</v>
      </c>
    </row>
    <row r="836" spans="1:14" x14ac:dyDescent="0.25">
      <c r="A836">
        <v>915.00001299999997</v>
      </c>
      <c r="B836" s="1">
        <f>DATE(2012,11,1) + TIME(0,0,1)</f>
        <v>41214.000011574077</v>
      </c>
      <c r="C836">
        <v>80</v>
      </c>
      <c r="D836">
        <v>79.846023560000006</v>
      </c>
      <c r="E836">
        <v>50</v>
      </c>
      <c r="F836">
        <v>50.827571869000003</v>
      </c>
      <c r="G836">
        <v>1338.2841797000001</v>
      </c>
      <c r="H836">
        <v>1336.6173096</v>
      </c>
      <c r="I836">
        <v>1329.2371826000001</v>
      </c>
      <c r="J836">
        <v>1324.2203368999999</v>
      </c>
      <c r="K836">
        <v>0</v>
      </c>
      <c r="L836">
        <v>550</v>
      </c>
      <c r="M836">
        <v>550</v>
      </c>
      <c r="N836">
        <v>0</v>
      </c>
    </row>
    <row r="837" spans="1:14" x14ac:dyDescent="0.25">
      <c r="A837">
        <v>915.00004000000001</v>
      </c>
      <c r="B837" s="1">
        <f>DATE(2012,11,1) + TIME(0,0,3)</f>
        <v>41214.000034722223</v>
      </c>
      <c r="C837">
        <v>80</v>
      </c>
      <c r="D837">
        <v>79.845809936999999</v>
      </c>
      <c r="E837">
        <v>50</v>
      </c>
      <c r="F837">
        <v>50.827854156000001</v>
      </c>
      <c r="G837">
        <v>1336.7882079999999</v>
      </c>
      <c r="H837">
        <v>1335.1104736</v>
      </c>
      <c r="I837">
        <v>1331.463501</v>
      </c>
      <c r="J837">
        <v>1326.5063477000001</v>
      </c>
      <c r="K837">
        <v>0</v>
      </c>
      <c r="L837">
        <v>550</v>
      </c>
      <c r="M837">
        <v>550</v>
      </c>
      <c r="N837">
        <v>0</v>
      </c>
    </row>
    <row r="838" spans="1:14" x14ac:dyDescent="0.25">
      <c r="A838">
        <v>915.00012100000004</v>
      </c>
      <c r="B838" s="1">
        <f>DATE(2012,11,1) + TIME(0,0,10)</f>
        <v>41214.000115740739</v>
      </c>
      <c r="C838">
        <v>80</v>
      </c>
      <c r="D838">
        <v>79.845558166999993</v>
      </c>
      <c r="E838">
        <v>50</v>
      </c>
      <c r="F838">
        <v>50.828186035000002</v>
      </c>
      <c r="G838">
        <v>1335.1005858999999</v>
      </c>
      <c r="H838">
        <v>1333.3951416</v>
      </c>
      <c r="I838">
        <v>1334.3076172000001</v>
      </c>
      <c r="J838">
        <v>1329.3349608999999</v>
      </c>
      <c r="K838">
        <v>0</v>
      </c>
      <c r="L838">
        <v>550</v>
      </c>
      <c r="M838">
        <v>550</v>
      </c>
      <c r="N838">
        <v>0</v>
      </c>
    </row>
    <row r="839" spans="1:14" x14ac:dyDescent="0.25">
      <c r="A839">
        <v>915.00036399999999</v>
      </c>
      <c r="B839" s="1">
        <f>DATE(2012,11,1) + TIME(0,0,31)</f>
        <v>41214.000358796293</v>
      </c>
      <c r="C839">
        <v>80</v>
      </c>
      <c r="D839">
        <v>79.845283507999994</v>
      </c>
      <c r="E839">
        <v>50</v>
      </c>
      <c r="F839">
        <v>50.828491210999999</v>
      </c>
      <c r="G839">
        <v>1333.34375</v>
      </c>
      <c r="H839">
        <v>1331.5649414</v>
      </c>
      <c r="I839">
        <v>1337.3272704999999</v>
      </c>
      <c r="J839">
        <v>1332.3217772999999</v>
      </c>
      <c r="K839">
        <v>0</v>
      </c>
      <c r="L839">
        <v>550</v>
      </c>
      <c r="M839">
        <v>550</v>
      </c>
      <c r="N839">
        <v>0</v>
      </c>
    </row>
    <row r="840" spans="1:14" x14ac:dyDescent="0.25">
      <c r="A840">
        <v>915.00109299999997</v>
      </c>
      <c r="B840" s="1">
        <f>DATE(2012,11,1) + TIME(0,1,34)</f>
        <v>41214.001087962963</v>
      </c>
      <c r="C840">
        <v>80</v>
      </c>
      <c r="D840">
        <v>79.844917296999995</v>
      </c>
      <c r="E840">
        <v>50</v>
      </c>
      <c r="F840">
        <v>50.828643798999998</v>
      </c>
      <c r="G840">
        <v>1331.5373535000001</v>
      </c>
      <c r="H840">
        <v>1329.6165771000001</v>
      </c>
      <c r="I840">
        <v>1340.307251</v>
      </c>
      <c r="J840">
        <v>1335.2615966999999</v>
      </c>
      <c r="K840">
        <v>0</v>
      </c>
      <c r="L840">
        <v>550</v>
      </c>
      <c r="M840">
        <v>550</v>
      </c>
      <c r="N840">
        <v>0</v>
      </c>
    </row>
    <row r="841" spans="1:14" x14ac:dyDescent="0.25">
      <c r="A841">
        <v>915.00328000000002</v>
      </c>
      <c r="B841" s="1">
        <f>DATE(2012,11,1) + TIME(0,4,43)</f>
        <v>41214.003275462965</v>
      </c>
      <c r="C841">
        <v>80</v>
      </c>
      <c r="D841">
        <v>79.844360351999995</v>
      </c>
      <c r="E841">
        <v>50</v>
      </c>
      <c r="F841">
        <v>50.828292847</v>
      </c>
      <c r="G841">
        <v>1329.8745117000001</v>
      </c>
      <c r="H841">
        <v>1327.8024902</v>
      </c>
      <c r="I841">
        <v>1342.8577881000001</v>
      </c>
      <c r="J841">
        <v>1337.7572021000001</v>
      </c>
      <c r="K841">
        <v>0</v>
      </c>
      <c r="L841">
        <v>550</v>
      </c>
      <c r="M841">
        <v>550</v>
      </c>
      <c r="N841">
        <v>0</v>
      </c>
    </row>
    <row r="842" spans="1:14" x14ac:dyDescent="0.25">
      <c r="A842">
        <v>915.00984100000005</v>
      </c>
      <c r="B842" s="1">
        <f>DATE(2012,11,1) + TIME(0,14,10)</f>
        <v>41214.009837962964</v>
      </c>
      <c r="C842">
        <v>80</v>
      </c>
      <c r="D842">
        <v>79.843177795000003</v>
      </c>
      <c r="E842">
        <v>50</v>
      </c>
      <c r="F842">
        <v>50.82648468</v>
      </c>
      <c r="G842">
        <v>1328.6333007999999</v>
      </c>
      <c r="H842">
        <v>1326.4851074000001</v>
      </c>
      <c r="I842">
        <v>1344.5328368999999</v>
      </c>
      <c r="J842">
        <v>1339.3822021000001</v>
      </c>
      <c r="K842">
        <v>0</v>
      </c>
      <c r="L842">
        <v>550</v>
      </c>
      <c r="M842">
        <v>550</v>
      </c>
      <c r="N842">
        <v>0</v>
      </c>
    </row>
    <row r="843" spans="1:14" x14ac:dyDescent="0.25">
      <c r="A843">
        <v>915.02952400000004</v>
      </c>
      <c r="B843" s="1">
        <f>DATE(2012,11,1) + TIME(0,42,30)</f>
        <v>41214.029513888891</v>
      </c>
      <c r="C843">
        <v>80</v>
      </c>
      <c r="D843">
        <v>79.840072632000002</v>
      </c>
      <c r="E843">
        <v>50</v>
      </c>
      <c r="F843">
        <v>50.820549010999997</v>
      </c>
      <c r="G843">
        <v>1327.9056396000001</v>
      </c>
      <c r="H843">
        <v>1325.7391356999999</v>
      </c>
      <c r="I843">
        <v>1345.3258057</v>
      </c>
      <c r="J843">
        <v>1340.1447754000001</v>
      </c>
      <c r="K843">
        <v>0</v>
      </c>
      <c r="L843">
        <v>550</v>
      </c>
      <c r="M843">
        <v>550</v>
      </c>
      <c r="N843">
        <v>0</v>
      </c>
    </row>
    <row r="844" spans="1:14" x14ac:dyDescent="0.25">
      <c r="A844">
        <v>915.088573</v>
      </c>
      <c r="B844" s="1">
        <f>DATE(2012,11,1) + TIME(2,7,32)</f>
        <v>41214.088564814818</v>
      </c>
      <c r="C844">
        <v>80</v>
      </c>
      <c r="D844">
        <v>79.831100464000002</v>
      </c>
      <c r="E844">
        <v>50</v>
      </c>
      <c r="F844">
        <v>50.802803040000001</v>
      </c>
      <c r="G844">
        <v>1327.5755615</v>
      </c>
      <c r="H844">
        <v>1325.4068603999999</v>
      </c>
      <c r="I844">
        <v>1345.5499268000001</v>
      </c>
      <c r="J844">
        <v>1340.3610839999999</v>
      </c>
      <c r="K844">
        <v>0</v>
      </c>
      <c r="L844">
        <v>550</v>
      </c>
      <c r="M844">
        <v>550</v>
      </c>
      <c r="N844">
        <v>0</v>
      </c>
    </row>
    <row r="845" spans="1:14" x14ac:dyDescent="0.25">
      <c r="A845">
        <v>915.26571999999999</v>
      </c>
      <c r="B845" s="1">
        <f>DATE(2012,11,1) + TIME(6,22,38)</f>
        <v>41214.265717592592</v>
      </c>
      <c r="C845">
        <v>80</v>
      </c>
      <c r="D845">
        <v>79.805076599000003</v>
      </c>
      <c r="E845">
        <v>50</v>
      </c>
      <c r="F845">
        <v>50.752513884999999</v>
      </c>
      <c r="G845">
        <v>1327.473999</v>
      </c>
      <c r="H845">
        <v>1325.3048096</v>
      </c>
      <c r="I845">
        <v>1345.5267334</v>
      </c>
      <c r="J845">
        <v>1340.3481445</v>
      </c>
      <c r="K845">
        <v>0</v>
      </c>
      <c r="L845">
        <v>550</v>
      </c>
      <c r="M845">
        <v>550</v>
      </c>
      <c r="N845">
        <v>0</v>
      </c>
    </row>
    <row r="846" spans="1:14" x14ac:dyDescent="0.25">
      <c r="A846">
        <v>915.49245699999994</v>
      </c>
      <c r="B846" s="1">
        <f>DATE(2012,11,1) + TIME(11,49,8)</f>
        <v>41214.4924537037</v>
      </c>
      <c r="C846">
        <v>80</v>
      </c>
      <c r="D846">
        <v>79.772491454999994</v>
      </c>
      <c r="E846">
        <v>50</v>
      </c>
      <c r="F846">
        <v>50.692737579000003</v>
      </c>
      <c r="G846">
        <v>1327.4544678</v>
      </c>
      <c r="H846">
        <v>1325.2841797000001</v>
      </c>
      <c r="I846">
        <v>1345.479126</v>
      </c>
      <c r="J846">
        <v>1340.3132324000001</v>
      </c>
      <c r="K846">
        <v>0</v>
      </c>
      <c r="L846">
        <v>550</v>
      </c>
      <c r="M846">
        <v>550</v>
      </c>
      <c r="N846">
        <v>0</v>
      </c>
    </row>
    <row r="847" spans="1:14" x14ac:dyDescent="0.25">
      <c r="A847">
        <v>915.72808499999996</v>
      </c>
      <c r="B847" s="1">
        <f>DATE(2012,11,1) + TIME(17,28,26)</f>
        <v>41214.728078703702</v>
      </c>
      <c r="C847">
        <v>80</v>
      </c>
      <c r="D847">
        <v>79.739143372000001</v>
      </c>
      <c r="E847">
        <v>50</v>
      </c>
      <c r="F847">
        <v>50.635185241999999</v>
      </c>
      <c r="G847">
        <v>1327.4461670000001</v>
      </c>
      <c r="H847">
        <v>1325.2742920000001</v>
      </c>
      <c r="I847">
        <v>1345.4388428</v>
      </c>
      <c r="J847">
        <v>1340.2841797000001</v>
      </c>
      <c r="K847">
        <v>0</v>
      </c>
      <c r="L847">
        <v>550</v>
      </c>
      <c r="M847">
        <v>550</v>
      </c>
      <c r="N847">
        <v>0</v>
      </c>
    </row>
    <row r="848" spans="1:14" x14ac:dyDescent="0.25">
      <c r="A848">
        <v>915.97364300000004</v>
      </c>
      <c r="B848" s="1">
        <f>DATE(2012,11,1) + TIME(23,22,2)</f>
        <v>41214.973634259259</v>
      </c>
      <c r="C848">
        <v>80</v>
      </c>
      <c r="D848">
        <v>79.704925536999994</v>
      </c>
      <c r="E848">
        <v>50</v>
      </c>
      <c r="F848">
        <v>50.579761505</v>
      </c>
      <c r="G848">
        <v>1327.4390868999999</v>
      </c>
      <c r="H848">
        <v>1325.265625</v>
      </c>
      <c r="I848">
        <v>1345.4011230000001</v>
      </c>
      <c r="J848">
        <v>1340.2573242000001</v>
      </c>
      <c r="K848">
        <v>0</v>
      </c>
      <c r="L848">
        <v>550</v>
      </c>
      <c r="M848">
        <v>550</v>
      </c>
      <c r="N848">
        <v>0</v>
      </c>
    </row>
    <row r="849" spans="1:14" x14ac:dyDescent="0.25">
      <c r="A849">
        <v>916.230143</v>
      </c>
      <c r="B849" s="1">
        <f>DATE(2012,11,2) + TIME(5,31,24)</f>
        <v>41215.230138888888</v>
      </c>
      <c r="C849">
        <v>80</v>
      </c>
      <c r="D849">
        <v>79.669761657999999</v>
      </c>
      <c r="E849">
        <v>50</v>
      </c>
      <c r="F849">
        <v>50.526420592999997</v>
      </c>
      <c r="G849">
        <v>1327.4320068</v>
      </c>
      <c r="H849">
        <v>1325.2567139</v>
      </c>
      <c r="I849">
        <v>1345.3648682</v>
      </c>
      <c r="J849">
        <v>1340.2314452999999</v>
      </c>
      <c r="K849">
        <v>0</v>
      </c>
      <c r="L849">
        <v>550</v>
      </c>
      <c r="M849">
        <v>550</v>
      </c>
      <c r="N849">
        <v>0</v>
      </c>
    </row>
    <row r="850" spans="1:14" x14ac:dyDescent="0.25">
      <c r="A850">
        <v>916.49877900000001</v>
      </c>
      <c r="B850" s="1">
        <f>DATE(2012,11,2) + TIME(11,58,14)</f>
        <v>41215.498773148145</v>
      </c>
      <c r="C850">
        <v>80</v>
      </c>
      <c r="D850">
        <v>79.633514403999996</v>
      </c>
      <c r="E850">
        <v>50</v>
      </c>
      <c r="F850">
        <v>50.475120543999999</v>
      </c>
      <c r="G850">
        <v>1327.4246826000001</v>
      </c>
      <c r="H850">
        <v>1325.2474365</v>
      </c>
      <c r="I850">
        <v>1345.3299560999999</v>
      </c>
      <c r="J850">
        <v>1340.2066649999999</v>
      </c>
      <c r="K850">
        <v>0</v>
      </c>
      <c r="L850">
        <v>550</v>
      </c>
      <c r="M850">
        <v>550</v>
      </c>
      <c r="N850">
        <v>0</v>
      </c>
    </row>
    <row r="851" spans="1:14" x14ac:dyDescent="0.25">
      <c r="A851">
        <v>916.78096300000004</v>
      </c>
      <c r="B851" s="1">
        <f>DATE(2012,11,2) + TIME(18,44,35)</f>
        <v>41215.780960648146</v>
      </c>
      <c r="C851">
        <v>80</v>
      </c>
      <c r="D851">
        <v>79.596076964999995</v>
      </c>
      <c r="E851">
        <v>50</v>
      </c>
      <c r="F851">
        <v>50.425819396999998</v>
      </c>
      <c r="G851">
        <v>1327.4169922000001</v>
      </c>
      <c r="H851">
        <v>1325.2376709</v>
      </c>
      <c r="I851">
        <v>1345.2963867000001</v>
      </c>
      <c r="J851">
        <v>1340.1827393000001</v>
      </c>
      <c r="K851">
        <v>0</v>
      </c>
      <c r="L851">
        <v>550</v>
      </c>
      <c r="M851">
        <v>550</v>
      </c>
      <c r="N851">
        <v>0</v>
      </c>
    </row>
    <row r="852" spans="1:14" x14ac:dyDescent="0.25">
      <c r="A852">
        <v>917.078305</v>
      </c>
      <c r="B852" s="1">
        <f>DATE(2012,11,3) + TIME(1,52,45)</f>
        <v>41216.078298611108</v>
      </c>
      <c r="C852">
        <v>80</v>
      </c>
      <c r="D852">
        <v>79.557296753000003</v>
      </c>
      <c r="E852">
        <v>50</v>
      </c>
      <c r="F852">
        <v>50.378482818999998</v>
      </c>
      <c r="G852">
        <v>1327.4089355000001</v>
      </c>
      <c r="H852">
        <v>1325.2274170000001</v>
      </c>
      <c r="I852">
        <v>1345.2640381000001</v>
      </c>
      <c r="J852">
        <v>1340.159668</v>
      </c>
      <c r="K852">
        <v>0</v>
      </c>
      <c r="L852">
        <v>550</v>
      </c>
      <c r="M852">
        <v>550</v>
      </c>
      <c r="N852">
        <v>0</v>
      </c>
    </row>
    <row r="853" spans="1:14" x14ac:dyDescent="0.25">
      <c r="A853">
        <v>917.392697</v>
      </c>
      <c r="B853" s="1">
        <f>DATE(2012,11,3) + TIME(9,25,29)</f>
        <v>41216.392696759256</v>
      </c>
      <c r="C853">
        <v>80</v>
      </c>
      <c r="D853">
        <v>79.517005920000003</v>
      </c>
      <c r="E853">
        <v>50</v>
      </c>
      <c r="F853">
        <v>50.333095551</v>
      </c>
      <c r="G853">
        <v>1327.4003906</v>
      </c>
      <c r="H853">
        <v>1325.2164307</v>
      </c>
      <c r="I853">
        <v>1345.2327881000001</v>
      </c>
      <c r="J853">
        <v>1340.1374512</v>
      </c>
      <c r="K853">
        <v>0</v>
      </c>
      <c r="L853">
        <v>550</v>
      </c>
      <c r="M853">
        <v>550</v>
      </c>
      <c r="N853">
        <v>0</v>
      </c>
    </row>
    <row r="854" spans="1:14" x14ac:dyDescent="0.25">
      <c r="A854">
        <v>917.72637999999995</v>
      </c>
      <c r="B854" s="1">
        <f>DATE(2012,11,3) + TIME(17,25,59)</f>
        <v>41216.726377314815</v>
      </c>
      <c r="C854">
        <v>80</v>
      </c>
      <c r="D854">
        <v>79.475006104000002</v>
      </c>
      <c r="E854">
        <v>50</v>
      </c>
      <c r="F854">
        <v>50.289634704999997</v>
      </c>
      <c r="G854">
        <v>1327.3914795000001</v>
      </c>
      <c r="H854">
        <v>1325.2048339999999</v>
      </c>
      <c r="I854">
        <v>1345.2027588000001</v>
      </c>
      <c r="J854">
        <v>1340.1159668</v>
      </c>
      <c r="K854">
        <v>0</v>
      </c>
      <c r="L854">
        <v>550</v>
      </c>
      <c r="M854">
        <v>550</v>
      </c>
      <c r="N854">
        <v>0</v>
      </c>
    </row>
    <row r="855" spans="1:14" x14ac:dyDescent="0.25">
      <c r="A855">
        <v>918.08203200000003</v>
      </c>
      <c r="B855" s="1">
        <f>DATE(2012,11,4) + TIME(1,58,7)</f>
        <v>41217.082025462965</v>
      </c>
      <c r="C855">
        <v>80</v>
      </c>
      <c r="D855">
        <v>79.431068420000003</v>
      </c>
      <c r="E855">
        <v>50</v>
      </c>
      <c r="F855">
        <v>50.248096466</v>
      </c>
      <c r="G855">
        <v>1327.3819579999999</v>
      </c>
      <c r="H855">
        <v>1325.1925048999999</v>
      </c>
      <c r="I855">
        <v>1345.1737060999999</v>
      </c>
      <c r="J855">
        <v>1340.0952147999999</v>
      </c>
      <c r="K855">
        <v>0</v>
      </c>
      <c r="L855">
        <v>550</v>
      </c>
      <c r="M855">
        <v>550</v>
      </c>
      <c r="N855">
        <v>0</v>
      </c>
    </row>
    <row r="856" spans="1:14" x14ac:dyDescent="0.25">
      <c r="A856">
        <v>918.462896</v>
      </c>
      <c r="B856" s="1">
        <f>DATE(2012,11,4) + TIME(11,6,34)</f>
        <v>41217.462893518517</v>
      </c>
      <c r="C856">
        <v>80</v>
      </c>
      <c r="D856">
        <v>79.384925842000001</v>
      </c>
      <c r="E856">
        <v>50</v>
      </c>
      <c r="F856">
        <v>50.208477019999997</v>
      </c>
      <c r="G856">
        <v>1327.3718262</v>
      </c>
      <c r="H856">
        <v>1325.1793213000001</v>
      </c>
      <c r="I856">
        <v>1345.1456298999999</v>
      </c>
      <c r="J856">
        <v>1340.0750731999999</v>
      </c>
      <c r="K856">
        <v>0</v>
      </c>
      <c r="L856">
        <v>550</v>
      </c>
      <c r="M856">
        <v>550</v>
      </c>
      <c r="N856">
        <v>0</v>
      </c>
    </row>
    <row r="857" spans="1:14" x14ac:dyDescent="0.25">
      <c r="A857">
        <v>918.87293899999997</v>
      </c>
      <c r="B857" s="1">
        <f>DATE(2012,11,4) + TIME(20,57,1)</f>
        <v>41217.872928240744</v>
      </c>
      <c r="C857">
        <v>80</v>
      </c>
      <c r="D857">
        <v>79.336242675999998</v>
      </c>
      <c r="E857">
        <v>50</v>
      </c>
      <c r="F857">
        <v>50.170791626000003</v>
      </c>
      <c r="G857">
        <v>1327.3609618999999</v>
      </c>
      <c r="H857">
        <v>1325.1651611</v>
      </c>
      <c r="I857">
        <v>1345.1184082</v>
      </c>
      <c r="J857">
        <v>1340.0556641000001</v>
      </c>
      <c r="K857">
        <v>0</v>
      </c>
      <c r="L857">
        <v>550</v>
      </c>
      <c r="M857">
        <v>550</v>
      </c>
      <c r="N857">
        <v>0</v>
      </c>
    </row>
    <row r="858" spans="1:14" x14ac:dyDescent="0.25">
      <c r="A858">
        <v>919.317091</v>
      </c>
      <c r="B858" s="1">
        <f>DATE(2012,11,5) + TIME(7,36,36)</f>
        <v>41218.317083333335</v>
      </c>
      <c r="C858">
        <v>80</v>
      </c>
      <c r="D858">
        <v>79.284614563000005</v>
      </c>
      <c r="E858">
        <v>50</v>
      </c>
      <c r="F858">
        <v>50.135051726999997</v>
      </c>
      <c r="G858">
        <v>1327.3492432</v>
      </c>
      <c r="H858">
        <v>1325.1497803</v>
      </c>
      <c r="I858">
        <v>1345.0921631000001</v>
      </c>
      <c r="J858">
        <v>1340.0367432</v>
      </c>
      <c r="K858">
        <v>0</v>
      </c>
      <c r="L858">
        <v>550</v>
      </c>
      <c r="M858">
        <v>550</v>
      </c>
      <c r="N858">
        <v>0</v>
      </c>
    </row>
    <row r="859" spans="1:14" x14ac:dyDescent="0.25">
      <c r="A859">
        <v>919.80156899999997</v>
      </c>
      <c r="B859" s="1">
        <f>DATE(2012,11,5) + TIME(19,14,15)</f>
        <v>41218.801562499997</v>
      </c>
      <c r="C859">
        <v>80</v>
      </c>
      <c r="D859">
        <v>79.229545592999997</v>
      </c>
      <c r="E859">
        <v>50</v>
      </c>
      <c r="F859">
        <v>50.101287841999998</v>
      </c>
      <c r="G859">
        <v>1327.3366699000001</v>
      </c>
      <c r="H859">
        <v>1325.1331786999999</v>
      </c>
      <c r="I859">
        <v>1345.0666504000001</v>
      </c>
      <c r="J859">
        <v>1340.0184326000001</v>
      </c>
      <c r="K859">
        <v>0</v>
      </c>
      <c r="L859">
        <v>550</v>
      </c>
      <c r="M859">
        <v>550</v>
      </c>
      <c r="N859">
        <v>0</v>
      </c>
    </row>
    <row r="860" spans="1:14" x14ac:dyDescent="0.25">
      <c r="A860">
        <v>920.31855399999995</v>
      </c>
      <c r="B860" s="1">
        <f>DATE(2012,11,6) + TIME(7,38,43)</f>
        <v>41219.318553240744</v>
      </c>
      <c r="C860">
        <v>80</v>
      </c>
      <c r="D860">
        <v>79.171981811999999</v>
      </c>
      <c r="E860">
        <v>50</v>
      </c>
      <c r="F860">
        <v>50.070350646999998</v>
      </c>
      <c r="G860">
        <v>1327.3229980000001</v>
      </c>
      <c r="H860">
        <v>1325.1151123</v>
      </c>
      <c r="I860">
        <v>1345.0428466999999</v>
      </c>
      <c r="J860">
        <v>1340.0012207</v>
      </c>
      <c r="K860">
        <v>0</v>
      </c>
      <c r="L860">
        <v>550</v>
      </c>
      <c r="M860">
        <v>550</v>
      </c>
      <c r="N860">
        <v>0</v>
      </c>
    </row>
    <row r="861" spans="1:14" x14ac:dyDescent="0.25">
      <c r="A861">
        <v>920.85546599999998</v>
      </c>
      <c r="B861" s="1">
        <f>DATE(2012,11,6) + TIME(20,31,52)</f>
        <v>41219.855462962965</v>
      </c>
      <c r="C861">
        <v>80</v>
      </c>
      <c r="D861">
        <v>79.113250731999997</v>
      </c>
      <c r="E861">
        <v>50</v>
      </c>
      <c r="F861">
        <v>50.042900084999999</v>
      </c>
      <c r="G861">
        <v>1327.3084716999999</v>
      </c>
      <c r="H861">
        <v>1325.0958252</v>
      </c>
      <c r="I861">
        <v>1345.0211182</v>
      </c>
      <c r="J861">
        <v>1339.9854736</v>
      </c>
      <c r="K861">
        <v>0</v>
      </c>
      <c r="L861">
        <v>550</v>
      </c>
      <c r="M861">
        <v>550</v>
      </c>
      <c r="N861">
        <v>0</v>
      </c>
    </row>
    <row r="862" spans="1:14" x14ac:dyDescent="0.25">
      <c r="A862">
        <v>921.41407100000004</v>
      </c>
      <c r="B862" s="1">
        <f>DATE(2012,11,7) + TIME(9,56,15)</f>
        <v>41220.4140625</v>
      </c>
      <c r="C862">
        <v>80</v>
      </c>
      <c r="D862">
        <v>79.053222656000003</v>
      </c>
      <c r="E862">
        <v>50</v>
      </c>
      <c r="F862">
        <v>50.018634796000001</v>
      </c>
      <c r="G862">
        <v>1327.2933350000001</v>
      </c>
      <c r="H862">
        <v>1325.0758057</v>
      </c>
      <c r="I862">
        <v>1345.0010986</v>
      </c>
      <c r="J862">
        <v>1339.9709473</v>
      </c>
      <c r="K862">
        <v>0</v>
      </c>
      <c r="L862">
        <v>550</v>
      </c>
      <c r="M862">
        <v>550</v>
      </c>
      <c r="N862">
        <v>0</v>
      </c>
    </row>
    <row r="863" spans="1:14" x14ac:dyDescent="0.25">
      <c r="A863">
        <v>921.995768</v>
      </c>
      <c r="B863" s="1">
        <f>DATE(2012,11,7) + TIME(23,53,54)</f>
        <v>41220.995763888888</v>
      </c>
      <c r="C863">
        <v>80</v>
      </c>
      <c r="D863">
        <v>78.991798400999997</v>
      </c>
      <c r="E863">
        <v>50</v>
      </c>
      <c r="F863">
        <v>49.997291564999998</v>
      </c>
      <c r="G863">
        <v>1327.2775879000001</v>
      </c>
      <c r="H863">
        <v>1325.0548096</v>
      </c>
      <c r="I863">
        <v>1344.9825439000001</v>
      </c>
      <c r="J863">
        <v>1339.9572754000001</v>
      </c>
      <c r="K863">
        <v>0</v>
      </c>
      <c r="L863">
        <v>550</v>
      </c>
      <c r="M863">
        <v>550</v>
      </c>
      <c r="N863">
        <v>0</v>
      </c>
    </row>
    <row r="864" spans="1:14" x14ac:dyDescent="0.25">
      <c r="A864">
        <v>922.60208899999998</v>
      </c>
      <c r="B864" s="1">
        <f>DATE(2012,11,8) + TIME(14,27,0)</f>
        <v>41221.602083333331</v>
      </c>
      <c r="C864">
        <v>80</v>
      </c>
      <c r="D864">
        <v>78.928855896000002</v>
      </c>
      <c r="E864">
        <v>50</v>
      </c>
      <c r="F864">
        <v>49.978614807</v>
      </c>
      <c r="G864">
        <v>1327.2612305</v>
      </c>
      <c r="H864">
        <v>1325.0329589999999</v>
      </c>
      <c r="I864">
        <v>1344.965332</v>
      </c>
      <c r="J864">
        <v>1339.9447021000001</v>
      </c>
      <c r="K864">
        <v>0</v>
      </c>
      <c r="L864">
        <v>550</v>
      </c>
      <c r="M864">
        <v>550</v>
      </c>
      <c r="N864">
        <v>0</v>
      </c>
    </row>
    <row r="865" spans="1:14" x14ac:dyDescent="0.25">
      <c r="A865">
        <v>923.23471300000006</v>
      </c>
      <c r="B865" s="1">
        <f>DATE(2012,11,9) + TIME(5,37,59)</f>
        <v>41222.234710648147</v>
      </c>
      <c r="C865">
        <v>80</v>
      </c>
      <c r="D865">
        <v>78.864295959000003</v>
      </c>
      <c r="E865">
        <v>50</v>
      </c>
      <c r="F865">
        <v>49.962375641000001</v>
      </c>
      <c r="G865">
        <v>1327.2441406</v>
      </c>
      <c r="H865">
        <v>1325.0101318</v>
      </c>
      <c r="I865">
        <v>1344.9492187999999</v>
      </c>
      <c r="J865">
        <v>1339.9328613</v>
      </c>
      <c r="K865">
        <v>0</v>
      </c>
      <c r="L865">
        <v>550</v>
      </c>
      <c r="M865">
        <v>550</v>
      </c>
      <c r="N865">
        <v>0</v>
      </c>
    </row>
    <row r="866" spans="1:14" x14ac:dyDescent="0.25">
      <c r="A866">
        <v>923.89548600000001</v>
      </c>
      <c r="B866" s="1">
        <f>DATE(2012,11,9) + TIME(21,29,29)</f>
        <v>41222.895474537036</v>
      </c>
      <c r="C866">
        <v>80</v>
      </c>
      <c r="D866">
        <v>78.797988892000006</v>
      </c>
      <c r="E866">
        <v>50</v>
      </c>
      <c r="F866">
        <v>49.948341370000001</v>
      </c>
      <c r="G866">
        <v>1327.2261963000001</v>
      </c>
      <c r="H866">
        <v>1324.9862060999999</v>
      </c>
      <c r="I866">
        <v>1344.9342041</v>
      </c>
      <c r="J866">
        <v>1339.9217529</v>
      </c>
      <c r="K866">
        <v>0</v>
      </c>
      <c r="L866">
        <v>550</v>
      </c>
      <c r="M866">
        <v>550</v>
      </c>
      <c r="N866">
        <v>0</v>
      </c>
    </row>
    <row r="867" spans="1:14" x14ac:dyDescent="0.25">
      <c r="A867">
        <v>924.58638800000006</v>
      </c>
      <c r="B867" s="1">
        <f>DATE(2012,11,10) + TIME(14,4,23)</f>
        <v>41223.586377314816</v>
      </c>
      <c r="C867">
        <v>80</v>
      </c>
      <c r="D867">
        <v>78.729797363000003</v>
      </c>
      <c r="E867">
        <v>50</v>
      </c>
      <c r="F867">
        <v>49.936294556</v>
      </c>
      <c r="G867">
        <v>1327.2075195</v>
      </c>
      <c r="H867">
        <v>1324.9610596</v>
      </c>
      <c r="I867">
        <v>1344.9201660000001</v>
      </c>
      <c r="J867">
        <v>1339.9112548999999</v>
      </c>
      <c r="K867">
        <v>0</v>
      </c>
      <c r="L867">
        <v>550</v>
      </c>
      <c r="M867">
        <v>550</v>
      </c>
      <c r="N867">
        <v>0</v>
      </c>
    </row>
    <row r="868" spans="1:14" x14ac:dyDescent="0.25">
      <c r="A868">
        <v>925.30963799999995</v>
      </c>
      <c r="B868" s="1">
        <f>DATE(2012,11,11) + TIME(7,25,52)</f>
        <v>41224.309629629628</v>
      </c>
      <c r="C868">
        <v>80</v>
      </c>
      <c r="D868">
        <v>78.659576415999993</v>
      </c>
      <c r="E868">
        <v>50</v>
      </c>
      <c r="F868">
        <v>49.926040649000001</v>
      </c>
      <c r="G868">
        <v>1327.1879882999999</v>
      </c>
      <c r="H868">
        <v>1324.9348144999999</v>
      </c>
      <c r="I868">
        <v>1344.9068603999999</v>
      </c>
      <c r="J868">
        <v>1339.9013672000001</v>
      </c>
      <c r="K868">
        <v>0</v>
      </c>
      <c r="L868">
        <v>550</v>
      </c>
      <c r="M868">
        <v>550</v>
      </c>
      <c r="N868">
        <v>0</v>
      </c>
    </row>
    <row r="869" spans="1:14" x14ac:dyDescent="0.25">
      <c r="A869">
        <v>926.06736000000001</v>
      </c>
      <c r="B869" s="1">
        <f>DATE(2012,11,12) + TIME(1,36,59)</f>
        <v>41225.067349537036</v>
      </c>
      <c r="C869">
        <v>80</v>
      </c>
      <c r="D869">
        <v>78.587211608999993</v>
      </c>
      <c r="E869">
        <v>50</v>
      </c>
      <c r="F869">
        <v>49.917377471999998</v>
      </c>
      <c r="G869">
        <v>1327.1674805</v>
      </c>
      <c r="H869">
        <v>1324.9072266000001</v>
      </c>
      <c r="I869">
        <v>1344.8944091999999</v>
      </c>
      <c r="J869">
        <v>1339.8919678</v>
      </c>
      <c r="K869">
        <v>0</v>
      </c>
      <c r="L869">
        <v>550</v>
      </c>
      <c r="M869">
        <v>550</v>
      </c>
      <c r="N869">
        <v>0</v>
      </c>
    </row>
    <row r="870" spans="1:14" x14ac:dyDescent="0.25">
      <c r="A870">
        <v>926.86255500000004</v>
      </c>
      <c r="B870" s="1">
        <f>DATE(2012,11,12) + TIME(20,42,4)</f>
        <v>41225.862546296295</v>
      </c>
      <c r="C870">
        <v>80</v>
      </c>
      <c r="D870">
        <v>78.512489318999997</v>
      </c>
      <c r="E870">
        <v>50</v>
      </c>
      <c r="F870">
        <v>49.910125731999997</v>
      </c>
      <c r="G870">
        <v>1327.145874</v>
      </c>
      <c r="H870">
        <v>1324.8782959</v>
      </c>
      <c r="I870">
        <v>1344.8826904</v>
      </c>
      <c r="J870">
        <v>1339.8829346</v>
      </c>
      <c r="K870">
        <v>0</v>
      </c>
      <c r="L870">
        <v>550</v>
      </c>
      <c r="M870">
        <v>550</v>
      </c>
      <c r="N870">
        <v>0</v>
      </c>
    </row>
    <row r="871" spans="1:14" x14ac:dyDescent="0.25">
      <c r="A871">
        <v>927.69819500000006</v>
      </c>
      <c r="B871" s="1">
        <f>DATE(2012,11,13) + TIME(16,45,24)</f>
        <v>41226.698194444441</v>
      </c>
      <c r="C871">
        <v>80</v>
      </c>
      <c r="D871">
        <v>78.435234070000007</v>
      </c>
      <c r="E871">
        <v>50</v>
      </c>
      <c r="F871">
        <v>49.904117583999998</v>
      </c>
      <c r="G871">
        <v>1327.1232910000001</v>
      </c>
      <c r="H871">
        <v>1324.8479004000001</v>
      </c>
      <c r="I871">
        <v>1344.8714600000001</v>
      </c>
      <c r="J871">
        <v>1339.8743896000001</v>
      </c>
      <c r="K871">
        <v>0</v>
      </c>
      <c r="L871">
        <v>550</v>
      </c>
      <c r="M871">
        <v>550</v>
      </c>
      <c r="N871">
        <v>0</v>
      </c>
    </row>
    <row r="872" spans="1:14" x14ac:dyDescent="0.25">
      <c r="A872">
        <v>928.57759099999998</v>
      </c>
      <c r="B872" s="1">
        <f>DATE(2012,11,14) + TIME(13,51,43)</f>
        <v>41227.577581018515</v>
      </c>
      <c r="C872">
        <v>80</v>
      </c>
      <c r="D872">
        <v>78.355247497999997</v>
      </c>
      <c r="E872">
        <v>50</v>
      </c>
      <c r="F872">
        <v>49.899192810000002</v>
      </c>
      <c r="G872">
        <v>1327.0996094</v>
      </c>
      <c r="H872">
        <v>1324.815918</v>
      </c>
      <c r="I872">
        <v>1344.8608397999999</v>
      </c>
      <c r="J872">
        <v>1339.8660889</v>
      </c>
      <c r="K872">
        <v>0</v>
      </c>
      <c r="L872">
        <v>550</v>
      </c>
      <c r="M872">
        <v>550</v>
      </c>
      <c r="N872">
        <v>0</v>
      </c>
    </row>
    <row r="873" spans="1:14" x14ac:dyDescent="0.25">
      <c r="A873">
        <v>929.50443900000005</v>
      </c>
      <c r="B873" s="1">
        <f>DATE(2012,11,15) + TIME(12,6,23)</f>
        <v>41228.504432870373</v>
      </c>
      <c r="C873">
        <v>80</v>
      </c>
      <c r="D873">
        <v>78.272315978999998</v>
      </c>
      <c r="E873">
        <v>50</v>
      </c>
      <c r="F873">
        <v>49.895214080999999</v>
      </c>
      <c r="G873">
        <v>1327.0745850000001</v>
      </c>
      <c r="H873">
        <v>1324.7821045000001</v>
      </c>
      <c r="I873">
        <v>1344.8505858999999</v>
      </c>
      <c r="J873">
        <v>1339.8581543</v>
      </c>
      <c r="K873">
        <v>0</v>
      </c>
      <c r="L873">
        <v>550</v>
      </c>
      <c r="M873">
        <v>550</v>
      </c>
      <c r="N873">
        <v>0</v>
      </c>
    </row>
    <row r="874" spans="1:14" x14ac:dyDescent="0.25">
      <c r="A874">
        <v>930.48286099999996</v>
      </c>
      <c r="B874" s="1">
        <f>DATE(2012,11,16) + TIME(11,35,19)</f>
        <v>41229.482858796298</v>
      </c>
      <c r="C874">
        <v>80</v>
      </c>
      <c r="D874">
        <v>78.186195373999993</v>
      </c>
      <c r="E874">
        <v>50</v>
      </c>
      <c r="F874">
        <v>49.892040252999998</v>
      </c>
      <c r="G874">
        <v>1327.0482178</v>
      </c>
      <c r="H874">
        <v>1324.7464600000001</v>
      </c>
      <c r="I874">
        <v>1344.8408202999999</v>
      </c>
      <c r="J874">
        <v>1339.8504639</v>
      </c>
      <c r="K874">
        <v>0</v>
      </c>
      <c r="L874">
        <v>550</v>
      </c>
      <c r="M874">
        <v>550</v>
      </c>
      <c r="N874">
        <v>0</v>
      </c>
    </row>
    <row r="875" spans="1:14" x14ac:dyDescent="0.25">
      <c r="A875">
        <v>931.50073899999995</v>
      </c>
      <c r="B875" s="1">
        <f>DATE(2012,11,17) + TIME(12,1,3)</f>
        <v>41230.50072916667</v>
      </c>
      <c r="C875">
        <v>80</v>
      </c>
      <c r="D875">
        <v>78.097816467000001</v>
      </c>
      <c r="E875">
        <v>50</v>
      </c>
      <c r="F875">
        <v>49.889591217000003</v>
      </c>
      <c r="G875">
        <v>1327.0203856999999</v>
      </c>
      <c r="H875">
        <v>1324.7088623</v>
      </c>
      <c r="I875">
        <v>1344.8314209</v>
      </c>
      <c r="J875">
        <v>1339.8430175999999</v>
      </c>
      <c r="K875">
        <v>0</v>
      </c>
      <c r="L875">
        <v>550</v>
      </c>
      <c r="M875">
        <v>550</v>
      </c>
      <c r="N875">
        <v>0</v>
      </c>
    </row>
    <row r="876" spans="1:14" x14ac:dyDescent="0.25">
      <c r="A876">
        <v>932.54598399999998</v>
      </c>
      <c r="B876" s="1">
        <f>DATE(2012,11,18) + TIME(13,6,13)</f>
        <v>41231.545983796299</v>
      </c>
      <c r="C876">
        <v>80</v>
      </c>
      <c r="D876">
        <v>78.008071899000001</v>
      </c>
      <c r="E876">
        <v>50</v>
      </c>
      <c r="F876">
        <v>49.887744904000002</v>
      </c>
      <c r="G876">
        <v>1326.9913329999999</v>
      </c>
      <c r="H876">
        <v>1324.6696777</v>
      </c>
      <c r="I876">
        <v>1344.8226318</v>
      </c>
      <c r="J876">
        <v>1339.8358154</v>
      </c>
      <c r="K876">
        <v>0</v>
      </c>
      <c r="L876">
        <v>550</v>
      </c>
      <c r="M876">
        <v>550</v>
      </c>
      <c r="N876">
        <v>0</v>
      </c>
    </row>
    <row r="877" spans="1:14" x14ac:dyDescent="0.25">
      <c r="A877">
        <v>933.62111900000002</v>
      </c>
      <c r="B877" s="1">
        <f>DATE(2012,11,19) + TIME(14,54,24)</f>
        <v>41232.621111111112</v>
      </c>
      <c r="C877">
        <v>80</v>
      </c>
      <c r="D877">
        <v>77.916854857999994</v>
      </c>
      <c r="E877">
        <v>50</v>
      </c>
      <c r="F877">
        <v>49.886383057000003</v>
      </c>
      <c r="G877">
        <v>1326.9615478999999</v>
      </c>
      <c r="H877">
        <v>1324.6293945</v>
      </c>
      <c r="I877">
        <v>1344.8142089999999</v>
      </c>
      <c r="J877">
        <v>1339.8288574000001</v>
      </c>
      <c r="K877">
        <v>0</v>
      </c>
      <c r="L877">
        <v>550</v>
      </c>
      <c r="M877">
        <v>550</v>
      </c>
      <c r="N877">
        <v>0</v>
      </c>
    </row>
    <row r="878" spans="1:14" x14ac:dyDescent="0.25">
      <c r="A878">
        <v>934.72834899999998</v>
      </c>
      <c r="B878" s="1">
        <f>DATE(2012,11,20) + TIME(17,28,49)</f>
        <v>41233.728344907409</v>
      </c>
      <c r="C878">
        <v>80</v>
      </c>
      <c r="D878">
        <v>77.824073791999993</v>
      </c>
      <c r="E878">
        <v>50</v>
      </c>
      <c r="F878">
        <v>49.885398864999999</v>
      </c>
      <c r="G878">
        <v>1326.9307861</v>
      </c>
      <c r="H878">
        <v>1324.5876464999999</v>
      </c>
      <c r="I878">
        <v>1344.8061522999999</v>
      </c>
      <c r="J878">
        <v>1339.8221435999999</v>
      </c>
      <c r="K878">
        <v>0</v>
      </c>
      <c r="L878">
        <v>550</v>
      </c>
      <c r="M878">
        <v>550</v>
      </c>
      <c r="N878">
        <v>0</v>
      </c>
    </row>
    <row r="879" spans="1:14" x14ac:dyDescent="0.25">
      <c r="A879">
        <v>935.87001499999997</v>
      </c>
      <c r="B879" s="1">
        <f>DATE(2012,11,21) + TIME(20,52,49)</f>
        <v>41234.870011574072</v>
      </c>
      <c r="C879">
        <v>80</v>
      </c>
      <c r="D879">
        <v>77.729629517000006</v>
      </c>
      <c r="E879">
        <v>50</v>
      </c>
      <c r="F879">
        <v>49.884712219000001</v>
      </c>
      <c r="G879">
        <v>1326.8989257999999</v>
      </c>
      <c r="H879">
        <v>1324.5445557</v>
      </c>
      <c r="I879">
        <v>1344.7984618999999</v>
      </c>
      <c r="J879">
        <v>1339.8157959</v>
      </c>
      <c r="K879">
        <v>0</v>
      </c>
      <c r="L879">
        <v>550</v>
      </c>
      <c r="M879">
        <v>550</v>
      </c>
      <c r="N879">
        <v>0</v>
      </c>
    </row>
    <row r="880" spans="1:14" x14ac:dyDescent="0.25">
      <c r="A880">
        <v>937.04862300000002</v>
      </c>
      <c r="B880" s="1">
        <f>DATE(2012,11,23) + TIME(1,10,1)</f>
        <v>41236.048622685186</v>
      </c>
      <c r="C880">
        <v>80</v>
      </c>
      <c r="D880">
        <v>77.633415221999996</v>
      </c>
      <c r="E880">
        <v>50</v>
      </c>
      <c r="F880">
        <v>49.884262085000003</v>
      </c>
      <c r="G880">
        <v>1326.8660889</v>
      </c>
      <c r="H880">
        <v>1324.5</v>
      </c>
      <c r="I880">
        <v>1344.7911377</v>
      </c>
      <c r="J880">
        <v>1339.8094481999999</v>
      </c>
      <c r="K880">
        <v>0</v>
      </c>
      <c r="L880">
        <v>550</v>
      </c>
      <c r="M880">
        <v>550</v>
      </c>
      <c r="N880">
        <v>0</v>
      </c>
    </row>
    <row r="881" spans="1:14" x14ac:dyDescent="0.25">
      <c r="A881">
        <v>938.26686099999995</v>
      </c>
      <c r="B881" s="1">
        <f>DATE(2012,11,24) + TIME(6,24,16)</f>
        <v>41237.266851851855</v>
      </c>
      <c r="C881">
        <v>80</v>
      </c>
      <c r="D881">
        <v>77.535324097</v>
      </c>
      <c r="E881">
        <v>50</v>
      </c>
      <c r="F881">
        <v>49.883987427000001</v>
      </c>
      <c r="G881">
        <v>1326.8321533000001</v>
      </c>
      <c r="H881">
        <v>1324.4538574000001</v>
      </c>
      <c r="I881">
        <v>1344.7840576000001</v>
      </c>
      <c r="J881">
        <v>1339.8034668</v>
      </c>
      <c r="K881">
        <v>0</v>
      </c>
      <c r="L881">
        <v>550</v>
      </c>
      <c r="M881">
        <v>550</v>
      </c>
      <c r="N881">
        <v>0</v>
      </c>
    </row>
    <row r="882" spans="1:14" x14ac:dyDescent="0.25">
      <c r="A882">
        <v>939.52761499999997</v>
      </c>
      <c r="B882" s="1">
        <f>DATE(2012,11,25) + TIME(12,39,45)</f>
        <v>41238.527604166666</v>
      </c>
      <c r="C882">
        <v>80</v>
      </c>
      <c r="D882">
        <v>77.435226439999994</v>
      </c>
      <c r="E882">
        <v>50</v>
      </c>
      <c r="F882">
        <v>49.883850098000003</v>
      </c>
      <c r="G882">
        <v>1326.7971190999999</v>
      </c>
      <c r="H882">
        <v>1324.4061279</v>
      </c>
      <c r="I882">
        <v>1344.7772216999999</v>
      </c>
      <c r="J882">
        <v>1339.7974853999999</v>
      </c>
      <c r="K882">
        <v>0</v>
      </c>
      <c r="L882">
        <v>550</v>
      </c>
      <c r="M882">
        <v>550</v>
      </c>
      <c r="N882">
        <v>0</v>
      </c>
    </row>
    <row r="883" spans="1:14" x14ac:dyDescent="0.25">
      <c r="A883">
        <v>940.83400800000004</v>
      </c>
      <c r="B883" s="1">
        <f>DATE(2012,11,26) + TIME(20,0,58)</f>
        <v>41239.834004629629</v>
      </c>
      <c r="C883">
        <v>80</v>
      </c>
      <c r="D883">
        <v>77.332984924000002</v>
      </c>
      <c r="E883">
        <v>50</v>
      </c>
      <c r="F883">
        <v>49.883819580000001</v>
      </c>
      <c r="G883">
        <v>1326.7607422000001</v>
      </c>
      <c r="H883">
        <v>1324.3565673999999</v>
      </c>
      <c r="I883">
        <v>1344.7706298999999</v>
      </c>
      <c r="J883">
        <v>1339.791626</v>
      </c>
      <c r="K883">
        <v>0</v>
      </c>
      <c r="L883">
        <v>550</v>
      </c>
      <c r="M883">
        <v>550</v>
      </c>
      <c r="N883">
        <v>0</v>
      </c>
    </row>
    <row r="884" spans="1:14" x14ac:dyDescent="0.25">
      <c r="A884">
        <v>942.189437</v>
      </c>
      <c r="B884" s="1">
        <f>DATE(2012,11,28) + TIME(4,32,47)</f>
        <v>41241.189432870371</v>
      </c>
      <c r="C884">
        <v>80</v>
      </c>
      <c r="D884">
        <v>77.228462218999994</v>
      </c>
      <c r="E884">
        <v>50</v>
      </c>
      <c r="F884">
        <v>49.883872986</v>
      </c>
      <c r="G884">
        <v>1326.7230225000001</v>
      </c>
      <c r="H884">
        <v>1324.3051757999999</v>
      </c>
      <c r="I884">
        <v>1344.7641602000001</v>
      </c>
      <c r="J884">
        <v>1339.7858887</v>
      </c>
      <c r="K884">
        <v>0</v>
      </c>
      <c r="L884">
        <v>550</v>
      </c>
      <c r="M884">
        <v>550</v>
      </c>
      <c r="N884">
        <v>0</v>
      </c>
    </row>
    <row r="885" spans="1:14" x14ac:dyDescent="0.25">
      <c r="A885">
        <v>943.59729200000004</v>
      </c>
      <c r="B885" s="1">
        <f>DATE(2012,11,29) + TIME(14,20,6)</f>
        <v>41242.597291666665</v>
      </c>
      <c r="C885">
        <v>80</v>
      </c>
      <c r="D885">
        <v>77.121513367000006</v>
      </c>
      <c r="E885">
        <v>50</v>
      </c>
      <c r="F885">
        <v>49.883979797000002</v>
      </c>
      <c r="G885">
        <v>1326.6838379000001</v>
      </c>
      <c r="H885">
        <v>1324.2518310999999</v>
      </c>
      <c r="I885">
        <v>1344.7579346</v>
      </c>
      <c r="J885">
        <v>1339.7802733999999</v>
      </c>
      <c r="K885">
        <v>0</v>
      </c>
      <c r="L885">
        <v>550</v>
      </c>
      <c r="M885">
        <v>550</v>
      </c>
      <c r="N885">
        <v>0</v>
      </c>
    </row>
    <row r="886" spans="1:14" x14ac:dyDescent="0.25">
      <c r="A886">
        <v>945</v>
      </c>
      <c r="B886" s="1">
        <f>DATE(2012,12,1) + TIME(0,0,0)</f>
        <v>41244</v>
      </c>
      <c r="C886">
        <v>80</v>
      </c>
      <c r="D886">
        <v>77.015441894999995</v>
      </c>
      <c r="E886">
        <v>50</v>
      </c>
      <c r="F886">
        <v>49.884124755999999</v>
      </c>
      <c r="G886">
        <v>1326.6431885</v>
      </c>
      <c r="H886">
        <v>1324.1966553</v>
      </c>
      <c r="I886">
        <v>1344.7518310999999</v>
      </c>
      <c r="J886">
        <v>1339.7746582</v>
      </c>
      <c r="K886">
        <v>0</v>
      </c>
      <c r="L886">
        <v>550</v>
      </c>
      <c r="M886">
        <v>550</v>
      </c>
      <c r="N886">
        <v>0</v>
      </c>
    </row>
    <row r="887" spans="1:14" x14ac:dyDescent="0.25">
      <c r="A887">
        <v>946.46422299999995</v>
      </c>
      <c r="B887" s="1">
        <f>DATE(2012,12,2) + TIME(11,8,28)</f>
        <v>41245.464212962965</v>
      </c>
      <c r="C887">
        <v>80</v>
      </c>
      <c r="D887">
        <v>76.906700134000005</v>
      </c>
      <c r="E887">
        <v>50</v>
      </c>
      <c r="F887">
        <v>49.884304047000001</v>
      </c>
      <c r="G887">
        <v>1326.6024170000001</v>
      </c>
      <c r="H887">
        <v>1324.1407471</v>
      </c>
      <c r="I887">
        <v>1344.7460937999999</v>
      </c>
      <c r="J887">
        <v>1339.7694091999999</v>
      </c>
      <c r="K887">
        <v>0</v>
      </c>
      <c r="L887">
        <v>550</v>
      </c>
      <c r="M887">
        <v>550</v>
      </c>
      <c r="N887">
        <v>0</v>
      </c>
    </row>
    <row r="888" spans="1:14" x14ac:dyDescent="0.25">
      <c r="A888">
        <v>948.05241100000001</v>
      </c>
      <c r="B888" s="1">
        <f>DATE(2012,12,4) + TIME(1,15,28)</f>
        <v>41247.052407407406</v>
      </c>
      <c r="C888">
        <v>80</v>
      </c>
      <c r="D888">
        <v>76.791961670000006</v>
      </c>
      <c r="E888">
        <v>50</v>
      </c>
      <c r="F888">
        <v>49.884510040000002</v>
      </c>
      <c r="G888">
        <v>1326.5596923999999</v>
      </c>
      <c r="H888">
        <v>1324.0821533000001</v>
      </c>
      <c r="I888">
        <v>1344.7404785000001</v>
      </c>
      <c r="J888">
        <v>1339.7641602000001</v>
      </c>
      <c r="K888">
        <v>0</v>
      </c>
      <c r="L888">
        <v>550</v>
      </c>
      <c r="M888">
        <v>550</v>
      </c>
      <c r="N888">
        <v>0</v>
      </c>
    </row>
    <row r="889" spans="1:14" x14ac:dyDescent="0.25">
      <c r="A889">
        <v>949.70917799999995</v>
      </c>
      <c r="B889" s="1">
        <f>DATE(2012,12,5) + TIME(17,1,13)</f>
        <v>41248.709178240744</v>
      </c>
      <c r="C889">
        <v>80</v>
      </c>
      <c r="D889">
        <v>76.673973083000007</v>
      </c>
      <c r="E889">
        <v>50</v>
      </c>
      <c r="F889">
        <v>49.884735106999997</v>
      </c>
      <c r="G889">
        <v>1326.5137939000001</v>
      </c>
      <c r="H889">
        <v>1324.0194091999999</v>
      </c>
      <c r="I889">
        <v>1344.7347411999999</v>
      </c>
      <c r="J889">
        <v>1339.7586670000001</v>
      </c>
      <c r="K889">
        <v>0</v>
      </c>
      <c r="L889">
        <v>550</v>
      </c>
      <c r="M889">
        <v>550</v>
      </c>
      <c r="N889">
        <v>0</v>
      </c>
    </row>
    <row r="890" spans="1:14" x14ac:dyDescent="0.25">
      <c r="A890">
        <v>951.42935599999998</v>
      </c>
      <c r="B890" s="1">
        <f>DATE(2012,12,7) + TIME(10,18,16)</f>
        <v>41250.429351851853</v>
      </c>
      <c r="C890">
        <v>80</v>
      </c>
      <c r="D890">
        <v>76.553062439000001</v>
      </c>
      <c r="E890">
        <v>50</v>
      </c>
      <c r="F890">
        <v>49.884971618999998</v>
      </c>
      <c r="G890">
        <v>1326.4658202999999</v>
      </c>
      <c r="H890">
        <v>1323.9538574000001</v>
      </c>
      <c r="I890">
        <v>1344.7290039</v>
      </c>
      <c r="J890">
        <v>1339.7532959</v>
      </c>
      <c r="K890">
        <v>0</v>
      </c>
      <c r="L890">
        <v>550</v>
      </c>
      <c r="M890">
        <v>550</v>
      </c>
      <c r="N890">
        <v>0</v>
      </c>
    </row>
    <row r="891" spans="1:14" x14ac:dyDescent="0.25">
      <c r="A891">
        <v>953.19532300000003</v>
      </c>
      <c r="B891" s="1">
        <f>DATE(2012,12,9) + TIME(4,41,15)</f>
        <v>41252.1953125</v>
      </c>
      <c r="C891">
        <v>80</v>
      </c>
      <c r="D891">
        <v>76.430198669000006</v>
      </c>
      <c r="E891">
        <v>50</v>
      </c>
      <c r="F891">
        <v>49.885208130000002</v>
      </c>
      <c r="G891">
        <v>1326.4160156</v>
      </c>
      <c r="H891">
        <v>1323.8858643000001</v>
      </c>
      <c r="I891">
        <v>1344.7235106999999</v>
      </c>
      <c r="J891">
        <v>1339.7480469</v>
      </c>
      <c r="K891">
        <v>0</v>
      </c>
      <c r="L891">
        <v>550</v>
      </c>
      <c r="M891">
        <v>550</v>
      </c>
      <c r="N891">
        <v>0</v>
      </c>
    </row>
    <row r="892" spans="1:14" x14ac:dyDescent="0.25">
      <c r="A892">
        <v>955.01137900000003</v>
      </c>
      <c r="B892" s="1">
        <f>DATE(2012,12,11) + TIME(0,16,23)</f>
        <v>41254.011377314811</v>
      </c>
      <c r="C892">
        <v>80</v>
      </c>
      <c r="D892">
        <v>76.305305481000005</v>
      </c>
      <c r="E892">
        <v>50</v>
      </c>
      <c r="F892">
        <v>49.885448455999999</v>
      </c>
      <c r="G892">
        <v>1326.3647461</v>
      </c>
      <c r="H892">
        <v>1323.8155518000001</v>
      </c>
      <c r="I892">
        <v>1344.7182617000001</v>
      </c>
      <c r="J892">
        <v>1339.7427978999999</v>
      </c>
      <c r="K892">
        <v>0</v>
      </c>
      <c r="L892">
        <v>550</v>
      </c>
      <c r="M892">
        <v>550</v>
      </c>
      <c r="N892">
        <v>0</v>
      </c>
    </row>
    <row r="893" spans="1:14" x14ac:dyDescent="0.25">
      <c r="A893">
        <v>956.88157699999999</v>
      </c>
      <c r="B893" s="1">
        <f>DATE(2012,12,12) + TIME(21,9,28)</f>
        <v>41255.881574074076</v>
      </c>
      <c r="C893">
        <v>80</v>
      </c>
      <c r="D893">
        <v>76.178306579999997</v>
      </c>
      <c r="E893">
        <v>50</v>
      </c>
      <c r="F893">
        <v>49.885684967000003</v>
      </c>
      <c r="G893">
        <v>1326.3120117000001</v>
      </c>
      <c r="H893">
        <v>1323.7431641000001</v>
      </c>
      <c r="I893">
        <v>1344.7130127</v>
      </c>
      <c r="J893">
        <v>1339.737793</v>
      </c>
      <c r="K893">
        <v>0</v>
      </c>
      <c r="L893">
        <v>550</v>
      </c>
      <c r="M893">
        <v>550</v>
      </c>
      <c r="N893">
        <v>0</v>
      </c>
    </row>
    <row r="894" spans="1:14" x14ac:dyDescent="0.25">
      <c r="A894">
        <v>958.81026699999995</v>
      </c>
      <c r="B894" s="1">
        <f>DATE(2012,12,14) + TIME(19,26,47)</f>
        <v>41257.810266203705</v>
      </c>
      <c r="C894">
        <v>80</v>
      </c>
      <c r="D894">
        <v>76.049049377000003</v>
      </c>
      <c r="E894">
        <v>50</v>
      </c>
      <c r="F894">
        <v>49.885925293</v>
      </c>
      <c r="G894">
        <v>1326.2575684000001</v>
      </c>
      <c r="H894">
        <v>1323.668457</v>
      </c>
      <c r="I894">
        <v>1344.7080077999999</v>
      </c>
      <c r="J894">
        <v>1339.7327881000001</v>
      </c>
      <c r="K894">
        <v>0</v>
      </c>
      <c r="L894">
        <v>550</v>
      </c>
      <c r="M894">
        <v>550</v>
      </c>
      <c r="N894">
        <v>0</v>
      </c>
    </row>
    <row r="895" spans="1:14" x14ac:dyDescent="0.25">
      <c r="A895">
        <v>960.802052</v>
      </c>
      <c r="B895" s="1">
        <f>DATE(2012,12,16) + TIME(19,14,57)</f>
        <v>41259.802048611113</v>
      </c>
      <c r="C895">
        <v>80</v>
      </c>
      <c r="D895">
        <v>75.91734314</v>
      </c>
      <c r="E895">
        <v>50</v>
      </c>
      <c r="F895">
        <v>49.886161803999997</v>
      </c>
      <c r="G895">
        <v>1326.2014160000001</v>
      </c>
      <c r="H895">
        <v>1323.5911865</v>
      </c>
      <c r="I895">
        <v>1344.703125</v>
      </c>
      <c r="J895">
        <v>1339.7279053</v>
      </c>
      <c r="K895">
        <v>0</v>
      </c>
      <c r="L895">
        <v>550</v>
      </c>
      <c r="M895">
        <v>550</v>
      </c>
      <c r="N895">
        <v>0</v>
      </c>
    </row>
    <row r="896" spans="1:14" x14ac:dyDescent="0.25">
      <c r="A896">
        <v>962.86189999999999</v>
      </c>
      <c r="B896" s="1">
        <f>DATE(2012,12,18) + TIME(20,41,8)</f>
        <v>41261.861898148149</v>
      </c>
      <c r="C896">
        <v>80</v>
      </c>
      <c r="D896">
        <v>75.782966614000003</v>
      </c>
      <c r="E896">
        <v>50</v>
      </c>
      <c r="F896">
        <v>49.886398315000001</v>
      </c>
      <c r="G896">
        <v>1326.1433105000001</v>
      </c>
      <c r="H896">
        <v>1323.5113524999999</v>
      </c>
      <c r="I896">
        <v>1344.6983643000001</v>
      </c>
      <c r="J896">
        <v>1339.7230225000001</v>
      </c>
      <c r="K896">
        <v>0</v>
      </c>
      <c r="L896">
        <v>550</v>
      </c>
      <c r="M896">
        <v>550</v>
      </c>
      <c r="N896">
        <v>0</v>
      </c>
    </row>
    <row r="897" spans="1:14" x14ac:dyDescent="0.25">
      <c r="A897">
        <v>964.99517200000003</v>
      </c>
      <c r="B897" s="1">
        <f>DATE(2012,12,20) + TIME(23,53,2)</f>
        <v>41263.995162037034</v>
      </c>
      <c r="C897">
        <v>80</v>
      </c>
      <c r="D897">
        <v>75.645645142000006</v>
      </c>
      <c r="E897">
        <v>50</v>
      </c>
      <c r="F897">
        <v>49.886634827000002</v>
      </c>
      <c r="G897">
        <v>1326.083374</v>
      </c>
      <c r="H897">
        <v>1323.4288329999999</v>
      </c>
      <c r="I897">
        <v>1344.6937256000001</v>
      </c>
      <c r="J897">
        <v>1339.7183838000001</v>
      </c>
      <c r="K897">
        <v>0</v>
      </c>
      <c r="L897">
        <v>550</v>
      </c>
      <c r="M897">
        <v>550</v>
      </c>
      <c r="N897">
        <v>0</v>
      </c>
    </row>
    <row r="898" spans="1:14" x14ac:dyDescent="0.25">
      <c r="A898">
        <v>967.20673199999999</v>
      </c>
      <c r="B898" s="1">
        <f>DATE(2012,12,23) + TIME(4,57,41)</f>
        <v>41266.206724537034</v>
      </c>
      <c r="C898">
        <v>80</v>
      </c>
      <c r="D898">
        <v>75.505096436000002</v>
      </c>
      <c r="E898">
        <v>50</v>
      </c>
      <c r="F898">
        <v>49.886867522999999</v>
      </c>
      <c r="G898">
        <v>1326.0212402</v>
      </c>
      <c r="H898">
        <v>1323.3432617000001</v>
      </c>
      <c r="I898">
        <v>1344.6892089999999</v>
      </c>
      <c r="J898">
        <v>1339.7136230000001</v>
      </c>
      <c r="K898">
        <v>0</v>
      </c>
      <c r="L898">
        <v>550</v>
      </c>
      <c r="M898">
        <v>550</v>
      </c>
      <c r="N898">
        <v>0</v>
      </c>
    </row>
    <row r="899" spans="1:14" x14ac:dyDescent="0.25">
      <c r="A899">
        <v>969.50372100000004</v>
      </c>
      <c r="B899" s="1">
        <f>DATE(2012,12,25) + TIME(12,5,21)</f>
        <v>41268.50371527778</v>
      </c>
      <c r="C899">
        <v>80</v>
      </c>
      <c r="D899">
        <v>75.360939025999997</v>
      </c>
      <c r="E899">
        <v>50</v>
      </c>
      <c r="F899">
        <v>49.887104033999996</v>
      </c>
      <c r="G899">
        <v>1325.9569091999999</v>
      </c>
      <c r="H899">
        <v>1323.2543945</v>
      </c>
      <c r="I899">
        <v>1344.6846923999999</v>
      </c>
      <c r="J899">
        <v>1339.7091064000001</v>
      </c>
      <c r="K899">
        <v>0</v>
      </c>
      <c r="L899">
        <v>550</v>
      </c>
      <c r="M899">
        <v>550</v>
      </c>
      <c r="N899">
        <v>0</v>
      </c>
    </row>
    <row r="900" spans="1:14" x14ac:dyDescent="0.25">
      <c r="A900">
        <v>971.89306099999999</v>
      </c>
      <c r="B900" s="1">
        <f>DATE(2012,12,27) + TIME(21,26,0)</f>
        <v>41270.893055555556</v>
      </c>
      <c r="C900">
        <v>80</v>
      </c>
      <c r="D900">
        <v>75.212760924999998</v>
      </c>
      <c r="E900">
        <v>50</v>
      </c>
      <c r="F900">
        <v>49.88734436</v>
      </c>
      <c r="G900">
        <v>1325.8901367000001</v>
      </c>
      <c r="H900">
        <v>1323.1622314000001</v>
      </c>
      <c r="I900">
        <v>1344.6802978999999</v>
      </c>
      <c r="J900">
        <v>1339.7044678</v>
      </c>
      <c r="K900">
        <v>0</v>
      </c>
      <c r="L900">
        <v>550</v>
      </c>
      <c r="M900">
        <v>550</v>
      </c>
      <c r="N900">
        <v>0</v>
      </c>
    </row>
    <row r="901" spans="1:14" x14ac:dyDescent="0.25">
      <c r="A901">
        <v>974.37417400000004</v>
      </c>
      <c r="B901" s="1">
        <f>DATE(2012,12,30) + TIME(8,58,48)</f>
        <v>41273.374166666668</v>
      </c>
      <c r="C901">
        <v>80</v>
      </c>
      <c r="D901">
        <v>75.060401916999993</v>
      </c>
      <c r="E901">
        <v>50</v>
      </c>
      <c r="F901">
        <v>49.887580872000001</v>
      </c>
      <c r="G901">
        <v>1325.8208007999999</v>
      </c>
      <c r="H901">
        <v>1323.0664062000001</v>
      </c>
      <c r="I901">
        <v>1344.6759033000001</v>
      </c>
      <c r="J901">
        <v>1339.7000731999999</v>
      </c>
      <c r="K901">
        <v>0</v>
      </c>
      <c r="L901">
        <v>550</v>
      </c>
      <c r="M901">
        <v>550</v>
      </c>
      <c r="N901">
        <v>0</v>
      </c>
    </row>
    <row r="902" spans="1:14" x14ac:dyDescent="0.25">
      <c r="A902">
        <v>976</v>
      </c>
      <c r="B902" s="1">
        <f>DATE(2013,1,1) + TIME(0,0,0)</f>
        <v>41275</v>
      </c>
      <c r="C902">
        <v>80</v>
      </c>
      <c r="D902">
        <v>74.944503784000005</v>
      </c>
      <c r="E902">
        <v>50</v>
      </c>
      <c r="F902">
        <v>49.887733459000003</v>
      </c>
      <c r="G902">
        <v>1325.7518310999999</v>
      </c>
      <c r="H902">
        <v>1322.9730225000001</v>
      </c>
      <c r="I902">
        <v>1344.6712646000001</v>
      </c>
      <c r="J902">
        <v>1339.6954346</v>
      </c>
      <c r="K902">
        <v>0</v>
      </c>
      <c r="L902">
        <v>550</v>
      </c>
      <c r="M902">
        <v>550</v>
      </c>
      <c r="N902">
        <v>0</v>
      </c>
    </row>
    <row r="903" spans="1:14" x14ac:dyDescent="0.25">
      <c r="A903">
        <v>978.54555500000004</v>
      </c>
      <c r="B903" s="1">
        <f>DATE(2013,1,3) + TIME(13,5,35)</f>
        <v>41277.545543981483</v>
      </c>
      <c r="C903">
        <v>80</v>
      </c>
      <c r="D903">
        <v>74.794403075999995</v>
      </c>
      <c r="E903">
        <v>50</v>
      </c>
      <c r="F903">
        <v>49.887969970999997</v>
      </c>
      <c r="G903">
        <v>1325.6983643000001</v>
      </c>
      <c r="H903">
        <v>1322.8959961</v>
      </c>
      <c r="I903">
        <v>1344.6689452999999</v>
      </c>
      <c r="J903">
        <v>1339.692749</v>
      </c>
      <c r="K903">
        <v>0</v>
      </c>
      <c r="L903">
        <v>550</v>
      </c>
      <c r="M903">
        <v>550</v>
      </c>
      <c r="N903">
        <v>0</v>
      </c>
    </row>
    <row r="904" spans="1:14" x14ac:dyDescent="0.25">
      <c r="A904">
        <v>981.21094700000003</v>
      </c>
      <c r="B904" s="1">
        <f>DATE(2013,1,6) + TIME(5,3,45)</f>
        <v>41280.2109375</v>
      </c>
      <c r="C904">
        <v>80</v>
      </c>
      <c r="D904">
        <v>74.636833190999994</v>
      </c>
      <c r="E904">
        <v>50</v>
      </c>
      <c r="F904">
        <v>49.888206482000001</v>
      </c>
      <c r="G904">
        <v>1325.6257324000001</v>
      </c>
      <c r="H904">
        <v>1322.7956543</v>
      </c>
      <c r="I904">
        <v>1344.6649170000001</v>
      </c>
      <c r="J904">
        <v>1339.6884766000001</v>
      </c>
      <c r="K904">
        <v>0</v>
      </c>
      <c r="L904">
        <v>550</v>
      </c>
      <c r="M904">
        <v>550</v>
      </c>
      <c r="N904">
        <v>0</v>
      </c>
    </row>
    <row r="905" spans="1:14" x14ac:dyDescent="0.25">
      <c r="A905">
        <v>983.95656099999997</v>
      </c>
      <c r="B905" s="1">
        <f>DATE(2013,1,8) + TIME(22,57,26)</f>
        <v>41282.956550925926</v>
      </c>
      <c r="C905">
        <v>80</v>
      </c>
      <c r="D905">
        <v>74.47328186</v>
      </c>
      <c r="E905">
        <v>50</v>
      </c>
      <c r="F905">
        <v>49.888446807999998</v>
      </c>
      <c r="G905">
        <v>1325.5495605000001</v>
      </c>
      <c r="H905">
        <v>1322.6901855000001</v>
      </c>
      <c r="I905">
        <v>1344.6607666</v>
      </c>
      <c r="J905">
        <v>1339.6843262</v>
      </c>
      <c r="K905">
        <v>0</v>
      </c>
      <c r="L905">
        <v>550</v>
      </c>
      <c r="M905">
        <v>550</v>
      </c>
      <c r="N905">
        <v>0</v>
      </c>
    </row>
    <row r="906" spans="1:14" x14ac:dyDescent="0.25">
      <c r="A906">
        <v>986.79050299999994</v>
      </c>
      <c r="B906" s="1">
        <f>DATE(2013,1,11) + TIME(18,58,19)</f>
        <v>41285.790497685186</v>
      </c>
      <c r="C906">
        <v>80</v>
      </c>
      <c r="D906">
        <v>74.303817749000004</v>
      </c>
      <c r="E906">
        <v>50</v>
      </c>
      <c r="F906">
        <v>49.888687134000001</v>
      </c>
      <c r="G906">
        <v>1325.4708252</v>
      </c>
      <c r="H906">
        <v>1322.5808105000001</v>
      </c>
      <c r="I906">
        <v>1344.6567382999999</v>
      </c>
      <c r="J906">
        <v>1339.6801757999999</v>
      </c>
      <c r="K906">
        <v>0</v>
      </c>
      <c r="L906">
        <v>550</v>
      </c>
      <c r="M906">
        <v>550</v>
      </c>
      <c r="N906">
        <v>0</v>
      </c>
    </row>
    <row r="907" spans="1:14" x14ac:dyDescent="0.25">
      <c r="A907">
        <v>989.72012700000005</v>
      </c>
      <c r="B907" s="1">
        <f>DATE(2013,1,14) + TIME(17,16,58)</f>
        <v>41288.72011574074</v>
      </c>
      <c r="C907">
        <v>80</v>
      </c>
      <c r="D907">
        <v>74.128173828000001</v>
      </c>
      <c r="E907">
        <v>50</v>
      </c>
      <c r="F907">
        <v>49.888931274000001</v>
      </c>
      <c r="G907">
        <v>1325.3894043</v>
      </c>
      <c r="H907">
        <v>1322.4675293</v>
      </c>
      <c r="I907">
        <v>1344.6527100000001</v>
      </c>
      <c r="J907">
        <v>1339.6761475000001</v>
      </c>
      <c r="K907">
        <v>0</v>
      </c>
      <c r="L907">
        <v>550</v>
      </c>
      <c r="M907">
        <v>550</v>
      </c>
      <c r="N907">
        <v>0</v>
      </c>
    </row>
    <row r="908" spans="1:14" x14ac:dyDescent="0.25">
      <c r="A908">
        <v>992.75320999999997</v>
      </c>
      <c r="B908" s="1">
        <f>DATE(2013,1,17) + TIME(18,4,37)</f>
        <v>41291.753206018519</v>
      </c>
      <c r="C908">
        <v>80</v>
      </c>
      <c r="D908">
        <v>73.945823669000006</v>
      </c>
      <c r="E908">
        <v>50</v>
      </c>
      <c r="F908">
        <v>49.889175414999997</v>
      </c>
      <c r="G908">
        <v>1325.3052978999999</v>
      </c>
      <c r="H908">
        <v>1322.3504639</v>
      </c>
      <c r="I908">
        <v>1344.6486815999999</v>
      </c>
      <c r="J908">
        <v>1339.6721190999999</v>
      </c>
      <c r="K908">
        <v>0</v>
      </c>
      <c r="L908">
        <v>550</v>
      </c>
      <c r="M908">
        <v>550</v>
      </c>
      <c r="N908">
        <v>0</v>
      </c>
    </row>
    <row r="909" spans="1:14" x14ac:dyDescent="0.25">
      <c r="A909">
        <v>995.89716899999996</v>
      </c>
      <c r="B909" s="1">
        <f>DATE(2013,1,20) + TIME(21,31,55)</f>
        <v>41294.897164351853</v>
      </c>
      <c r="C909">
        <v>80</v>
      </c>
      <c r="D909">
        <v>73.756027222</v>
      </c>
      <c r="E909">
        <v>50</v>
      </c>
      <c r="F909">
        <v>49.889427185000002</v>
      </c>
      <c r="G909">
        <v>1325.2185059000001</v>
      </c>
      <c r="H909">
        <v>1322.2292480000001</v>
      </c>
      <c r="I909">
        <v>1344.6446533000001</v>
      </c>
      <c r="J909">
        <v>1339.6682129000001</v>
      </c>
      <c r="K909">
        <v>0</v>
      </c>
      <c r="L909">
        <v>550</v>
      </c>
      <c r="M909">
        <v>550</v>
      </c>
      <c r="N909">
        <v>0</v>
      </c>
    </row>
    <row r="910" spans="1:14" x14ac:dyDescent="0.25">
      <c r="A910">
        <v>999.15994000000001</v>
      </c>
      <c r="B910" s="1">
        <f>DATE(2013,1,24) + TIME(3,50,18)</f>
        <v>41298.159930555557</v>
      </c>
      <c r="C910">
        <v>80</v>
      </c>
      <c r="D910">
        <v>73.557884216000005</v>
      </c>
      <c r="E910">
        <v>50</v>
      </c>
      <c r="F910">
        <v>49.88968277</v>
      </c>
      <c r="G910">
        <v>1325.1289062000001</v>
      </c>
      <c r="H910">
        <v>1322.1038818</v>
      </c>
      <c r="I910">
        <v>1344.640625</v>
      </c>
      <c r="J910">
        <v>1339.6643065999999</v>
      </c>
      <c r="K910">
        <v>0</v>
      </c>
      <c r="L910">
        <v>550</v>
      </c>
      <c r="M910">
        <v>550</v>
      </c>
      <c r="N910">
        <v>0</v>
      </c>
    </row>
    <row r="911" spans="1:14" x14ac:dyDescent="0.25">
      <c r="A911">
        <v>1002.520971</v>
      </c>
      <c r="B911" s="1">
        <f>DATE(2013,1,27) + TIME(12,30,11)</f>
        <v>41301.520960648151</v>
      </c>
      <c r="C911">
        <v>80</v>
      </c>
      <c r="D911">
        <v>73.351257324000002</v>
      </c>
      <c r="E911">
        <v>50</v>
      </c>
      <c r="F911">
        <v>49.889938354000002</v>
      </c>
      <c r="G911">
        <v>1325.0362548999999</v>
      </c>
      <c r="H911">
        <v>1321.9742432</v>
      </c>
      <c r="I911">
        <v>1344.6365966999999</v>
      </c>
      <c r="J911">
        <v>1339.6604004000001</v>
      </c>
      <c r="K911">
        <v>0</v>
      </c>
      <c r="L911">
        <v>550</v>
      </c>
      <c r="M911">
        <v>550</v>
      </c>
      <c r="N911">
        <v>0</v>
      </c>
    </row>
    <row r="912" spans="1:14" x14ac:dyDescent="0.25">
      <c r="A912">
        <v>1005.972405</v>
      </c>
      <c r="B912" s="1">
        <f>DATE(2013,1,30) + TIME(23,20,15)</f>
        <v>41304.972395833334</v>
      </c>
      <c r="C912">
        <v>80</v>
      </c>
      <c r="D912">
        <v>73.135894774999997</v>
      </c>
      <c r="E912">
        <v>50</v>
      </c>
      <c r="F912">
        <v>49.890197753999999</v>
      </c>
      <c r="G912">
        <v>1324.9411620999999</v>
      </c>
      <c r="H912">
        <v>1321.8408202999999</v>
      </c>
      <c r="I912">
        <v>1344.6325684000001</v>
      </c>
      <c r="J912">
        <v>1339.6566161999999</v>
      </c>
      <c r="K912">
        <v>0</v>
      </c>
      <c r="L912">
        <v>550</v>
      </c>
      <c r="M912">
        <v>550</v>
      </c>
      <c r="N912">
        <v>0</v>
      </c>
    </row>
    <row r="913" spans="1:14" x14ac:dyDescent="0.25">
      <c r="A913">
        <v>1007</v>
      </c>
      <c r="B913" s="1">
        <f>DATE(2013,2,1) + TIME(0,0,0)</f>
        <v>41306</v>
      </c>
      <c r="C913">
        <v>80</v>
      </c>
      <c r="D913">
        <v>73.035514832000004</v>
      </c>
      <c r="E913">
        <v>50</v>
      </c>
      <c r="F913">
        <v>49.890270233000003</v>
      </c>
      <c r="G913">
        <v>1324.8522949000001</v>
      </c>
      <c r="H913">
        <v>1321.7226562000001</v>
      </c>
      <c r="I913">
        <v>1344.6276855000001</v>
      </c>
      <c r="J913">
        <v>1339.6523437999999</v>
      </c>
      <c r="K913">
        <v>0</v>
      </c>
      <c r="L913">
        <v>550</v>
      </c>
      <c r="M913">
        <v>550</v>
      </c>
      <c r="N913">
        <v>0</v>
      </c>
    </row>
    <row r="914" spans="1:14" x14ac:dyDescent="0.25">
      <c r="A914">
        <v>1010.542206</v>
      </c>
      <c r="B914" s="1">
        <f>DATE(2013,2,4) + TIME(13,0,46)</f>
        <v>41309.542199074072</v>
      </c>
      <c r="C914">
        <v>80</v>
      </c>
      <c r="D914">
        <v>72.826271057</v>
      </c>
      <c r="E914">
        <v>50</v>
      </c>
      <c r="F914">
        <v>49.890533447000003</v>
      </c>
      <c r="G914">
        <v>1324.8084716999999</v>
      </c>
      <c r="H914">
        <v>1321.6518555</v>
      </c>
      <c r="I914">
        <v>1344.6273193</v>
      </c>
      <c r="J914">
        <v>1339.6517334</v>
      </c>
      <c r="K914">
        <v>0</v>
      </c>
      <c r="L914">
        <v>550</v>
      </c>
      <c r="M914">
        <v>550</v>
      </c>
      <c r="N914">
        <v>0</v>
      </c>
    </row>
    <row r="915" spans="1:14" x14ac:dyDescent="0.25">
      <c r="A915">
        <v>1014.244669</v>
      </c>
      <c r="B915" s="1">
        <f>DATE(2013,2,8) + TIME(5,52,19)</f>
        <v>41313.244664351849</v>
      </c>
      <c r="C915">
        <v>80</v>
      </c>
      <c r="D915">
        <v>72.596588135000005</v>
      </c>
      <c r="E915">
        <v>50</v>
      </c>
      <c r="F915">
        <v>49.890800476000003</v>
      </c>
      <c r="G915">
        <v>1324.7125243999999</v>
      </c>
      <c r="H915">
        <v>1321.5175781</v>
      </c>
      <c r="I915">
        <v>1344.6231689000001</v>
      </c>
      <c r="J915">
        <v>1339.6480713000001</v>
      </c>
      <c r="K915">
        <v>0</v>
      </c>
      <c r="L915">
        <v>550</v>
      </c>
      <c r="M915">
        <v>550</v>
      </c>
      <c r="N915">
        <v>0</v>
      </c>
    </row>
    <row r="916" spans="1:14" x14ac:dyDescent="0.25">
      <c r="A916">
        <v>1018.061837</v>
      </c>
      <c r="B916" s="1">
        <f>DATE(2013,2,12) + TIME(1,29,2)</f>
        <v>41317.061828703707</v>
      </c>
      <c r="C916">
        <v>80</v>
      </c>
      <c r="D916">
        <v>72.349609375</v>
      </c>
      <c r="E916">
        <v>50</v>
      </c>
      <c r="F916">
        <v>49.891071320000002</v>
      </c>
      <c r="G916">
        <v>1324.6116943</v>
      </c>
      <c r="H916">
        <v>1321.3756103999999</v>
      </c>
      <c r="I916">
        <v>1344.6188964999999</v>
      </c>
      <c r="J916">
        <v>1339.6445312000001</v>
      </c>
      <c r="K916">
        <v>0</v>
      </c>
      <c r="L916">
        <v>550</v>
      </c>
      <c r="M916">
        <v>550</v>
      </c>
      <c r="N916">
        <v>0</v>
      </c>
    </row>
    <row r="917" spans="1:14" x14ac:dyDescent="0.25">
      <c r="A917">
        <v>1021.985801</v>
      </c>
      <c r="B917" s="1">
        <f>DATE(2013,2,15) + TIME(23,39,33)</f>
        <v>41320.985798611109</v>
      </c>
      <c r="C917">
        <v>80</v>
      </c>
      <c r="D917">
        <v>72.086914062000005</v>
      </c>
      <c r="E917">
        <v>50</v>
      </c>
      <c r="F917">
        <v>49.891342162999997</v>
      </c>
      <c r="G917">
        <v>1324.5074463000001</v>
      </c>
      <c r="H917">
        <v>1321.2282714999999</v>
      </c>
      <c r="I917">
        <v>1344.6145019999999</v>
      </c>
      <c r="J917">
        <v>1339.6408690999999</v>
      </c>
      <c r="K917">
        <v>0</v>
      </c>
      <c r="L917">
        <v>550</v>
      </c>
      <c r="M917">
        <v>550</v>
      </c>
      <c r="N917">
        <v>0</v>
      </c>
    </row>
    <row r="918" spans="1:14" x14ac:dyDescent="0.25">
      <c r="A918">
        <v>1026.024118</v>
      </c>
      <c r="B918" s="1">
        <f>DATE(2013,2,20) + TIME(0,34,43)</f>
        <v>41325.024108796293</v>
      </c>
      <c r="C918">
        <v>80</v>
      </c>
      <c r="D918">
        <v>71.808586121000005</v>
      </c>
      <c r="E918">
        <v>50</v>
      </c>
      <c r="F918">
        <v>49.891613006999997</v>
      </c>
      <c r="G918">
        <v>1324.4007568</v>
      </c>
      <c r="H918">
        <v>1321.0767822</v>
      </c>
      <c r="I918">
        <v>1344.6099853999999</v>
      </c>
      <c r="J918">
        <v>1339.637207</v>
      </c>
      <c r="K918">
        <v>0</v>
      </c>
      <c r="L918">
        <v>550</v>
      </c>
      <c r="M918">
        <v>550</v>
      </c>
      <c r="N918">
        <v>0</v>
      </c>
    </row>
    <row r="919" spans="1:14" x14ac:dyDescent="0.25">
      <c r="A919">
        <v>1030.1589939999999</v>
      </c>
      <c r="B919" s="1">
        <f>DATE(2013,2,24) + TIME(3,48,57)</f>
        <v>41329.158993055556</v>
      </c>
      <c r="C919">
        <v>80</v>
      </c>
      <c r="D919">
        <v>71.514671325999998</v>
      </c>
      <c r="E919">
        <v>50</v>
      </c>
      <c r="F919">
        <v>49.891887664999999</v>
      </c>
      <c r="G919">
        <v>1324.2917480000001</v>
      </c>
      <c r="H919">
        <v>1320.9217529</v>
      </c>
      <c r="I919">
        <v>1344.6054687999999</v>
      </c>
      <c r="J919">
        <v>1339.6336670000001</v>
      </c>
      <c r="K919">
        <v>0</v>
      </c>
      <c r="L919">
        <v>550</v>
      </c>
      <c r="M919">
        <v>550</v>
      </c>
      <c r="N919">
        <v>0</v>
      </c>
    </row>
    <row r="920" spans="1:14" x14ac:dyDescent="0.25">
      <c r="A920">
        <v>1034.3914649999999</v>
      </c>
      <c r="B920" s="1">
        <f>DATE(2013,2,28) + TIME(9,23,42)</f>
        <v>41333.391458333332</v>
      </c>
      <c r="C920">
        <v>80</v>
      </c>
      <c r="D920">
        <v>71.204811096</v>
      </c>
      <c r="E920">
        <v>50</v>
      </c>
      <c r="F920">
        <v>49.892166138</v>
      </c>
      <c r="G920">
        <v>1324.1811522999999</v>
      </c>
      <c r="H920">
        <v>1320.7637939000001</v>
      </c>
      <c r="I920">
        <v>1344.6007079999999</v>
      </c>
      <c r="J920">
        <v>1339.6301269999999</v>
      </c>
      <c r="K920">
        <v>0</v>
      </c>
      <c r="L920">
        <v>550</v>
      </c>
      <c r="M920">
        <v>550</v>
      </c>
      <c r="N920">
        <v>0</v>
      </c>
    </row>
    <row r="921" spans="1:14" x14ac:dyDescent="0.25">
      <c r="A921">
        <v>1035</v>
      </c>
      <c r="B921" s="1">
        <f>DATE(2013,3,1) + TIME(0,0,0)</f>
        <v>41334</v>
      </c>
      <c r="C921">
        <v>80</v>
      </c>
      <c r="D921">
        <v>71.116134643999999</v>
      </c>
      <c r="E921">
        <v>50</v>
      </c>
      <c r="F921">
        <v>49.892200469999999</v>
      </c>
      <c r="G921">
        <v>1324.0804443</v>
      </c>
      <c r="H921">
        <v>1320.6329346</v>
      </c>
      <c r="I921">
        <v>1344.5949707</v>
      </c>
      <c r="J921">
        <v>1339.6257324000001</v>
      </c>
      <c r="K921">
        <v>0</v>
      </c>
      <c r="L921">
        <v>550</v>
      </c>
      <c r="M921">
        <v>550</v>
      </c>
      <c r="N921">
        <v>0</v>
      </c>
    </row>
    <row r="922" spans="1:14" x14ac:dyDescent="0.25">
      <c r="A922">
        <v>1039.354437</v>
      </c>
      <c r="B922" s="1">
        <f>DATE(2013,3,5) + TIME(8,30,23)</f>
        <v>41338.354432870372</v>
      </c>
      <c r="C922">
        <v>80</v>
      </c>
      <c r="D922">
        <v>70.811065674000005</v>
      </c>
      <c r="E922">
        <v>50</v>
      </c>
      <c r="F922">
        <v>49.892482758</v>
      </c>
      <c r="G922">
        <v>1324.0472411999999</v>
      </c>
      <c r="H922">
        <v>1320.5695800999999</v>
      </c>
      <c r="I922">
        <v>1344.5953368999999</v>
      </c>
      <c r="J922">
        <v>1339.6258545000001</v>
      </c>
      <c r="K922">
        <v>0</v>
      </c>
      <c r="L922">
        <v>550</v>
      </c>
      <c r="M922">
        <v>550</v>
      </c>
      <c r="N922">
        <v>0</v>
      </c>
    </row>
    <row r="923" spans="1:14" x14ac:dyDescent="0.25">
      <c r="A923">
        <v>1043.9332199999999</v>
      </c>
      <c r="B923" s="1">
        <f>DATE(2013,3,9) + TIME(22,23,50)</f>
        <v>41342.933217592596</v>
      </c>
      <c r="C923">
        <v>80</v>
      </c>
      <c r="D923">
        <v>70.470695496000005</v>
      </c>
      <c r="E923">
        <v>50</v>
      </c>
      <c r="F923">
        <v>49.892768859999997</v>
      </c>
      <c r="G923">
        <v>1323.9372559000001</v>
      </c>
      <c r="H923">
        <v>1320.4123535000001</v>
      </c>
      <c r="I923">
        <v>1344.5902100000001</v>
      </c>
      <c r="J923">
        <v>1339.6223144999999</v>
      </c>
      <c r="K923">
        <v>0</v>
      </c>
      <c r="L923">
        <v>550</v>
      </c>
      <c r="M923">
        <v>550</v>
      </c>
      <c r="N923">
        <v>0</v>
      </c>
    </row>
    <row r="924" spans="1:14" x14ac:dyDescent="0.25">
      <c r="A924">
        <v>1048.627935</v>
      </c>
      <c r="B924" s="1">
        <f>DATE(2013,3,14) + TIME(15,4,13)</f>
        <v>41347.627928240741</v>
      </c>
      <c r="C924">
        <v>80</v>
      </c>
      <c r="D924">
        <v>70.101585388000004</v>
      </c>
      <c r="E924">
        <v>50</v>
      </c>
      <c r="F924">
        <v>49.893054962000001</v>
      </c>
      <c r="G924">
        <v>1323.8220214999999</v>
      </c>
      <c r="H924">
        <v>1320.2470702999999</v>
      </c>
      <c r="I924">
        <v>1344.5848389</v>
      </c>
      <c r="J924">
        <v>1339.6186522999999</v>
      </c>
      <c r="K924">
        <v>0</v>
      </c>
      <c r="L924">
        <v>550</v>
      </c>
      <c r="M924">
        <v>550</v>
      </c>
      <c r="N924">
        <v>0</v>
      </c>
    </row>
    <row r="925" spans="1:14" x14ac:dyDescent="0.25">
      <c r="A925">
        <v>1053.462092</v>
      </c>
      <c r="B925" s="1">
        <f>DATE(2013,3,19) + TIME(11,5,24)</f>
        <v>41352.462083333332</v>
      </c>
      <c r="C925">
        <v>80</v>
      </c>
      <c r="D925">
        <v>69.706863403</v>
      </c>
      <c r="E925">
        <v>50</v>
      </c>
      <c r="F925">
        <v>49.893344878999997</v>
      </c>
      <c r="G925">
        <v>1323.7047118999999</v>
      </c>
      <c r="H925">
        <v>1320.0773925999999</v>
      </c>
      <c r="I925">
        <v>1344.5793457</v>
      </c>
      <c r="J925">
        <v>1339.6148682</v>
      </c>
      <c r="K925">
        <v>0</v>
      </c>
      <c r="L925">
        <v>550</v>
      </c>
      <c r="M925">
        <v>550</v>
      </c>
      <c r="N925">
        <v>0</v>
      </c>
    </row>
    <row r="926" spans="1:14" x14ac:dyDescent="0.25">
      <c r="A926">
        <v>1058.4436040000001</v>
      </c>
      <c r="B926" s="1">
        <f>DATE(2013,3,24) + TIME(10,38,47)</f>
        <v>41357.443599537037</v>
      </c>
      <c r="C926">
        <v>80</v>
      </c>
      <c r="D926">
        <v>69.287155150999993</v>
      </c>
      <c r="E926">
        <v>50</v>
      </c>
      <c r="F926">
        <v>49.893634796000001</v>
      </c>
      <c r="G926">
        <v>1323.5858154</v>
      </c>
      <c r="H926">
        <v>1319.9045410000001</v>
      </c>
      <c r="I926">
        <v>1344.5734863</v>
      </c>
      <c r="J926">
        <v>1339.6110839999999</v>
      </c>
      <c r="K926">
        <v>0</v>
      </c>
      <c r="L926">
        <v>550</v>
      </c>
      <c r="M926">
        <v>550</v>
      </c>
      <c r="N926">
        <v>0</v>
      </c>
    </row>
    <row r="927" spans="1:14" x14ac:dyDescent="0.25">
      <c r="A927">
        <v>1063.5616070000001</v>
      </c>
      <c r="B927" s="1">
        <f>DATE(2013,3,29) + TIME(13,28,42)</f>
        <v>41362.561597222222</v>
      </c>
      <c r="C927">
        <v>80</v>
      </c>
      <c r="D927">
        <v>68.842788696</v>
      </c>
      <c r="E927">
        <v>50</v>
      </c>
      <c r="F927">
        <v>49.893928528000004</v>
      </c>
      <c r="G927">
        <v>1323.4656981999999</v>
      </c>
      <c r="H927">
        <v>1319.7293701000001</v>
      </c>
      <c r="I927">
        <v>1344.5673827999999</v>
      </c>
      <c r="J927">
        <v>1339.6071777</v>
      </c>
      <c r="K927">
        <v>0</v>
      </c>
      <c r="L927">
        <v>550</v>
      </c>
      <c r="M927">
        <v>550</v>
      </c>
      <c r="N927">
        <v>0</v>
      </c>
    </row>
    <row r="928" spans="1:14" x14ac:dyDescent="0.25">
      <c r="A928">
        <v>1066</v>
      </c>
      <c r="B928" s="1">
        <f>DATE(2013,4,1) + TIME(0,0,0)</f>
        <v>41365</v>
      </c>
      <c r="C928">
        <v>80</v>
      </c>
      <c r="D928">
        <v>68.516731261999993</v>
      </c>
      <c r="E928">
        <v>50</v>
      </c>
      <c r="F928">
        <v>49.894054412999999</v>
      </c>
      <c r="G928">
        <v>1323.3492432</v>
      </c>
      <c r="H928">
        <v>1319.5670166</v>
      </c>
      <c r="I928">
        <v>1344.5605469</v>
      </c>
      <c r="J928">
        <v>1339.6027832</v>
      </c>
      <c r="K928">
        <v>0</v>
      </c>
      <c r="L928">
        <v>550</v>
      </c>
      <c r="M928">
        <v>550</v>
      </c>
      <c r="N928">
        <v>0</v>
      </c>
    </row>
    <row r="929" spans="1:14" x14ac:dyDescent="0.25">
      <c r="A929">
        <v>1071.275437</v>
      </c>
      <c r="B929" s="1">
        <f>DATE(2013,4,6) + TIME(6,36,37)</f>
        <v>41370.27542824074</v>
      </c>
      <c r="C929">
        <v>80</v>
      </c>
      <c r="D929">
        <v>68.105758667000003</v>
      </c>
      <c r="E929">
        <v>50</v>
      </c>
      <c r="F929">
        <v>49.894359588999997</v>
      </c>
      <c r="G929">
        <v>1323.2783202999999</v>
      </c>
      <c r="H929">
        <v>1319.449707</v>
      </c>
      <c r="I929">
        <v>1344.5581055</v>
      </c>
      <c r="J929">
        <v>1339.6010742000001</v>
      </c>
      <c r="K929">
        <v>0</v>
      </c>
      <c r="L929">
        <v>550</v>
      </c>
      <c r="M929">
        <v>550</v>
      </c>
      <c r="N929">
        <v>0</v>
      </c>
    </row>
    <row r="930" spans="1:14" x14ac:dyDescent="0.25">
      <c r="A930">
        <v>1076.7944809999999</v>
      </c>
      <c r="B930" s="1">
        <f>DATE(2013,4,11) + TIME(19,4,3)</f>
        <v>41375.794479166667</v>
      </c>
      <c r="C930">
        <v>80</v>
      </c>
      <c r="D930">
        <v>67.626884459999999</v>
      </c>
      <c r="E930">
        <v>50</v>
      </c>
      <c r="F930">
        <v>49.894660950000002</v>
      </c>
      <c r="G930">
        <v>1323.1647949000001</v>
      </c>
      <c r="H930">
        <v>1319.2849120999999</v>
      </c>
      <c r="I930">
        <v>1344.5512695</v>
      </c>
      <c r="J930">
        <v>1339.5969238</v>
      </c>
      <c r="K930">
        <v>0</v>
      </c>
      <c r="L930">
        <v>550</v>
      </c>
      <c r="M930">
        <v>550</v>
      </c>
      <c r="N930">
        <v>0</v>
      </c>
    </row>
    <row r="931" spans="1:14" x14ac:dyDescent="0.25">
      <c r="A931">
        <v>1082.457249</v>
      </c>
      <c r="B931" s="1">
        <f>DATE(2013,4,17) + TIME(10,58,26)</f>
        <v>41381.457245370373</v>
      </c>
      <c r="C931">
        <v>80</v>
      </c>
      <c r="D931">
        <v>67.104530334000003</v>
      </c>
      <c r="E931">
        <v>50</v>
      </c>
      <c r="F931">
        <v>49.894962311</v>
      </c>
      <c r="G931">
        <v>1323.0461425999999</v>
      </c>
      <c r="H931">
        <v>1319.1103516000001</v>
      </c>
      <c r="I931">
        <v>1344.5439452999999</v>
      </c>
      <c r="J931">
        <v>1339.5925293</v>
      </c>
      <c r="K931">
        <v>0</v>
      </c>
      <c r="L931">
        <v>550</v>
      </c>
      <c r="M931">
        <v>550</v>
      </c>
      <c r="N931">
        <v>0</v>
      </c>
    </row>
    <row r="932" spans="1:14" x14ac:dyDescent="0.25">
      <c r="A932">
        <v>1088.2479109999999</v>
      </c>
      <c r="B932" s="1">
        <f>DATE(2013,4,23) + TIME(5,56,59)</f>
        <v>41387.24790509259</v>
      </c>
      <c r="C932">
        <v>80</v>
      </c>
      <c r="D932">
        <v>66.552139281999999</v>
      </c>
      <c r="E932">
        <v>50</v>
      </c>
      <c r="F932">
        <v>49.895263671999999</v>
      </c>
      <c r="G932">
        <v>1322.9265137</v>
      </c>
      <c r="H932">
        <v>1318.9324951000001</v>
      </c>
      <c r="I932">
        <v>1344.5363769999999</v>
      </c>
      <c r="J932">
        <v>1339.5878906</v>
      </c>
      <c r="K932">
        <v>0</v>
      </c>
      <c r="L932">
        <v>550</v>
      </c>
      <c r="M932">
        <v>550</v>
      </c>
      <c r="N932">
        <v>0</v>
      </c>
    </row>
    <row r="933" spans="1:14" x14ac:dyDescent="0.25">
      <c r="A933">
        <v>1094.1392800000001</v>
      </c>
      <c r="B933" s="1">
        <f>DATE(2013,4,29) + TIME(3,20,33)</f>
        <v>41393.139270833337</v>
      </c>
      <c r="C933">
        <v>80</v>
      </c>
      <c r="D933">
        <v>65.977012634000005</v>
      </c>
      <c r="E933">
        <v>50</v>
      </c>
      <c r="F933">
        <v>49.895565032999997</v>
      </c>
      <c r="G933">
        <v>1322.8074951000001</v>
      </c>
      <c r="H933">
        <v>1318.7546387</v>
      </c>
      <c r="I933">
        <v>1344.5284423999999</v>
      </c>
      <c r="J933">
        <v>1339.5831298999999</v>
      </c>
      <c r="K933">
        <v>0</v>
      </c>
      <c r="L933">
        <v>550</v>
      </c>
      <c r="M933">
        <v>550</v>
      </c>
      <c r="N933">
        <v>0</v>
      </c>
    </row>
    <row r="934" spans="1:14" x14ac:dyDescent="0.25">
      <c r="A934">
        <v>1096</v>
      </c>
      <c r="B934" s="1">
        <f>DATE(2013,5,1) + TIME(0,0,0)</f>
        <v>41395</v>
      </c>
      <c r="C934">
        <v>80</v>
      </c>
      <c r="D934">
        <v>65.638488769999995</v>
      </c>
      <c r="E934">
        <v>50</v>
      </c>
      <c r="F934">
        <v>49.895641327</v>
      </c>
      <c r="G934">
        <v>1322.6940918</v>
      </c>
      <c r="H934">
        <v>1318.5994873</v>
      </c>
      <c r="I934">
        <v>1344.5196533000001</v>
      </c>
      <c r="J934">
        <v>1339.5775146000001</v>
      </c>
      <c r="K934">
        <v>0</v>
      </c>
      <c r="L934">
        <v>550</v>
      </c>
      <c r="M934">
        <v>550</v>
      </c>
      <c r="N934">
        <v>0</v>
      </c>
    </row>
    <row r="935" spans="1:14" x14ac:dyDescent="0.25">
      <c r="A935">
        <v>1096.0000010000001</v>
      </c>
      <c r="B935" s="1">
        <f>DATE(2013,5,1) + TIME(0,0,0)</f>
        <v>41395</v>
      </c>
      <c r="C935">
        <v>80</v>
      </c>
      <c r="D935">
        <v>65.638534546000002</v>
      </c>
      <c r="E935">
        <v>50</v>
      </c>
      <c r="F935">
        <v>49.895614623999997</v>
      </c>
      <c r="G935">
        <v>1327.9708252</v>
      </c>
      <c r="H935">
        <v>1322.9562988</v>
      </c>
      <c r="I935">
        <v>1339.3773193</v>
      </c>
      <c r="J935">
        <v>1335.5296631000001</v>
      </c>
      <c r="K935">
        <v>550</v>
      </c>
      <c r="L935">
        <v>0</v>
      </c>
      <c r="M935">
        <v>0</v>
      </c>
      <c r="N935">
        <v>550</v>
      </c>
    </row>
    <row r="936" spans="1:14" x14ac:dyDescent="0.25">
      <c r="A936">
        <v>1096.000004</v>
      </c>
      <c r="B936" s="1">
        <f>DATE(2013,5,1) + TIME(0,0,0)</f>
        <v>41395</v>
      </c>
      <c r="C936">
        <v>80</v>
      </c>
      <c r="D936">
        <v>65.638641356999997</v>
      </c>
      <c r="E936">
        <v>50</v>
      </c>
      <c r="F936">
        <v>49.895549774000003</v>
      </c>
      <c r="G936">
        <v>1328.5355225000001</v>
      </c>
      <c r="H936">
        <v>1323.6287841999999</v>
      </c>
      <c r="I936">
        <v>1338.8431396000001</v>
      </c>
      <c r="J936">
        <v>1334.9949951000001</v>
      </c>
      <c r="K936">
        <v>550</v>
      </c>
      <c r="L936">
        <v>0</v>
      </c>
      <c r="M936">
        <v>0</v>
      </c>
      <c r="N936">
        <v>550</v>
      </c>
    </row>
    <row r="937" spans="1:14" x14ac:dyDescent="0.25">
      <c r="A937">
        <v>1096.0000130000001</v>
      </c>
      <c r="B937" s="1">
        <f>DATE(2013,5,1) + TIME(0,0,1)</f>
        <v>41395.000011574077</v>
      </c>
      <c r="C937">
        <v>80</v>
      </c>
      <c r="D937">
        <v>65.638877868999998</v>
      </c>
      <c r="E937">
        <v>50</v>
      </c>
      <c r="F937">
        <v>49.895397185999997</v>
      </c>
      <c r="G937">
        <v>1329.7895507999999</v>
      </c>
      <c r="H937">
        <v>1325.0297852000001</v>
      </c>
      <c r="I937">
        <v>1337.6444091999999</v>
      </c>
      <c r="J937">
        <v>1333.7956543</v>
      </c>
      <c r="K937">
        <v>550</v>
      </c>
      <c r="L937">
        <v>0</v>
      </c>
      <c r="M937">
        <v>0</v>
      </c>
      <c r="N937">
        <v>550</v>
      </c>
    </row>
    <row r="938" spans="1:14" x14ac:dyDescent="0.25">
      <c r="A938">
        <v>1096.0000399999999</v>
      </c>
      <c r="B938" s="1">
        <f>DATE(2013,5,1) + TIME(0,0,3)</f>
        <v>41395.000034722223</v>
      </c>
      <c r="C938">
        <v>80</v>
      </c>
      <c r="D938">
        <v>65.639312743999994</v>
      </c>
      <c r="E938">
        <v>50</v>
      </c>
      <c r="F938">
        <v>49.895145415999998</v>
      </c>
      <c r="G938">
        <v>1331.8792725000001</v>
      </c>
      <c r="H938">
        <v>1327.184082</v>
      </c>
      <c r="I938">
        <v>1335.6392822</v>
      </c>
      <c r="J938">
        <v>1331.7907714999999</v>
      </c>
      <c r="K938">
        <v>550</v>
      </c>
      <c r="L938">
        <v>0</v>
      </c>
      <c r="M938">
        <v>0</v>
      </c>
      <c r="N938">
        <v>550</v>
      </c>
    </row>
    <row r="939" spans="1:14" x14ac:dyDescent="0.25">
      <c r="A939">
        <v>1096.000121</v>
      </c>
      <c r="B939" s="1">
        <f>DATE(2013,5,1) + TIME(0,0,10)</f>
        <v>41395.000115740739</v>
      </c>
      <c r="C939">
        <v>80</v>
      </c>
      <c r="D939">
        <v>65.640090942</v>
      </c>
      <c r="E939">
        <v>50</v>
      </c>
      <c r="F939">
        <v>49.894828795999999</v>
      </c>
      <c r="G939">
        <v>1334.4665527</v>
      </c>
      <c r="H939">
        <v>1329.7203368999999</v>
      </c>
      <c r="I939">
        <v>1333.1860352000001</v>
      </c>
      <c r="J939">
        <v>1329.3404541</v>
      </c>
      <c r="K939">
        <v>550</v>
      </c>
      <c r="L939">
        <v>0</v>
      </c>
      <c r="M939">
        <v>0</v>
      </c>
      <c r="N939">
        <v>550</v>
      </c>
    </row>
    <row r="940" spans="1:14" x14ac:dyDescent="0.25">
      <c r="A940">
        <v>1096.000364</v>
      </c>
      <c r="B940" s="1">
        <f>DATE(2013,5,1) + TIME(0,0,31)</f>
        <v>41395.000358796293</v>
      </c>
      <c r="C940">
        <v>80</v>
      </c>
      <c r="D940">
        <v>65.641792296999995</v>
      </c>
      <c r="E940">
        <v>50</v>
      </c>
      <c r="F940">
        <v>49.894485474</v>
      </c>
      <c r="G940">
        <v>1337.1977539</v>
      </c>
      <c r="H940">
        <v>1332.375</v>
      </c>
      <c r="I940">
        <v>1330.6467285000001</v>
      </c>
      <c r="J940">
        <v>1326.7961425999999</v>
      </c>
      <c r="K940">
        <v>550</v>
      </c>
      <c r="L940">
        <v>0</v>
      </c>
      <c r="M940">
        <v>0</v>
      </c>
      <c r="N940">
        <v>550</v>
      </c>
    </row>
    <row r="941" spans="1:14" x14ac:dyDescent="0.25">
      <c r="A941">
        <v>1096.0010930000001</v>
      </c>
      <c r="B941" s="1">
        <f>DATE(2013,5,1) + TIME(0,1,34)</f>
        <v>41395.001087962963</v>
      </c>
      <c r="C941">
        <v>80</v>
      </c>
      <c r="D941">
        <v>65.646240234000004</v>
      </c>
      <c r="E941">
        <v>50</v>
      </c>
      <c r="F941">
        <v>49.894088744999998</v>
      </c>
      <c r="G941">
        <v>1339.9433594</v>
      </c>
      <c r="H941">
        <v>1335.0482178</v>
      </c>
      <c r="I941">
        <v>1328.1196289</v>
      </c>
      <c r="J941">
        <v>1324.2213135</v>
      </c>
      <c r="K941">
        <v>550</v>
      </c>
      <c r="L941">
        <v>0</v>
      </c>
      <c r="M941">
        <v>0</v>
      </c>
      <c r="N941">
        <v>550</v>
      </c>
    </row>
    <row r="942" spans="1:14" x14ac:dyDescent="0.25">
      <c r="A942">
        <v>1096.0032799999999</v>
      </c>
      <c r="B942" s="1">
        <f>DATE(2013,5,1) + TIME(0,4,43)</f>
        <v>41395.003275462965</v>
      </c>
      <c r="C942">
        <v>80</v>
      </c>
      <c r="D942">
        <v>65.658935546999999</v>
      </c>
      <c r="E942">
        <v>50</v>
      </c>
      <c r="F942">
        <v>49.893566131999997</v>
      </c>
      <c r="G942">
        <v>1342.3876952999999</v>
      </c>
      <c r="H942">
        <v>1337.4418945</v>
      </c>
      <c r="I942">
        <v>1325.8311768000001</v>
      </c>
      <c r="J942">
        <v>1321.8337402</v>
      </c>
      <c r="K942">
        <v>550</v>
      </c>
      <c r="L942">
        <v>0</v>
      </c>
      <c r="M942">
        <v>0</v>
      </c>
      <c r="N942">
        <v>550</v>
      </c>
    </row>
    <row r="943" spans="1:14" x14ac:dyDescent="0.25">
      <c r="A943">
        <v>1096.0098410000001</v>
      </c>
      <c r="B943" s="1">
        <f>DATE(2013,5,1) + TIME(0,14,10)</f>
        <v>41395.009837962964</v>
      </c>
      <c r="C943">
        <v>80</v>
      </c>
      <c r="D943">
        <v>65.696311950999998</v>
      </c>
      <c r="E943">
        <v>50</v>
      </c>
      <c r="F943">
        <v>49.892642975000001</v>
      </c>
      <c r="G943">
        <v>1344.0969238</v>
      </c>
      <c r="H943">
        <v>1339.1384277</v>
      </c>
      <c r="I943">
        <v>1324.1665039</v>
      </c>
      <c r="J943">
        <v>1320.0792236</v>
      </c>
      <c r="K943">
        <v>550</v>
      </c>
      <c r="L943">
        <v>0</v>
      </c>
      <c r="M943">
        <v>0</v>
      </c>
      <c r="N943">
        <v>550</v>
      </c>
    </row>
    <row r="944" spans="1:14" x14ac:dyDescent="0.25">
      <c r="A944">
        <v>1096.029524</v>
      </c>
      <c r="B944" s="1">
        <f>DATE(2013,5,1) + TIME(0,42,30)</f>
        <v>41395.029513888891</v>
      </c>
      <c r="C944">
        <v>80</v>
      </c>
      <c r="D944">
        <v>65.806999207000004</v>
      </c>
      <c r="E944">
        <v>50</v>
      </c>
      <c r="F944">
        <v>49.890384674000003</v>
      </c>
      <c r="G944">
        <v>1345.0012207</v>
      </c>
      <c r="H944">
        <v>1340.0505370999999</v>
      </c>
      <c r="I944">
        <v>1323.2659911999999</v>
      </c>
      <c r="J944">
        <v>1319.1368408000001</v>
      </c>
      <c r="K944">
        <v>550</v>
      </c>
      <c r="L944">
        <v>0</v>
      </c>
      <c r="M944">
        <v>0</v>
      </c>
      <c r="N944">
        <v>550</v>
      </c>
    </row>
    <row r="945" spans="1:14" x14ac:dyDescent="0.25">
      <c r="A945">
        <v>1096.088573</v>
      </c>
      <c r="B945" s="1">
        <f>DATE(2013,5,1) + TIME(2,7,32)</f>
        <v>41395.088564814818</v>
      </c>
      <c r="C945">
        <v>80</v>
      </c>
      <c r="D945">
        <v>66.130935668999996</v>
      </c>
      <c r="E945">
        <v>50</v>
      </c>
      <c r="F945">
        <v>49.883987427000001</v>
      </c>
      <c r="G945">
        <v>1345.3425293</v>
      </c>
      <c r="H945">
        <v>1340.4160156</v>
      </c>
      <c r="I945">
        <v>1322.9566649999999</v>
      </c>
      <c r="J945">
        <v>1318.815918</v>
      </c>
      <c r="K945">
        <v>550</v>
      </c>
      <c r="L945">
        <v>0</v>
      </c>
      <c r="M945">
        <v>0</v>
      </c>
      <c r="N945">
        <v>550</v>
      </c>
    </row>
    <row r="946" spans="1:14" x14ac:dyDescent="0.25">
      <c r="A946">
        <v>1096.1996489999999</v>
      </c>
      <c r="B946" s="1">
        <f>DATE(2013,5,1) + TIME(4,47,29)</f>
        <v>41395.199641203704</v>
      </c>
      <c r="C946">
        <v>80</v>
      </c>
      <c r="D946">
        <v>66.714630127000007</v>
      </c>
      <c r="E946">
        <v>50</v>
      </c>
      <c r="F946">
        <v>49.872241973999998</v>
      </c>
      <c r="G946">
        <v>1345.3869629000001</v>
      </c>
      <c r="H946">
        <v>1340.4973144999999</v>
      </c>
      <c r="I946">
        <v>1322.9200439000001</v>
      </c>
      <c r="J946">
        <v>1318.7772216999999</v>
      </c>
      <c r="K946">
        <v>550</v>
      </c>
      <c r="L946">
        <v>0</v>
      </c>
      <c r="M946">
        <v>0</v>
      </c>
      <c r="N946">
        <v>550</v>
      </c>
    </row>
    <row r="947" spans="1:14" x14ac:dyDescent="0.25">
      <c r="A947">
        <v>1096.3129409999999</v>
      </c>
      <c r="B947" s="1">
        <f>DATE(2013,5,1) + TIME(7,30,38)</f>
        <v>41395.312939814816</v>
      </c>
      <c r="C947">
        <v>80</v>
      </c>
      <c r="D947">
        <v>67.285934448000006</v>
      </c>
      <c r="E947">
        <v>50</v>
      </c>
      <c r="F947">
        <v>49.860393524000003</v>
      </c>
      <c r="G947">
        <v>1345.3830565999999</v>
      </c>
      <c r="H947">
        <v>1340.5164795000001</v>
      </c>
      <c r="I947">
        <v>1322.9229736</v>
      </c>
      <c r="J947">
        <v>1318.7790527</v>
      </c>
      <c r="K947">
        <v>550</v>
      </c>
      <c r="L947">
        <v>0</v>
      </c>
      <c r="M947">
        <v>0</v>
      </c>
      <c r="N947">
        <v>550</v>
      </c>
    </row>
    <row r="948" spans="1:14" x14ac:dyDescent="0.25">
      <c r="A948">
        <v>1096.4287870000001</v>
      </c>
      <c r="B948" s="1">
        <f>DATE(2013,5,1) + TIME(10,17,27)</f>
        <v>41395.428784722222</v>
      </c>
      <c r="C948">
        <v>80</v>
      </c>
      <c r="D948">
        <v>67.845932007000002</v>
      </c>
      <c r="E948">
        <v>50</v>
      </c>
      <c r="F948">
        <v>49.848403931</v>
      </c>
      <c r="G948">
        <v>1345.3665771000001</v>
      </c>
      <c r="H948">
        <v>1340.5216064000001</v>
      </c>
      <c r="I948">
        <v>1322.9255370999999</v>
      </c>
      <c r="J948">
        <v>1318.7807617000001</v>
      </c>
      <c r="K948">
        <v>550</v>
      </c>
      <c r="L948">
        <v>0</v>
      </c>
      <c r="M948">
        <v>0</v>
      </c>
      <c r="N948">
        <v>550</v>
      </c>
    </row>
    <row r="949" spans="1:14" x14ac:dyDescent="0.25">
      <c r="A949">
        <v>1096.547321</v>
      </c>
      <c r="B949" s="1">
        <f>DATE(2013,5,1) + TIME(13,8,8)</f>
        <v>41395.547314814816</v>
      </c>
      <c r="C949">
        <v>80</v>
      </c>
      <c r="D949">
        <v>68.394569396999998</v>
      </c>
      <c r="E949">
        <v>50</v>
      </c>
      <c r="F949">
        <v>49.836261749000002</v>
      </c>
      <c r="G949">
        <v>1345.3491211</v>
      </c>
      <c r="H949">
        <v>1340.5245361</v>
      </c>
      <c r="I949">
        <v>1322.9267577999999</v>
      </c>
      <c r="J949">
        <v>1318.7810059000001</v>
      </c>
      <c r="K949">
        <v>550</v>
      </c>
      <c r="L949">
        <v>0</v>
      </c>
      <c r="M949">
        <v>0</v>
      </c>
      <c r="N949">
        <v>550</v>
      </c>
    </row>
    <row r="950" spans="1:14" x14ac:dyDescent="0.25">
      <c r="A950">
        <v>1096.668688</v>
      </c>
      <c r="B950" s="1">
        <f>DATE(2013,5,1) + TIME(16,2,54)</f>
        <v>41395.668680555558</v>
      </c>
      <c r="C950">
        <v>80</v>
      </c>
      <c r="D950">
        <v>68.931800842000001</v>
      </c>
      <c r="E950">
        <v>50</v>
      </c>
      <c r="F950">
        <v>49.823959350999999</v>
      </c>
      <c r="G950">
        <v>1345.3332519999999</v>
      </c>
      <c r="H950">
        <v>1340.5277100000001</v>
      </c>
      <c r="I950">
        <v>1322.9274902</v>
      </c>
      <c r="J950">
        <v>1318.7807617000001</v>
      </c>
      <c r="K950">
        <v>550</v>
      </c>
      <c r="L950">
        <v>0</v>
      </c>
      <c r="M950">
        <v>0</v>
      </c>
      <c r="N950">
        <v>550</v>
      </c>
    </row>
    <row r="951" spans="1:14" x14ac:dyDescent="0.25">
      <c r="A951">
        <v>1096.793042</v>
      </c>
      <c r="B951" s="1">
        <f>DATE(2013,5,1) + TIME(19,1,58)</f>
        <v>41395.793032407404</v>
      </c>
      <c r="C951">
        <v>80</v>
      </c>
      <c r="D951">
        <v>69.457542419000006</v>
      </c>
      <c r="E951">
        <v>50</v>
      </c>
      <c r="F951">
        <v>49.811489105</v>
      </c>
      <c r="G951">
        <v>1345.3193358999999</v>
      </c>
      <c r="H951">
        <v>1340.5316161999999</v>
      </c>
      <c r="I951">
        <v>1322.9279785000001</v>
      </c>
      <c r="J951">
        <v>1318.7801514</v>
      </c>
      <c r="K951">
        <v>550</v>
      </c>
      <c r="L951">
        <v>0</v>
      </c>
      <c r="M951">
        <v>0</v>
      </c>
      <c r="N951">
        <v>550</v>
      </c>
    </row>
    <row r="952" spans="1:14" x14ac:dyDescent="0.25">
      <c r="A952">
        <v>1096.9205469999999</v>
      </c>
      <c r="B952" s="1">
        <f>DATE(2013,5,1) + TIME(22,5,35)</f>
        <v>41395.920543981483</v>
      </c>
      <c r="C952">
        <v>80</v>
      </c>
      <c r="D952">
        <v>69.971710204999994</v>
      </c>
      <c r="E952">
        <v>50</v>
      </c>
      <c r="F952">
        <v>49.798839569000002</v>
      </c>
      <c r="G952">
        <v>1345.3076172000001</v>
      </c>
      <c r="H952">
        <v>1340.5363769999999</v>
      </c>
      <c r="I952">
        <v>1322.9284668</v>
      </c>
      <c r="J952">
        <v>1318.7795410000001</v>
      </c>
      <c r="K952">
        <v>550</v>
      </c>
      <c r="L952">
        <v>0</v>
      </c>
      <c r="M952">
        <v>0</v>
      </c>
      <c r="N952">
        <v>550</v>
      </c>
    </row>
    <row r="953" spans="1:14" x14ac:dyDescent="0.25">
      <c r="A953">
        <v>1097.0512570000001</v>
      </c>
      <c r="B953" s="1">
        <f>DATE(2013,5,2) + TIME(1,13,48)</f>
        <v>41396.051249999997</v>
      </c>
      <c r="C953">
        <v>80</v>
      </c>
      <c r="D953">
        <v>70.473403931000007</v>
      </c>
      <c r="E953">
        <v>50</v>
      </c>
      <c r="F953">
        <v>49.786010742000002</v>
      </c>
      <c r="G953">
        <v>1345.2977295000001</v>
      </c>
      <c r="H953">
        <v>1340.5421143000001</v>
      </c>
      <c r="I953">
        <v>1322.9288329999999</v>
      </c>
      <c r="J953">
        <v>1318.7789307</v>
      </c>
      <c r="K953">
        <v>550</v>
      </c>
      <c r="L953">
        <v>0</v>
      </c>
      <c r="M953">
        <v>0</v>
      </c>
      <c r="N953">
        <v>550</v>
      </c>
    </row>
    <row r="954" spans="1:14" x14ac:dyDescent="0.25">
      <c r="A954">
        <v>1097.185281</v>
      </c>
      <c r="B954" s="1">
        <f>DATE(2013,5,2) + TIME(4,26,48)</f>
        <v>41396.185277777775</v>
      </c>
      <c r="C954">
        <v>80</v>
      </c>
      <c r="D954">
        <v>70.962608337000006</v>
      </c>
      <c r="E954">
        <v>50</v>
      </c>
      <c r="F954">
        <v>49.772998809999997</v>
      </c>
      <c r="G954">
        <v>1345.2899170000001</v>
      </c>
      <c r="H954">
        <v>1340.5485839999999</v>
      </c>
      <c r="I954">
        <v>1322.9291992000001</v>
      </c>
      <c r="J954">
        <v>1318.7780762</v>
      </c>
      <c r="K954">
        <v>550</v>
      </c>
      <c r="L954">
        <v>0</v>
      </c>
      <c r="M954">
        <v>0</v>
      </c>
      <c r="N954">
        <v>550</v>
      </c>
    </row>
    <row r="955" spans="1:14" x14ac:dyDescent="0.25">
      <c r="A955">
        <v>1097.322807</v>
      </c>
      <c r="B955" s="1">
        <f>DATE(2013,5,2) + TIME(7,44,50)</f>
        <v>41396.322800925926</v>
      </c>
      <c r="C955">
        <v>80</v>
      </c>
      <c r="D955">
        <v>71.439285278</v>
      </c>
      <c r="E955">
        <v>50</v>
      </c>
      <c r="F955">
        <v>49.759792328000003</v>
      </c>
      <c r="G955">
        <v>1345.2838135</v>
      </c>
      <c r="H955">
        <v>1340.5557861</v>
      </c>
      <c r="I955">
        <v>1322.9295654</v>
      </c>
      <c r="J955">
        <v>1318.7773437999999</v>
      </c>
      <c r="K955">
        <v>550</v>
      </c>
      <c r="L955">
        <v>0</v>
      </c>
      <c r="M955">
        <v>0</v>
      </c>
      <c r="N955">
        <v>550</v>
      </c>
    </row>
    <row r="956" spans="1:14" x14ac:dyDescent="0.25">
      <c r="A956">
        <v>1097.464037</v>
      </c>
      <c r="B956" s="1">
        <f>DATE(2013,5,2) + TIME(11,8,12)</f>
        <v>41396.46402777778</v>
      </c>
      <c r="C956">
        <v>80</v>
      </c>
      <c r="D956">
        <v>71.903350829999994</v>
      </c>
      <c r="E956">
        <v>50</v>
      </c>
      <c r="F956">
        <v>49.746379851999997</v>
      </c>
      <c r="G956">
        <v>1345.2792969</v>
      </c>
      <c r="H956">
        <v>1340.5635986</v>
      </c>
      <c r="I956">
        <v>1322.9298096</v>
      </c>
      <c r="J956">
        <v>1318.7764893000001</v>
      </c>
      <c r="K956">
        <v>550</v>
      </c>
      <c r="L956">
        <v>0</v>
      </c>
      <c r="M956">
        <v>0</v>
      </c>
      <c r="N956">
        <v>550</v>
      </c>
    </row>
    <row r="957" spans="1:14" x14ac:dyDescent="0.25">
      <c r="A957">
        <v>1097.6091879999999</v>
      </c>
      <c r="B957" s="1">
        <f>DATE(2013,5,2) + TIME(14,37,13)</f>
        <v>41396.609178240738</v>
      </c>
      <c r="C957">
        <v>80</v>
      </c>
      <c r="D957">
        <v>72.354713439999998</v>
      </c>
      <c r="E957">
        <v>50</v>
      </c>
      <c r="F957">
        <v>49.732746124000002</v>
      </c>
      <c r="G957">
        <v>1345.2763672000001</v>
      </c>
      <c r="H957">
        <v>1340.5720214999999</v>
      </c>
      <c r="I957">
        <v>1322.9301757999999</v>
      </c>
      <c r="J957">
        <v>1318.7755127</v>
      </c>
      <c r="K957">
        <v>550</v>
      </c>
      <c r="L957">
        <v>0</v>
      </c>
      <c r="M957">
        <v>0</v>
      </c>
      <c r="N957">
        <v>550</v>
      </c>
    </row>
    <row r="958" spans="1:14" x14ac:dyDescent="0.25">
      <c r="A958">
        <v>1097.7584899999999</v>
      </c>
      <c r="B958" s="1">
        <f>DATE(2013,5,2) + TIME(18,12,13)</f>
        <v>41396.758483796293</v>
      </c>
      <c r="C958">
        <v>80</v>
      </c>
      <c r="D958">
        <v>72.793266295999999</v>
      </c>
      <c r="E958">
        <v>50</v>
      </c>
      <c r="F958">
        <v>49.718879700000002</v>
      </c>
      <c r="G958">
        <v>1345.2749022999999</v>
      </c>
      <c r="H958">
        <v>1340.5810547000001</v>
      </c>
      <c r="I958">
        <v>1322.9304199000001</v>
      </c>
      <c r="J958">
        <v>1318.7745361</v>
      </c>
      <c r="K958">
        <v>550</v>
      </c>
      <c r="L958">
        <v>0</v>
      </c>
      <c r="M958">
        <v>0</v>
      </c>
      <c r="N958">
        <v>550</v>
      </c>
    </row>
    <row r="959" spans="1:14" x14ac:dyDescent="0.25">
      <c r="A959">
        <v>1097.912165</v>
      </c>
      <c r="B959" s="1">
        <f>DATE(2013,5,2) + TIME(21,53,31)</f>
        <v>41396.912164351852</v>
      </c>
      <c r="C959">
        <v>80</v>
      </c>
      <c r="D959">
        <v>73.218826293999996</v>
      </c>
      <c r="E959">
        <v>50</v>
      </c>
      <c r="F959">
        <v>49.70476532</v>
      </c>
      <c r="G959">
        <v>1345.2747803</v>
      </c>
      <c r="H959">
        <v>1340.5905762</v>
      </c>
      <c r="I959">
        <v>1322.9306641000001</v>
      </c>
      <c r="J959">
        <v>1318.7734375</v>
      </c>
      <c r="K959">
        <v>550</v>
      </c>
      <c r="L959">
        <v>0</v>
      </c>
      <c r="M959">
        <v>0</v>
      </c>
      <c r="N959">
        <v>550</v>
      </c>
    </row>
    <row r="960" spans="1:14" x14ac:dyDescent="0.25">
      <c r="A960">
        <v>1098.0704940000001</v>
      </c>
      <c r="B960" s="1">
        <f>DATE(2013,5,3) + TIME(1,41,30)</f>
        <v>41397.070486111108</v>
      </c>
      <c r="C960">
        <v>80</v>
      </c>
      <c r="D960">
        <v>73.631324767999999</v>
      </c>
      <c r="E960">
        <v>50</v>
      </c>
      <c r="F960">
        <v>49.690387725999997</v>
      </c>
      <c r="G960">
        <v>1345.2758789</v>
      </c>
      <c r="H960">
        <v>1340.6004639</v>
      </c>
      <c r="I960">
        <v>1322.9309082</v>
      </c>
      <c r="J960">
        <v>1318.7723389</v>
      </c>
      <c r="K960">
        <v>550</v>
      </c>
      <c r="L960">
        <v>0</v>
      </c>
      <c r="M960">
        <v>0</v>
      </c>
      <c r="N960">
        <v>550</v>
      </c>
    </row>
    <row r="961" spans="1:14" x14ac:dyDescent="0.25">
      <c r="A961">
        <v>1098.233774</v>
      </c>
      <c r="B961" s="1">
        <f>DATE(2013,5,3) + TIME(5,36,38)</f>
        <v>41397.233773148146</v>
      </c>
      <c r="C961">
        <v>80</v>
      </c>
      <c r="D961">
        <v>74.030654906999999</v>
      </c>
      <c r="E961">
        <v>50</v>
      </c>
      <c r="F961">
        <v>49.675727844000001</v>
      </c>
      <c r="G961">
        <v>1345.2780762</v>
      </c>
      <c r="H961">
        <v>1340.6107178</v>
      </c>
      <c r="I961">
        <v>1322.9310303</v>
      </c>
      <c r="J961">
        <v>1318.7711182</v>
      </c>
      <c r="K961">
        <v>550</v>
      </c>
      <c r="L961">
        <v>0</v>
      </c>
      <c r="M961">
        <v>0</v>
      </c>
      <c r="N961">
        <v>550</v>
      </c>
    </row>
    <row r="962" spans="1:14" x14ac:dyDescent="0.25">
      <c r="A962">
        <v>1098.4023139999999</v>
      </c>
      <c r="B962" s="1">
        <f>DATE(2013,5,3) + TIME(9,39,19)</f>
        <v>41397.402303240742</v>
      </c>
      <c r="C962">
        <v>80</v>
      </c>
      <c r="D962">
        <v>74.416702271000005</v>
      </c>
      <c r="E962">
        <v>50</v>
      </c>
      <c r="F962">
        <v>49.660774230999998</v>
      </c>
      <c r="G962">
        <v>1345.2813721</v>
      </c>
      <c r="H962">
        <v>1340.6213379000001</v>
      </c>
      <c r="I962">
        <v>1322.9312743999999</v>
      </c>
      <c r="J962">
        <v>1318.7698975000001</v>
      </c>
      <c r="K962">
        <v>550</v>
      </c>
      <c r="L962">
        <v>0</v>
      </c>
      <c r="M962">
        <v>0</v>
      </c>
      <c r="N962">
        <v>550</v>
      </c>
    </row>
    <row r="963" spans="1:14" x14ac:dyDescent="0.25">
      <c r="A963">
        <v>1098.57645</v>
      </c>
      <c r="B963" s="1">
        <f>DATE(2013,5,3) + TIME(13,50,5)</f>
        <v>41397.57644675926</v>
      </c>
      <c r="C963">
        <v>80</v>
      </c>
      <c r="D963">
        <v>74.789337157999995</v>
      </c>
      <c r="E963">
        <v>50</v>
      </c>
      <c r="F963">
        <v>49.645500183000003</v>
      </c>
      <c r="G963">
        <v>1345.2856445</v>
      </c>
      <c r="H963">
        <v>1340.6322021000001</v>
      </c>
      <c r="I963">
        <v>1322.9313964999999</v>
      </c>
      <c r="J963">
        <v>1318.7686768000001</v>
      </c>
      <c r="K963">
        <v>550</v>
      </c>
      <c r="L963">
        <v>0</v>
      </c>
      <c r="M963">
        <v>0</v>
      </c>
      <c r="N963">
        <v>550</v>
      </c>
    </row>
    <row r="964" spans="1:14" x14ac:dyDescent="0.25">
      <c r="A964">
        <v>1098.7565460000001</v>
      </c>
      <c r="B964" s="1">
        <f>DATE(2013,5,3) + TIME(18,9,25)</f>
        <v>41397.756539351853</v>
      </c>
      <c r="C964">
        <v>80</v>
      </c>
      <c r="D964">
        <v>75.148307799999998</v>
      </c>
      <c r="E964">
        <v>50</v>
      </c>
      <c r="F964">
        <v>49.629890441999997</v>
      </c>
      <c r="G964">
        <v>1345.2907714999999</v>
      </c>
      <c r="H964">
        <v>1340.6431885</v>
      </c>
      <c r="I964">
        <v>1322.9313964999999</v>
      </c>
      <c r="J964">
        <v>1318.7673339999999</v>
      </c>
      <c r="K964">
        <v>550</v>
      </c>
      <c r="L964">
        <v>0</v>
      </c>
      <c r="M964">
        <v>0</v>
      </c>
      <c r="N964">
        <v>550</v>
      </c>
    </row>
    <row r="965" spans="1:14" x14ac:dyDescent="0.25">
      <c r="A965">
        <v>1098.942994</v>
      </c>
      <c r="B965" s="1">
        <f>DATE(2013,5,3) + TIME(22,37,54)</f>
        <v>41397.942986111113</v>
      </c>
      <c r="C965">
        <v>80</v>
      </c>
      <c r="D965">
        <v>75.493461608999993</v>
      </c>
      <c r="E965">
        <v>50</v>
      </c>
      <c r="F965">
        <v>49.613918304000002</v>
      </c>
      <c r="G965">
        <v>1345.2967529</v>
      </c>
      <c r="H965">
        <v>1340.6544189000001</v>
      </c>
      <c r="I965">
        <v>1322.9315185999999</v>
      </c>
      <c r="J965">
        <v>1318.7658690999999</v>
      </c>
      <c r="K965">
        <v>550</v>
      </c>
      <c r="L965">
        <v>0</v>
      </c>
      <c r="M965">
        <v>0</v>
      </c>
      <c r="N965">
        <v>550</v>
      </c>
    </row>
    <row r="966" spans="1:14" x14ac:dyDescent="0.25">
      <c r="A966">
        <v>1099.1362260000001</v>
      </c>
      <c r="B966" s="1">
        <f>DATE(2013,5,4) + TIME(3,16,9)</f>
        <v>41398.13621527778</v>
      </c>
      <c r="C966">
        <v>80</v>
      </c>
      <c r="D966">
        <v>75.824813843000001</v>
      </c>
      <c r="E966">
        <v>50</v>
      </c>
      <c r="F966">
        <v>49.597568512000002</v>
      </c>
      <c r="G966">
        <v>1345.3033447</v>
      </c>
      <c r="H966">
        <v>1340.6656493999999</v>
      </c>
      <c r="I966">
        <v>1322.9315185999999</v>
      </c>
      <c r="J966">
        <v>1318.7644043</v>
      </c>
      <c r="K966">
        <v>550</v>
      </c>
      <c r="L966">
        <v>0</v>
      </c>
      <c r="M966">
        <v>0</v>
      </c>
      <c r="N966">
        <v>550</v>
      </c>
    </row>
    <row r="967" spans="1:14" x14ac:dyDescent="0.25">
      <c r="A967">
        <v>1099.3367069999999</v>
      </c>
      <c r="B967" s="1">
        <f>DATE(2013,5,4) + TIME(8,4,51)</f>
        <v>41398.336701388886</v>
      </c>
      <c r="C967">
        <v>80</v>
      </c>
      <c r="D967">
        <v>76.142280579000001</v>
      </c>
      <c r="E967">
        <v>50</v>
      </c>
      <c r="F967">
        <v>49.580802917</v>
      </c>
      <c r="G967">
        <v>1345.3105469</v>
      </c>
      <c r="H967">
        <v>1340.6770019999999</v>
      </c>
      <c r="I967">
        <v>1322.9315185999999</v>
      </c>
      <c r="J967">
        <v>1318.7628173999999</v>
      </c>
      <c r="K967">
        <v>550</v>
      </c>
      <c r="L967">
        <v>0</v>
      </c>
      <c r="M967">
        <v>0</v>
      </c>
      <c r="N967">
        <v>550</v>
      </c>
    </row>
    <row r="968" spans="1:14" x14ac:dyDescent="0.25">
      <c r="A968">
        <v>1099.5449510000001</v>
      </c>
      <c r="B968" s="1">
        <f>DATE(2013,5,4) + TIME(13,4,43)</f>
        <v>41398.544942129629</v>
      </c>
      <c r="C968">
        <v>80</v>
      </c>
      <c r="D968">
        <v>76.445755004999995</v>
      </c>
      <c r="E968">
        <v>50</v>
      </c>
      <c r="F968">
        <v>49.563606262</v>
      </c>
      <c r="G968">
        <v>1345.3182373</v>
      </c>
      <c r="H968">
        <v>1340.6882324000001</v>
      </c>
      <c r="I968">
        <v>1322.9315185999999</v>
      </c>
      <c r="J968">
        <v>1318.7611084</v>
      </c>
      <c r="K968">
        <v>550</v>
      </c>
      <c r="L968">
        <v>0</v>
      </c>
      <c r="M968">
        <v>0</v>
      </c>
      <c r="N968">
        <v>550</v>
      </c>
    </row>
    <row r="969" spans="1:14" x14ac:dyDescent="0.25">
      <c r="A969">
        <v>1099.761559</v>
      </c>
      <c r="B969" s="1">
        <f>DATE(2013,5,4) + TIME(18,16,38)</f>
        <v>41398.761550925927</v>
      </c>
      <c r="C969">
        <v>80</v>
      </c>
      <c r="D969">
        <v>76.735206603999998</v>
      </c>
      <c r="E969">
        <v>50</v>
      </c>
      <c r="F969">
        <v>49.545936584000003</v>
      </c>
      <c r="G969">
        <v>1345.3262939000001</v>
      </c>
      <c r="H969">
        <v>1340.6994629000001</v>
      </c>
      <c r="I969">
        <v>1322.9313964999999</v>
      </c>
      <c r="J969">
        <v>1318.7593993999999</v>
      </c>
      <c r="K969">
        <v>550</v>
      </c>
      <c r="L969">
        <v>0</v>
      </c>
      <c r="M969">
        <v>0</v>
      </c>
      <c r="N969">
        <v>550</v>
      </c>
    </row>
    <row r="970" spans="1:14" x14ac:dyDescent="0.25">
      <c r="A970">
        <v>1099.9871780000001</v>
      </c>
      <c r="B970" s="1">
        <f>DATE(2013,5,4) + TIME(23,41,32)</f>
        <v>41398.987175925926</v>
      </c>
      <c r="C970">
        <v>80</v>
      </c>
      <c r="D970">
        <v>77.010604857999994</v>
      </c>
      <c r="E970">
        <v>50</v>
      </c>
      <c r="F970">
        <v>49.527763366999999</v>
      </c>
      <c r="G970">
        <v>1345.3347168</v>
      </c>
      <c r="H970">
        <v>1340.7105713000001</v>
      </c>
      <c r="I970">
        <v>1322.9312743999999</v>
      </c>
      <c r="J970">
        <v>1318.7576904</v>
      </c>
      <c r="K970">
        <v>550</v>
      </c>
      <c r="L970">
        <v>0</v>
      </c>
      <c r="M970">
        <v>0</v>
      </c>
      <c r="N970">
        <v>550</v>
      </c>
    </row>
    <row r="971" spans="1:14" x14ac:dyDescent="0.25">
      <c r="A971">
        <v>1100.2224289999999</v>
      </c>
      <c r="B971" s="1">
        <f>DATE(2013,5,5) + TIME(5,20,17)</f>
        <v>41399.222418981481</v>
      </c>
      <c r="C971">
        <v>80</v>
      </c>
      <c r="D971">
        <v>77.271827697999996</v>
      </c>
      <c r="E971">
        <v>50</v>
      </c>
      <c r="F971">
        <v>49.509048462000003</v>
      </c>
      <c r="G971">
        <v>1345.3435059000001</v>
      </c>
      <c r="H971">
        <v>1340.7214355000001</v>
      </c>
      <c r="I971">
        <v>1322.9311522999999</v>
      </c>
      <c r="J971">
        <v>1318.7557373</v>
      </c>
      <c r="K971">
        <v>550</v>
      </c>
      <c r="L971">
        <v>0</v>
      </c>
      <c r="M971">
        <v>0</v>
      </c>
      <c r="N971">
        <v>550</v>
      </c>
    </row>
    <row r="972" spans="1:14" x14ac:dyDescent="0.25">
      <c r="A972">
        <v>1100.4680659999999</v>
      </c>
      <c r="B972" s="1">
        <f>DATE(2013,5,5) + TIME(11,14,0)</f>
        <v>41399.468055555553</v>
      </c>
      <c r="C972">
        <v>80</v>
      </c>
      <c r="D972">
        <v>77.518859863000003</v>
      </c>
      <c r="E972">
        <v>50</v>
      </c>
      <c r="F972">
        <v>49.489761352999999</v>
      </c>
      <c r="G972">
        <v>1345.3522949000001</v>
      </c>
      <c r="H972">
        <v>1340.7320557</v>
      </c>
      <c r="I972">
        <v>1322.9309082</v>
      </c>
      <c r="J972">
        <v>1318.7537841999999</v>
      </c>
      <c r="K972">
        <v>550</v>
      </c>
      <c r="L972">
        <v>0</v>
      </c>
      <c r="M972">
        <v>0</v>
      </c>
      <c r="N972">
        <v>550</v>
      </c>
    </row>
    <row r="973" spans="1:14" x14ac:dyDescent="0.25">
      <c r="A973">
        <v>1100.7249240000001</v>
      </c>
      <c r="B973" s="1">
        <f>DATE(2013,5,5) + TIME(17,23,53)</f>
        <v>41399.724918981483</v>
      </c>
      <c r="C973">
        <v>80</v>
      </c>
      <c r="D973">
        <v>77.751708984000004</v>
      </c>
      <c r="E973">
        <v>50</v>
      </c>
      <c r="F973">
        <v>49.469848632999998</v>
      </c>
      <c r="G973">
        <v>1345.3612060999999</v>
      </c>
      <c r="H973">
        <v>1340.7424315999999</v>
      </c>
      <c r="I973">
        <v>1322.9305420000001</v>
      </c>
      <c r="J973">
        <v>1318.7518310999999</v>
      </c>
      <c r="K973">
        <v>550</v>
      </c>
      <c r="L973">
        <v>0</v>
      </c>
      <c r="M973">
        <v>0</v>
      </c>
      <c r="N973">
        <v>550</v>
      </c>
    </row>
    <row r="974" spans="1:14" x14ac:dyDescent="0.25">
      <c r="A974">
        <v>1100.993933</v>
      </c>
      <c r="B974" s="1">
        <f>DATE(2013,5,5) + TIME(23,51,15)</f>
        <v>41399.993923611109</v>
      </c>
      <c r="C974">
        <v>80</v>
      </c>
      <c r="D974">
        <v>77.970436096</v>
      </c>
      <c r="E974">
        <v>50</v>
      </c>
      <c r="F974">
        <v>49.449268341</v>
      </c>
      <c r="G974">
        <v>1345.3701172000001</v>
      </c>
      <c r="H974">
        <v>1340.7523193</v>
      </c>
      <c r="I974">
        <v>1322.9302978999999</v>
      </c>
      <c r="J974">
        <v>1318.7496338000001</v>
      </c>
      <c r="K974">
        <v>550</v>
      </c>
      <c r="L974">
        <v>0</v>
      </c>
      <c r="M974">
        <v>0</v>
      </c>
      <c r="N974">
        <v>550</v>
      </c>
    </row>
    <row r="975" spans="1:14" x14ac:dyDescent="0.25">
      <c r="A975">
        <v>1101.2761310000001</v>
      </c>
      <c r="B975" s="1">
        <f>DATE(2013,5,6) + TIME(6,37,37)</f>
        <v>41400.276122685187</v>
      </c>
      <c r="C975">
        <v>80</v>
      </c>
      <c r="D975">
        <v>78.175109863000003</v>
      </c>
      <c r="E975">
        <v>50</v>
      </c>
      <c r="F975">
        <v>49.427967072000001</v>
      </c>
      <c r="G975">
        <v>1345.3787841999999</v>
      </c>
      <c r="H975">
        <v>1340.7619629000001</v>
      </c>
      <c r="I975">
        <v>1322.9298096</v>
      </c>
      <c r="J975">
        <v>1318.7473144999999</v>
      </c>
      <c r="K975">
        <v>550</v>
      </c>
      <c r="L975">
        <v>0</v>
      </c>
      <c r="M975">
        <v>0</v>
      </c>
      <c r="N975">
        <v>550</v>
      </c>
    </row>
    <row r="976" spans="1:14" x14ac:dyDescent="0.25">
      <c r="A976">
        <v>1101.572684</v>
      </c>
      <c r="B976" s="1">
        <f>DATE(2013,5,6) + TIME(13,44,39)</f>
        <v>41400.57267361111</v>
      </c>
      <c r="C976">
        <v>80</v>
      </c>
      <c r="D976">
        <v>78.365852356000005</v>
      </c>
      <c r="E976">
        <v>50</v>
      </c>
      <c r="F976">
        <v>49.405879974000001</v>
      </c>
      <c r="G976">
        <v>1345.3873291</v>
      </c>
      <c r="H976">
        <v>1340.7709961</v>
      </c>
      <c r="I976">
        <v>1322.9293213000001</v>
      </c>
      <c r="J976">
        <v>1318.7449951000001</v>
      </c>
      <c r="K976">
        <v>550</v>
      </c>
      <c r="L976">
        <v>0</v>
      </c>
      <c r="M976">
        <v>0</v>
      </c>
      <c r="N976">
        <v>550</v>
      </c>
    </row>
    <row r="977" spans="1:14" x14ac:dyDescent="0.25">
      <c r="A977">
        <v>1101.8849049999999</v>
      </c>
      <c r="B977" s="1">
        <f>DATE(2013,5,6) + TIME(21,14,15)</f>
        <v>41400.884895833333</v>
      </c>
      <c r="C977">
        <v>80</v>
      </c>
      <c r="D977">
        <v>78.542816161999994</v>
      </c>
      <c r="E977">
        <v>50</v>
      </c>
      <c r="F977">
        <v>49.382942200000002</v>
      </c>
      <c r="G977">
        <v>1345.3955077999999</v>
      </c>
      <c r="H977">
        <v>1340.7795410000001</v>
      </c>
      <c r="I977">
        <v>1322.9288329999999</v>
      </c>
      <c r="J977">
        <v>1318.7424315999999</v>
      </c>
      <c r="K977">
        <v>550</v>
      </c>
      <c r="L977">
        <v>0</v>
      </c>
      <c r="M977">
        <v>0</v>
      </c>
      <c r="N977">
        <v>550</v>
      </c>
    </row>
    <row r="978" spans="1:14" x14ac:dyDescent="0.25">
      <c r="A978">
        <v>1102.2142799999999</v>
      </c>
      <c r="B978" s="1">
        <f>DATE(2013,5,7) + TIME(5,8,33)</f>
        <v>41401.214270833334</v>
      </c>
      <c r="C978">
        <v>80</v>
      </c>
      <c r="D978">
        <v>78.706222534000005</v>
      </c>
      <c r="E978">
        <v>50</v>
      </c>
      <c r="F978">
        <v>49.359077454000001</v>
      </c>
      <c r="G978">
        <v>1345.4033202999999</v>
      </c>
      <c r="H978">
        <v>1340.7874756000001</v>
      </c>
      <c r="I978">
        <v>1322.9281006000001</v>
      </c>
      <c r="J978">
        <v>1318.7397461</v>
      </c>
      <c r="K978">
        <v>550</v>
      </c>
      <c r="L978">
        <v>0</v>
      </c>
      <c r="M978">
        <v>0</v>
      </c>
      <c r="N978">
        <v>550</v>
      </c>
    </row>
    <row r="979" spans="1:14" x14ac:dyDescent="0.25">
      <c r="A979">
        <v>1102.5625</v>
      </c>
      <c r="B979" s="1">
        <f>DATE(2013,5,7) + TIME(13,30,0)</f>
        <v>41401.5625</v>
      </c>
      <c r="C979">
        <v>80</v>
      </c>
      <c r="D979">
        <v>78.856307982999994</v>
      </c>
      <c r="E979">
        <v>50</v>
      </c>
      <c r="F979">
        <v>49.334197998</v>
      </c>
      <c r="G979">
        <v>1345.4105225000001</v>
      </c>
      <c r="H979">
        <v>1340.7947998</v>
      </c>
      <c r="I979">
        <v>1322.9273682</v>
      </c>
      <c r="J979">
        <v>1318.7369385</v>
      </c>
      <c r="K979">
        <v>550</v>
      </c>
      <c r="L979">
        <v>0</v>
      </c>
      <c r="M979">
        <v>0</v>
      </c>
      <c r="N979">
        <v>550</v>
      </c>
    </row>
    <row r="980" spans="1:14" x14ac:dyDescent="0.25">
      <c r="A980">
        <v>1102.9317510000001</v>
      </c>
      <c r="B980" s="1">
        <f>DATE(2013,5,7) + TIME(22,21,43)</f>
        <v>41401.931747685187</v>
      </c>
      <c r="C980">
        <v>80</v>
      </c>
      <c r="D980">
        <v>78.993453978999995</v>
      </c>
      <c r="E980">
        <v>50</v>
      </c>
      <c r="F980">
        <v>49.308197020999998</v>
      </c>
      <c r="G980">
        <v>1345.4171143000001</v>
      </c>
      <c r="H980">
        <v>1340.8015137</v>
      </c>
      <c r="I980">
        <v>1322.9266356999999</v>
      </c>
      <c r="J980">
        <v>1318.7340088000001</v>
      </c>
      <c r="K980">
        <v>550</v>
      </c>
      <c r="L980">
        <v>0</v>
      </c>
      <c r="M980">
        <v>0</v>
      </c>
      <c r="N980">
        <v>550</v>
      </c>
    </row>
    <row r="981" spans="1:14" x14ac:dyDescent="0.25">
      <c r="A981">
        <v>1103.3240820000001</v>
      </c>
      <c r="B981" s="1">
        <f>DATE(2013,5,8) + TIME(7,46,40)</f>
        <v>41402.324074074073</v>
      </c>
      <c r="C981">
        <v>80</v>
      </c>
      <c r="D981">
        <v>79.117942810000002</v>
      </c>
      <c r="E981">
        <v>50</v>
      </c>
      <c r="F981">
        <v>49.280971526999998</v>
      </c>
      <c r="G981">
        <v>1345.4230957</v>
      </c>
      <c r="H981">
        <v>1340.8073730000001</v>
      </c>
      <c r="I981">
        <v>1322.9256591999999</v>
      </c>
      <c r="J981">
        <v>1318.7307129000001</v>
      </c>
      <c r="K981">
        <v>550</v>
      </c>
      <c r="L981">
        <v>0</v>
      </c>
      <c r="M981">
        <v>0</v>
      </c>
      <c r="N981">
        <v>550</v>
      </c>
    </row>
    <row r="982" spans="1:14" x14ac:dyDescent="0.25">
      <c r="A982">
        <v>1103.7420709999999</v>
      </c>
      <c r="B982" s="1">
        <f>DATE(2013,5,8) + TIME(17,48,34)</f>
        <v>41402.742060185185</v>
      </c>
      <c r="C982">
        <v>80</v>
      </c>
      <c r="D982">
        <v>79.230163574000002</v>
      </c>
      <c r="E982">
        <v>50</v>
      </c>
      <c r="F982">
        <v>49.252399445000002</v>
      </c>
      <c r="G982">
        <v>1345.4281006000001</v>
      </c>
      <c r="H982">
        <v>1340.8123779</v>
      </c>
      <c r="I982">
        <v>1322.9245605000001</v>
      </c>
      <c r="J982">
        <v>1318.7274170000001</v>
      </c>
      <c r="K982">
        <v>550</v>
      </c>
      <c r="L982">
        <v>0</v>
      </c>
      <c r="M982">
        <v>0</v>
      </c>
      <c r="N982">
        <v>550</v>
      </c>
    </row>
    <row r="983" spans="1:14" x14ac:dyDescent="0.25">
      <c r="A983">
        <v>1104.188748</v>
      </c>
      <c r="B983" s="1">
        <f>DATE(2013,5,9) + TIME(4,31,47)</f>
        <v>41403.188738425924</v>
      </c>
      <c r="C983">
        <v>80</v>
      </c>
      <c r="D983">
        <v>79.330574036000002</v>
      </c>
      <c r="E983">
        <v>50</v>
      </c>
      <c r="F983">
        <v>49.222324370999999</v>
      </c>
      <c r="G983">
        <v>1345.432251</v>
      </c>
      <c r="H983">
        <v>1340.8165283000001</v>
      </c>
      <c r="I983">
        <v>1322.9233397999999</v>
      </c>
      <c r="J983">
        <v>1318.7237548999999</v>
      </c>
      <c r="K983">
        <v>550</v>
      </c>
      <c r="L983">
        <v>0</v>
      </c>
      <c r="M983">
        <v>0</v>
      </c>
      <c r="N983">
        <v>550</v>
      </c>
    </row>
    <row r="984" spans="1:14" x14ac:dyDescent="0.25">
      <c r="A984">
        <v>1104.667682</v>
      </c>
      <c r="B984" s="1">
        <f>DATE(2013,5,9) + TIME(16,1,27)</f>
        <v>41403.667673611111</v>
      </c>
      <c r="C984">
        <v>80</v>
      </c>
      <c r="D984">
        <v>79.419685364000003</v>
      </c>
      <c r="E984">
        <v>50</v>
      </c>
      <c r="F984">
        <v>49.190582274999997</v>
      </c>
      <c r="G984">
        <v>1345.4353027</v>
      </c>
      <c r="H984">
        <v>1340.8197021000001</v>
      </c>
      <c r="I984">
        <v>1322.921875</v>
      </c>
      <c r="J984">
        <v>1318.7197266000001</v>
      </c>
      <c r="K984">
        <v>550</v>
      </c>
      <c r="L984">
        <v>0</v>
      </c>
      <c r="M984">
        <v>0</v>
      </c>
      <c r="N984">
        <v>550</v>
      </c>
    </row>
    <row r="985" spans="1:14" x14ac:dyDescent="0.25">
      <c r="A985">
        <v>1105.1830419999999</v>
      </c>
      <c r="B985" s="1">
        <f>DATE(2013,5,10) + TIME(4,23,34)</f>
        <v>41404.183032407411</v>
      </c>
      <c r="C985">
        <v>80</v>
      </c>
      <c r="D985">
        <v>79.498062133999994</v>
      </c>
      <c r="E985">
        <v>50</v>
      </c>
      <c r="F985">
        <v>49.156974792</v>
      </c>
      <c r="G985">
        <v>1345.4371338000001</v>
      </c>
      <c r="H985">
        <v>1340.8217772999999</v>
      </c>
      <c r="I985">
        <v>1322.9202881000001</v>
      </c>
      <c r="J985">
        <v>1318.7155762</v>
      </c>
      <c r="K985">
        <v>550</v>
      </c>
      <c r="L985">
        <v>0</v>
      </c>
      <c r="M985">
        <v>0</v>
      </c>
      <c r="N985">
        <v>550</v>
      </c>
    </row>
    <row r="986" spans="1:14" x14ac:dyDescent="0.25">
      <c r="A986">
        <v>1105.709165</v>
      </c>
      <c r="B986" s="1">
        <f>DATE(2013,5,10) + TIME(17,1,11)</f>
        <v>41404.709155092591</v>
      </c>
      <c r="C986">
        <v>80</v>
      </c>
      <c r="D986">
        <v>79.563255310000002</v>
      </c>
      <c r="E986">
        <v>50</v>
      </c>
      <c r="F986">
        <v>49.122989654999998</v>
      </c>
      <c r="G986">
        <v>1345.4387207</v>
      </c>
      <c r="H986">
        <v>1340.8233643000001</v>
      </c>
      <c r="I986">
        <v>1322.918457</v>
      </c>
      <c r="J986">
        <v>1318.7109375</v>
      </c>
      <c r="K986">
        <v>550</v>
      </c>
      <c r="L986">
        <v>0</v>
      </c>
      <c r="M986">
        <v>0</v>
      </c>
      <c r="N986">
        <v>550</v>
      </c>
    </row>
    <row r="987" spans="1:14" x14ac:dyDescent="0.25">
      <c r="A987">
        <v>1106.242078</v>
      </c>
      <c r="B987" s="1">
        <f>DATE(2013,5,11) + TIME(5,48,35)</f>
        <v>41405.242071759261</v>
      </c>
      <c r="C987">
        <v>80</v>
      </c>
      <c r="D987">
        <v>79.616958617999998</v>
      </c>
      <c r="E987">
        <v>50</v>
      </c>
      <c r="F987">
        <v>49.088863373000002</v>
      </c>
      <c r="G987">
        <v>1345.4388428</v>
      </c>
      <c r="H987">
        <v>1340.8238524999999</v>
      </c>
      <c r="I987">
        <v>1322.9165039</v>
      </c>
      <c r="J987">
        <v>1318.7062988</v>
      </c>
      <c r="K987">
        <v>550</v>
      </c>
      <c r="L987">
        <v>0</v>
      </c>
      <c r="M987">
        <v>0</v>
      </c>
      <c r="N987">
        <v>550</v>
      </c>
    </row>
    <row r="988" spans="1:14" x14ac:dyDescent="0.25">
      <c r="A988">
        <v>1106.783572</v>
      </c>
      <c r="B988" s="1">
        <f>DATE(2013,5,11) + TIME(18,48,20)</f>
        <v>41405.783564814818</v>
      </c>
      <c r="C988">
        <v>80</v>
      </c>
      <c r="D988">
        <v>79.661247252999999</v>
      </c>
      <c r="E988">
        <v>50</v>
      </c>
      <c r="F988">
        <v>49.054492949999997</v>
      </c>
      <c r="G988">
        <v>1345.4375</v>
      </c>
      <c r="H988">
        <v>1340.8233643000001</v>
      </c>
      <c r="I988">
        <v>1322.9144286999999</v>
      </c>
      <c r="J988">
        <v>1318.7014160000001</v>
      </c>
      <c r="K988">
        <v>550</v>
      </c>
      <c r="L988">
        <v>0</v>
      </c>
      <c r="M988">
        <v>0</v>
      </c>
      <c r="N988">
        <v>550</v>
      </c>
    </row>
    <row r="989" spans="1:14" x14ac:dyDescent="0.25">
      <c r="A989">
        <v>1107.3347900000001</v>
      </c>
      <c r="B989" s="1">
        <f>DATE(2013,5,12) + TIME(8,2,5)</f>
        <v>41406.334780092591</v>
      </c>
      <c r="C989">
        <v>80</v>
      </c>
      <c r="D989">
        <v>79.697746276999993</v>
      </c>
      <c r="E989">
        <v>50</v>
      </c>
      <c r="F989">
        <v>49.019817351999997</v>
      </c>
      <c r="G989">
        <v>1345.4349365</v>
      </c>
      <c r="H989">
        <v>1340.8217772999999</v>
      </c>
      <c r="I989">
        <v>1322.9122314000001</v>
      </c>
      <c r="J989">
        <v>1318.6965332</v>
      </c>
      <c r="K989">
        <v>550</v>
      </c>
      <c r="L989">
        <v>0</v>
      </c>
      <c r="M989">
        <v>0</v>
      </c>
      <c r="N989">
        <v>550</v>
      </c>
    </row>
    <row r="990" spans="1:14" x14ac:dyDescent="0.25">
      <c r="A990">
        <v>1107.897127</v>
      </c>
      <c r="B990" s="1">
        <f>DATE(2013,5,12) + TIME(21,31,51)</f>
        <v>41406.897118055553</v>
      </c>
      <c r="C990">
        <v>80</v>
      </c>
      <c r="D990">
        <v>79.727828978999995</v>
      </c>
      <c r="E990">
        <v>50</v>
      </c>
      <c r="F990">
        <v>48.984771729000002</v>
      </c>
      <c r="G990">
        <v>1345.4312743999999</v>
      </c>
      <c r="H990">
        <v>1340.8194579999999</v>
      </c>
      <c r="I990">
        <v>1322.9099120999999</v>
      </c>
      <c r="J990">
        <v>1318.6914062000001</v>
      </c>
      <c r="K990">
        <v>550</v>
      </c>
      <c r="L990">
        <v>0</v>
      </c>
      <c r="M990">
        <v>0</v>
      </c>
      <c r="N990">
        <v>550</v>
      </c>
    </row>
    <row r="991" spans="1:14" x14ac:dyDescent="0.25">
      <c r="A991">
        <v>1108.4720580000001</v>
      </c>
      <c r="B991" s="1">
        <f>DATE(2013,5,13) + TIME(11,19,45)</f>
        <v>41407.472048611111</v>
      </c>
      <c r="C991">
        <v>80</v>
      </c>
      <c r="D991">
        <v>79.752593993999994</v>
      </c>
      <c r="E991">
        <v>50</v>
      </c>
      <c r="F991">
        <v>48.949275970000002</v>
      </c>
      <c r="G991">
        <v>1345.4265137</v>
      </c>
      <c r="H991">
        <v>1340.8162841999999</v>
      </c>
      <c r="I991">
        <v>1322.9074707</v>
      </c>
      <c r="J991">
        <v>1318.6860352000001</v>
      </c>
      <c r="K991">
        <v>550</v>
      </c>
      <c r="L991">
        <v>0</v>
      </c>
      <c r="M991">
        <v>0</v>
      </c>
      <c r="N991">
        <v>550</v>
      </c>
    </row>
    <row r="992" spans="1:14" x14ac:dyDescent="0.25">
      <c r="A992">
        <v>1109.061213</v>
      </c>
      <c r="B992" s="1">
        <f>DATE(2013,5,14) + TIME(1,28,8)</f>
        <v>41408.061203703706</v>
      </c>
      <c r="C992">
        <v>80</v>
      </c>
      <c r="D992">
        <v>79.772979735999996</v>
      </c>
      <c r="E992">
        <v>50</v>
      </c>
      <c r="F992">
        <v>48.913253783999998</v>
      </c>
      <c r="G992">
        <v>1345.4207764</v>
      </c>
      <c r="H992">
        <v>1340.8123779</v>
      </c>
      <c r="I992">
        <v>1322.9047852000001</v>
      </c>
      <c r="J992">
        <v>1318.6805420000001</v>
      </c>
      <c r="K992">
        <v>550</v>
      </c>
      <c r="L992">
        <v>0</v>
      </c>
      <c r="M992">
        <v>0</v>
      </c>
      <c r="N992">
        <v>550</v>
      </c>
    </row>
    <row r="993" spans="1:14" x14ac:dyDescent="0.25">
      <c r="A993">
        <v>1109.6665820000001</v>
      </c>
      <c r="B993" s="1">
        <f>DATE(2013,5,14) + TIME(15,59,52)</f>
        <v>41408.666574074072</v>
      </c>
      <c r="C993">
        <v>80</v>
      </c>
      <c r="D993">
        <v>79.789756775000001</v>
      </c>
      <c r="E993">
        <v>50</v>
      </c>
      <c r="F993">
        <v>48.876605988000001</v>
      </c>
      <c r="G993">
        <v>1345.4140625</v>
      </c>
      <c r="H993">
        <v>1340.8078613</v>
      </c>
      <c r="I993">
        <v>1322.9020995999999</v>
      </c>
      <c r="J993">
        <v>1318.6748047000001</v>
      </c>
      <c r="K993">
        <v>550</v>
      </c>
      <c r="L993">
        <v>0</v>
      </c>
      <c r="M993">
        <v>0</v>
      </c>
      <c r="N993">
        <v>550</v>
      </c>
    </row>
    <row r="994" spans="1:14" x14ac:dyDescent="0.25">
      <c r="A994">
        <v>1110.2900500000001</v>
      </c>
      <c r="B994" s="1">
        <f>DATE(2013,5,15) + TIME(6,57,40)</f>
        <v>41409.290046296293</v>
      </c>
      <c r="C994">
        <v>80</v>
      </c>
      <c r="D994">
        <v>79.803543090999995</v>
      </c>
      <c r="E994">
        <v>50</v>
      </c>
      <c r="F994">
        <v>48.839252471999998</v>
      </c>
      <c r="G994">
        <v>1345.4064940999999</v>
      </c>
      <c r="H994">
        <v>1340.8027344</v>
      </c>
      <c r="I994">
        <v>1322.8991699000001</v>
      </c>
      <c r="J994">
        <v>1318.6689452999999</v>
      </c>
      <c r="K994">
        <v>550</v>
      </c>
      <c r="L994">
        <v>0</v>
      </c>
      <c r="M994">
        <v>0</v>
      </c>
      <c r="N994">
        <v>550</v>
      </c>
    </row>
    <row r="995" spans="1:14" x14ac:dyDescent="0.25">
      <c r="A995">
        <v>1110.93354</v>
      </c>
      <c r="B995" s="1">
        <f>DATE(2013,5,15) + TIME(22,24,17)</f>
        <v>41409.933530092596</v>
      </c>
      <c r="C995">
        <v>80</v>
      </c>
      <c r="D995">
        <v>79.814857482999997</v>
      </c>
      <c r="E995">
        <v>50</v>
      </c>
      <c r="F995">
        <v>48.801101684999999</v>
      </c>
      <c r="G995">
        <v>1345.3981934000001</v>
      </c>
      <c r="H995">
        <v>1340.7971190999999</v>
      </c>
      <c r="I995">
        <v>1322.8961182</v>
      </c>
      <c r="J995">
        <v>1318.6627197</v>
      </c>
      <c r="K995">
        <v>550</v>
      </c>
      <c r="L995">
        <v>0</v>
      </c>
      <c r="M995">
        <v>0</v>
      </c>
      <c r="N995">
        <v>550</v>
      </c>
    </row>
    <row r="996" spans="1:14" x14ac:dyDescent="0.25">
      <c r="A996">
        <v>1111.591756</v>
      </c>
      <c r="B996" s="1">
        <f>DATE(2013,5,16) + TIME(14,12,7)</f>
        <v>41410.591747685183</v>
      </c>
      <c r="C996">
        <v>80</v>
      </c>
      <c r="D996">
        <v>79.824058532999999</v>
      </c>
      <c r="E996">
        <v>50</v>
      </c>
      <c r="F996">
        <v>48.762432097999998</v>
      </c>
      <c r="G996">
        <v>1345.3890381000001</v>
      </c>
      <c r="H996">
        <v>1340.7910156</v>
      </c>
      <c r="I996">
        <v>1322.8929443</v>
      </c>
      <c r="J996">
        <v>1318.65625</v>
      </c>
      <c r="K996">
        <v>550</v>
      </c>
      <c r="L996">
        <v>0</v>
      </c>
      <c r="M996">
        <v>0</v>
      </c>
      <c r="N996">
        <v>550</v>
      </c>
    </row>
    <row r="997" spans="1:14" x14ac:dyDescent="0.25">
      <c r="A997">
        <v>1112.2663399999999</v>
      </c>
      <c r="B997" s="1">
        <f>DATE(2013,5,17) + TIME(6,23,31)</f>
        <v>41411.266331018516</v>
      </c>
      <c r="C997">
        <v>80</v>
      </c>
      <c r="D997">
        <v>79.831550598000007</v>
      </c>
      <c r="E997">
        <v>50</v>
      </c>
      <c r="F997">
        <v>48.723175048999998</v>
      </c>
      <c r="G997">
        <v>1345.3793945</v>
      </c>
      <c r="H997">
        <v>1340.7844238</v>
      </c>
      <c r="I997">
        <v>1322.8895264</v>
      </c>
      <c r="J997">
        <v>1318.6494141000001</v>
      </c>
      <c r="K997">
        <v>550</v>
      </c>
      <c r="L997">
        <v>0</v>
      </c>
      <c r="M997">
        <v>0</v>
      </c>
      <c r="N997">
        <v>550</v>
      </c>
    </row>
    <row r="998" spans="1:14" x14ac:dyDescent="0.25">
      <c r="A998">
        <v>1112.9588839999999</v>
      </c>
      <c r="B998" s="1">
        <f>DATE(2013,5,17) + TIME(23,0,47)</f>
        <v>41411.958877314813</v>
      </c>
      <c r="C998">
        <v>80</v>
      </c>
      <c r="D998">
        <v>79.837646484000004</v>
      </c>
      <c r="E998">
        <v>50</v>
      </c>
      <c r="F998">
        <v>48.683269500999998</v>
      </c>
      <c r="G998">
        <v>1345.3690185999999</v>
      </c>
      <c r="H998">
        <v>1340.7774658000001</v>
      </c>
      <c r="I998">
        <v>1322.8859863</v>
      </c>
      <c r="J998">
        <v>1318.6424560999999</v>
      </c>
      <c r="K998">
        <v>550</v>
      </c>
      <c r="L998">
        <v>0</v>
      </c>
      <c r="M998">
        <v>0</v>
      </c>
      <c r="N998">
        <v>550</v>
      </c>
    </row>
    <row r="999" spans="1:14" x14ac:dyDescent="0.25">
      <c r="A999">
        <v>1113.6711310000001</v>
      </c>
      <c r="B999" s="1">
        <f>DATE(2013,5,18) + TIME(16,6,25)</f>
        <v>41412.671122685184</v>
      </c>
      <c r="C999">
        <v>80</v>
      </c>
      <c r="D999">
        <v>79.842613220000004</v>
      </c>
      <c r="E999">
        <v>50</v>
      </c>
      <c r="F999">
        <v>48.642642975000001</v>
      </c>
      <c r="G999">
        <v>1345.3581543</v>
      </c>
      <c r="H999">
        <v>1340.7701416</v>
      </c>
      <c r="I999">
        <v>1322.8822021000001</v>
      </c>
      <c r="J999">
        <v>1318.6351318</v>
      </c>
      <c r="K999">
        <v>550</v>
      </c>
      <c r="L999">
        <v>0</v>
      </c>
      <c r="M999">
        <v>0</v>
      </c>
      <c r="N999">
        <v>550</v>
      </c>
    </row>
    <row r="1000" spans="1:14" x14ac:dyDescent="0.25">
      <c r="A1000">
        <v>1114.405184</v>
      </c>
      <c r="B1000" s="1">
        <f>DATE(2013,5,19) + TIME(9,43,27)</f>
        <v>41413.405173611114</v>
      </c>
      <c r="C1000">
        <v>80</v>
      </c>
      <c r="D1000">
        <v>79.846672057999996</v>
      </c>
      <c r="E1000">
        <v>50</v>
      </c>
      <c r="F1000">
        <v>48.601207733000003</v>
      </c>
      <c r="G1000">
        <v>1345.3466797000001</v>
      </c>
      <c r="H1000">
        <v>1340.7625731999999</v>
      </c>
      <c r="I1000">
        <v>1322.8782959</v>
      </c>
      <c r="J1000">
        <v>1318.6275635</v>
      </c>
      <c r="K1000">
        <v>550</v>
      </c>
      <c r="L1000">
        <v>0</v>
      </c>
      <c r="M1000">
        <v>0</v>
      </c>
      <c r="N1000">
        <v>550</v>
      </c>
    </row>
    <row r="1001" spans="1:14" x14ac:dyDescent="0.25">
      <c r="A1001">
        <v>1115.1636880000001</v>
      </c>
      <c r="B1001" s="1">
        <f>DATE(2013,5,20) + TIME(3,55,42)</f>
        <v>41414.163680555554</v>
      </c>
      <c r="C1001">
        <v>80</v>
      </c>
      <c r="D1001">
        <v>79.849998474000003</v>
      </c>
      <c r="E1001">
        <v>50</v>
      </c>
      <c r="F1001">
        <v>48.558868408000002</v>
      </c>
      <c r="G1001">
        <v>1345.3347168</v>
      </c>
      <c r="H1001">
        <v>1340.7546387</v>
      </c>
      <c r="I1001">
        <v>1322.8741454999999</v>
      </c>
      <c r="J1001">
        <v>1318.6196289</v>
      </c>
      <c r="K1001">
        <v>550</v>
      </c>
      <c r="L1001">
        <v>0</v>
      </c>
      <c r="M1001">
        <v>0</v>
      </c>
      <c r="N1001">
        <v>550</v>
      </c>
    </row>
    <row r="1002" spans="1:14" x14ac:dyDescent="0.25">
      <c r="A1002">
        <v>1115.9491330000001</v>
      </c>
      <c r="B1002" s="1">
        <f>DATE(2013,5,20) + TIME(22,46,45)</f>
        <v>41414.949131944442</v>
      </c>
      <c r="C1002">
        <v>80</v>
      </c>
      <c r="D1002">
        <v>79.852729796999995</v>
      </c>
      <c r="E1002">
        <v>50</v>
      </c>
      <c r="F1002">
        <v>48.515522003000001</v>
      </c>
      <c r="G1002">
        <v>1345.3222656</v>
      </c>
      <c r="H1002">
        <v>1340.7463379000001</v>
      </c>
      <c r="I1002">
        <v>1322.8698730000001</v>
      </c>
      <c r="J1002">
        <v>1318.6113281</v>
      </c>
      <c r="K1002">
        <v>550</v>
      </c>
      <c r="L1002">
        <v>0</v>
      </c>
      <c r="M1002">
        <v>0</v>
      </c>
      <c r="N1002">
        <v>550</v>
      </c>
    </row>
    <row r="1003" spans="1:14" x14ac:dyDescent="0.25">
      <c r="A1003">
        <v>1116.7643479999999</v>
      </c>
      <c r="B1003" s="1">
        <f>DATE(2013,5,21) + TIME(18,20,39)</f>
        <v>41415.764340277776</v>
      </c>
      <c r="C1003">
        <v>80</v>
      </c>
      <c r="D1003">
        <v>79.854972838999998</v>
      </c>
      <c r="E1003">
        <v>50</v>
      </c>
      <c r="F1003">
        <v>48.471065521</v>
      </c>
      <c r="G1003">
        <v>1345.3093262</v>
      </c>
      <c r="H1003">
        <v>1340.737793</v>
      </c>
      <c r="I1003">
        <v>1322.8652344</v>
      </c>
      <c r="J1003">
        <v>1318.6025391000001</v>
      </c>
      <c r="K1003">
        <v>550</v>
      </c>
      <c r="L1003">
        <v>0</v>
      </c>
      <c r="M1003">
        <v>0</v>
      </c>
      <c r="N1003">
        <v>550</v>
      </c>
    </row>
    <row r="1004" spans="1:14" x14ac:dyDescent="0.25">
      <c r="A1004">
        <v>1117.6125239999999</v>
      </c>
      <c r="B1004" s="1">
        <f>DATE(2013,5,22) + TIME(14,42,2)</f>
        <v>41416.612523148149</v>
      </c>
      <c r="C1004">
        <v>80</v>
      </c>
      <c r="D1004">
        <v>79.856819153000004</v>
      </c>
      <c r="E1004">
        <v>50</v>
      </c>
      <c r="F1004">
        <v>48.425384520999998</v>
      </c>
      <c r="G1004">
        <v>1345.2958983999999</v>
      </c>
      <c r="H1004">
        <v>1340.7290039</v>
      </c>
      <c r="I1004">
        <v>1322.8603516000001</v>
      </c>
      <c r="J1004">
        <v>1318.5933838000001</v>
      </c>
      <c r="K1004">
        <v>550</v>
      </c>
      <c r="L1004">
        <v>0</v>
      </c>
      <c r="M1004">
        <v>0</v>
      </c>
      <c r="N1004">
        <v>550</v>
      </c>
    </row>
    <row r="1005" spans="1:14" x14ac:dyDescent="0.25">
      <c r="A1005">
        <v>1118.4974709999999</v>
      </c>
      <c r="B1005" s="1">
        <f>DATE(2013,5,23) + TIME(11,56,21)</f>
        <v>41417.497465277775</v>
      </c>
      <c r="C1005">
        <v>80</v>
      </c>
      <c r="D1005">
        <v>79.858352660999998</v>
      </c>
      <c r="E1005">
        <v>50</v>
      </c>
      <c r="F1005">
        <v>48.378341675000001</v>
      </c>
      <c r="G1005">
        <v>1345.2819824000001</v>
      </c>
      <c r="H1005">
        <v>1340.7198486</v>
      </c>
      <c r="I1005">
        <v>1322.8553466999999</v>
      </c>
      <c r="J1005">
        <v>1318.5836182</v>
      </c>
      <c r="K1005">
        <v>550</v>
      </c>
      <c r="L1005">
        <v>0</v>
      </c>
      <c r="M1005">
        <v>0</v>
      </c>
      <c r="N1005">
        <v>550</v>
      </c>
    </row>
    <row r="1006" spans="1:14" x14ac:dyDescent="0.25">
      <c r="A1006">
        <v>1119.4129439999999</v>
      </c>
      <c r="B1006" s="1">
        <f>DATE(2013,5,24) + TIME(9,54,38)</f>
        <v>41418.412939814814</v>
      </c>
      <c r="C1006">
        <v>80</v>
      </c>
      <c r="D1006">
        <v>79.859603882000002</v>
      </c>
      <c r="E1006">
        <v>50</v>
      </c>
      <c r="F1006">
        <v>48.330226897999999</v>
      </c>
      <c r="G1006">
        <v>1345.2674560999999</v>
      </c>
      <c r="H1006">
        <v>1340.7103271000001</v>
      </c>
      <c r="I1006">
        <v>1322.8498535000001</v>
      </c>
      <c r="J1006">
        <v>1318.5733643000001</v>
      </c>
      <c r="K1006">
        <v>550</v>
      </c>
      <c r="L1006">
        <v>0</v>
      </c>
      <c r="M1006">
        <v>0</v>
      </c>
      <c r="N1006">
        <v>550</v>
      </c>
    </row>
    <row r="1007" spans="1:14" x14ac:dyDescent="0.25">
      <c r="A1007">
        <v>1120.357935</v>
      </c>
      <c r="B1007" s="1">
        <f>DATE(2013,5,25) + TIME(8,35,25)</f>
        <v>41419.357928240737</v>
      </c>
      <c r="C1007">
        <v>80</v>
      </c>
      <c r="D1007">
        <v>79.860641478999995</v>
      </c>
      <c r="E1007">
        <v>50</v>
      </c>
      <c r="F1007">
        <v>48.281131744</v>
      </c>
      <c r="G1007">
        <v>1345.2525635</v>
      </c>
      <c r="H1007">
        <v>1340.7006836</v>
      </c>
      <c r="I1007">
        <v>1322.8441161999999</v>
      </c>
      <c r="J1007">
        <v>1318.5626221</v>
      </c>
      <c r="K1007">
        <v>550</v>
      </c>
      <c r="L1007">
        <v>0</v>
      </c>
      <c r="M1007">
        <v>0</v>
      </c>
      <c r="N1007">
        <v>550</v>
      </c>
    </row>
    <row r="1008" spans="1:14" x14ac:dyDescent="0.25">
      <c r="A1008">
        <v>1121.335881</v>
      </c>
      <c r="B1008" s="1">
        <f>DATE(2013,5,26) + TIME(8,3,40)</f>
        <v>41420.335879629631</v>
      </c>
      <c r="C1008">
        <v>80</v>
      </c>
      <c r="D1008">
        <v>79.861488342000001</v>
      </c>
      <c r="E1008">
        <v>50</v>
      </c>
      <c r="F1008">
        <v>48.230941772000001</v>
      </c>
      <c r="G1008">
        <v>1345.2374268000001</v>
      </c>
      <c r="H1008">
        <v>1340.690918</v>
      </c>
      <c r="I1008">
        <v>1322.8381348</v>
      </c>
      <c r="J1008">
        <v>1318.5512695</v>
      </c>
      <c r="K1008">
        <v>550</v>
      </c>
      <c r="L1008">
        <v>0</v>
      </c>
      <c r="M1008">
        <v>0</v>
      </c>
      <c r="N1008">
        <v>550</v>
      </c>
    </row>
    <row r="1009" spans="1:14" x14ac:dyDescent="0.25">
      <c r="A1009">
        <v>1122.34725</v>
      </c>
      <c r="B1009" s="1">
        <f>DATE(2013,5,27) + TIME(8,20,2)</f>
        <v>41421.347245370373</v>
      </c>
      <c r="C1009">
        <v>80</v>
      </c>
      <c r="D1009">
        <v>79.862190247000001</v>
      </c>
      <c r="E1009">
        <v>50</v>
      </c>
      <c r="F1009">
        <v>48.1796875</v>
      </c>
      <c r="G1009">
        <v>1345.2219238</v>
      </c>
      <c r="H1009">
        <v>1340.6809082</v>
      </c>
      <c r="I1009">
        <v>1322.8319091999999</v>
      </c>
      <c r="J1009">
        <v>1318.5394286999999</v>
      </c>
      <c r="K1009">
        <v>550</v>
      </c>
      <c r="L1009">
        <v>0</v>
      </c>
      <c r="M1009">
        <v>0</v>
      </c>
      <c r="N1009">
        <v>550</v>
      </c>
    </row>
    <row r="1010" spans="1:14" x14ac:dyDescent="0.25">
      <c r="A1010">
        <v>1123.3747040000001</v>
      </c>
      <c r="B1010" s="1">
        <f>DATE(2013,5,28) + TIME(8,59,34)</f>
        <v>41422.374699074076</v>
      </c>
      <c r="C1010">
        <v>80</v>
      </c>
      <c r="D1010">
        <v>79.862762450999995</v>
      </c>
      <c r="E1010">
        <v>50</v>
      </c>
      <c r="F1010">
        <v>48.128101348999998</v>
      </c>
      <c r="G1010">
        <v>1345.2061768000001</v>
      </c>
      <c r="H1010">
        <v>1340.6707764</v>
      </c>
      <c r="I1010">
        <v>1322.8253173999999</v>
      </c>
      <c r="J1010">
        <v>1318.5270995999999</v>
      </c>
      <c r="K1010">
        <v>550</v>
      </c>
      <c r="L1010">
        <v>0</v>
      </c>
      <c r="M1010">
        <v>0</v>
      </c>
      <c r="N1010">
        <v>550</v>
      </c>
    </row>
    <row r="1011" spans="1:14" x14ac:dyDescent="0.25">
      <c r="A1011">
        <v>1124.4219949999999</v>
      </c>
      <c r="B1011" s="1">
        <f>DATE(2013,5,29) + TIME(10,7,40)</f>
        <v>41423.421990740739</v>
      </c>
      <c r="C1011">
        <v>80</v>
      </c>
      <c r="D1011">
        <v>79.863227843999994</v>
      </c>
      <c r="E1011">
        <v>50</v>
      </c>
      <c r="F1011">
        <v>48.076091765999998</v>
      </c>
      <c r="G1011">
        <v>1345.1903076000001</v>
      </c>
      <c r="H1011">
        <v>1340.6605225000001</v>
      </c>
      <c r="I1011">
        <v>1322.8184814000001</v>
      </c>
      <c r="J1011">
        <v>1318.5142822</v>
      </c>
      <c r="K1011">
        <v>550</v>
      </c>
      <c r="L1011">
        <v>0</v>
      </c>
      <c r="M1011">
        <v>0</v>
      </c>
      <c r="N1011">
        <v>550</v>
      </c>
    </row>
    <row r="1012" spans="1:14" x14ac:dyDescent="0.25">
      <c r="A1012">
        <v>1125.492784</v>
      </c>
      <c r="B1012" s="1">
        <f>DATE(2013,5,30) + TIME(11,49,36)</f>
        <v>41424.492777777778</v>
      </c>
      <c r="C1012">
        <v>80</v>
      </c>
      <c r="D1012">
        <v>79.863601685000006</v>
      </c>
      <c r="E1012">
        <v>50</v>
      </c>
      <c r="F1012">
        <v>48.023574828999998</v>
      </c>
      <c r="G1012">
        <v>1345.1744385</v>
      </c>
      <c r="H1012">
        <v>1340.6503906</v>
      </c>
      <c r="I1012">
        <v>1322.8114014</v>
      </c>
      <c r="J1012">
        <v>1318.5010986</v>
      </c>
      <c r="K1012">
        <v>550</v>
      </c>
      <c r="L1012">
        <v>0</v>
      </c>
      <c r="M1012">
        <v>0</v>
      </c>
      <c r="N1012">
        <v>550</v>
      </c>
    </row>
    <row r="1013" spans="1:14" x14ac:dyDescent="0.25">
      <c r="A1013">
        <v>1126.5910019999999</v>
      </c>
      <c r="B1013" s="1">
        <f>DATE(2013,5,31) + TIME(14,11,2)</f>
        <v>41425.590995370374</v>
      </c>
      <c r="C1013">
        <v>80</v>
      </c>
      <c r="D1013">
        <v>79.863914489999999</v>
      </c>
      <c r="E1013">
        <v>50</v>
      </c>
      <c r="F1013">
        <v>47.970455170000001</v>
      </c>
      <c r="G1013">
        <v>1345.1585693</v>
      </c>
      <c r="H1013">
        <v>1340.6402588000001</v>
      </c>
      <c r="I1013">
        <v>1322.8040771000001</v>
      </c>
      <c r="J1013">
        <v>1318.4874268000001</v>
      </c>
      <c r="K1013">
        <v>550</v>
      </c>
      <c r="L1013">
        <v>0</v>
      </c>
      <c r="M1013">
        <v>0</v>
      </c>
      <c r="N1013">
        <v>550</v>
      </c>
    </row>
    <row r="1014" spans="1:14" x14ac:dyDescent="0.25">
      <c r="A1014">
        <v>1127</v>
      </c>
      <c r="B1014" s="1">
        <f>DATE(2013,6,1) + TIME(0,0,0)</f>
        <v>41426</v>
      </c>
      <c r="C1014">
        <v>80</v>
      </c>
      <c r="D1014">
        <v>79.863998413000004</v>
      </c>
      <c r="E1014">
        <v>50</v>
      </c>
      <c r="F1014">
        <v>47.947635650999999</v>
      </c>
      <c r="G1014">
        <v>1345.1429443</v>
      </c>
      <c r="H1014">
        <v>1340.6303711</v>
      </c>
      <c r="I1014">
        <v>1322.7969971</v>
      </c>
      <c r="J1014">
        <v>1318.4757079999999</v>
      </c>
      <c r="K1014">
        <v>550</v>
      </c>
      <c r="L1014">
        <v>0</v>
      </c>
      <c r="M1014">
        <v>0</v>
      </c>
      <c r="N1014">
        <v>550</v>
      </c>
    </row>
    <row r="1015" spans="1:14" x14ac:dyDescent="0.25">
      <c r="A1015">
        <v>1128.110079</v>
      </c>
      <c r="B1015" s="1">
        <f>DATE(2013,6,2) + TIME(2,38,30)</f>
        <v>41427.110069444447</v>
      </c>
      <c r="C1015">
        <v>80</v>
      </c>
      <c r="D1015">
        <v>79.864234924000002</v>
      </c>
      <c r="E1015">
        <v>50</v>
      </c>
      <c r="F1015">
        <v>47.895458220999998</v>
      </c>
      <c r="G1015">
        <v>1345.1365966999999</v>
      </c>
      <c r="H1015">
        <v>1340.6263428</v>
      </c>
      <c r="I1015">
        <v>1322.793457</v>
      </c>
      <c r="J1015">
        <v>1318.4674072</v>
      </c>
      <c r="K1015">
        <v>550</v>
      </c>
      <c r="L1015">
        <v>0</v>
      </c>
      <c r="M1015">
        <v>0</v>
      </c>
      <c r="N1015">
        <v>550</v>
      </c>
    </row>
    <row r="1016" spans="1:14" x14ac:dyDescent="0.25">
      <c r="A1016">
        <v>1129.241372</v>
      </c>
      <c r="B1016" s="1">
        <f>DATE(2013,6,3) + TIME(5,47,34)</f>
        <v>41428.241365740738</v>
      </c>
      <c r="C1016">
        <v>80</v>
      </c>
      <c r="D1016">
        <v>79.864418029999996</v>
      </c>
      <c r="E1016">
        <v>50</v>
      </c>
      <c r="F1016">
        <v>47.842895507999998</v>
      </c>
      <c r="G1016">
        <v>1345.1208495999999</v>
      </c>
      <c r="H1016">
        <v>1340.6163329999999</v>
      </c>
      <c r="I1016">
        <v>1322.7857666</v>
      </c>
      <c r="J1016">
        <v>1318.4528809000001</v>
      </c>
      <c r="K1016">
        <v>550</v>
      </c>
      <c r="L1016">
        <v>0</v>
      </c>
      <c r="M1016">
        <v>0</v>
      </c>
      <c r="N1016">
        <v>550</v>
      </c>
    </row>
    <row r="1017" spans="1:14" x14ac:dyDescent="0.25">
      <c r="A1017">
        <v>1130.391363</v>
      </c>
      <c r="B1017" s="1">
        <f>DATE(2013,6,4) + TIME(9,23,33)</f>
        <v>41429.39135416667</v>
      </c>
      <c r="C1017">
        <v>80</v>
      </c>
      <c r="D1017">
        <v>79.864562988000003</v>
      </c>
      <c r="E1017">
        <v>50</v>
      </c>
      <c r="F1017">
        <v>47.790115356000001</v>
      </c>
      <c r="G1017">
        <v>1345.1049805</v>
      </c>
      <c r="H1017">
        <v>1340.6063231999999</v>
      </c>
      <c r="I1017">
        <v>1322.7777100000001</v>
      </c>
      <c r="J1017">
        <v>1318.4378661999999</v>
      </c>
      <c r="K1017">
        <v>550</v>
      </c>
      <c r="L1017">
        <v>0</v>
      </c>
      <c r="M1017">
        <v>0</v>
      </c>
      <c r="N1017">
        <v>550</v>
      </c>
    </row>
    <row r="1018" spans="1:14" x14ac:dyDescent="0.25">
      <c r="A1018">
        <v>1131.564963</v>
      </c>
      <c r="B1018" s="1">
        <f>DATE(2013,6,5) + TIME(13,33,32)</f>
        <v>41430.564953703702</v>
      </c>
      <c r="C1018">
        <v>80</v>
      </c>
      <c r="D1018">
        <v>79.864677428999997</v>
      </c>
      <c r="E1018">
        <v>50</v>
      </c>
      <c r="F1018">
        <v>47.737026215</v>
      </c>
      <c r="G1018">
        <v>1345.0892334</v>
      </c>
      <c r="H1018">
        <v>1340.5963135</v>
      </c>
      <c r="I1018">
        <v>1322.7695312000001</v>
      </c>
      <c r="J1018">
        <v>1318.4224853999999</v>
      </c>
      <c r="K1018">
        <v>550</v>
      </c>
      <c r="L1018">
        <v>0</v>
      </c>
      <c r="M1018">
        <v>0</v>
      </c>
      <c r="N1018">
        <v>550</v>
      </c>
    </row>
    <row r="1019" spans="1:14" x14ac:dyDescent="0.25">
      <c r="A1019">
        <v>1132.766032</v>
      </c>
      <c r="B1019" s="1">
        <f>DATE(2013,6,6) + TIME(18,23,5)</f>
        <v>41431.766030092593</v>
      </c>
      <c r="C1019">
        <v>80</v>
      </c>
      <c r="D1019">
        <v>79.864761353000006</v>
      </c>
      <c r="E1019">
        <v>50</v>
      </c>
      <c r="F1019">
        <v>47.683567046999997</v>
      </c>
      <c r="G1019">
        <v>1345.0734863</v>
      </c>
      <c r="H1019">
        <v>1340.5864257999999</v>
      </c>
      <c r="I1019">
        <v>1322.7611084</v>
      </c>
      <c r="J1019">
        <v>1318.4064940999999</v>
      </c>
      <c r="K1019">
        <v>550</v>
      </c>
      <c r="L1019">
        <v>0</v>
      </c>
      <c r="M1019">
        <v>0</v>
      </c>
      <c r="N1019">
        <v>550</v>
      </c>
    </row>
    <row r="1020" spans="1:14" x14ac:dyDescent="0.25">
      <c r="A1020">
        <v>1133.9983999999999</v>
      </c>
      <c r="B1020" s="1">
        <f>DATE(2013,6,7) + TIME(23,57,41)</f>
        <v>41432.998391203706</v>
      </c>
      <c r="C1020">
        <v>80</v>
      </c>
      <c r="D1020">
        <v>79.864830017000003</v>
      </c>
      <c r="E1020">
        <v>50</v>
      </c>
      <c r="F1020">
        <v>47.629680634000003</v>
      </c>
      <c r="G1020">
        <v>1345.0576172000001</v>
      </c>
      <c r="H1020">
        <v>1340.5765381000001</v>
      </c>
      <c r="I1020">
        <v>1322.7523193</v>
      </c>
      <c r="J1020">
        <v>1318.3900146000001</v>
      </c>
      <c r="K1020">
        <v>550</v>
      </c>
      <c r="L1020">
        <v>0</v>
      </c>
      <c r="M1020">
        <v>0</v>
      </c>
      <c r="N1020">
        <v>550</v>
      </c>
    </row>
    <row r="1021" spans="1:14" x14ac:dyDescent="0.25">
      <c r="A1021">
        <v>1135.2663130000001</v>
      </c>
      <c r="B1021" s="1">
        <f>DATE(2013,6,9) + TIME(6,23,29)</f>
        <v>41434.26630787037</v>
      </c>
      <c r="C1021">
        <v>80</v>
      </c>
      <c r="D1021">
        <v>79.864875792999996</v>
      </c>
      <c r="E1021">
        <v>50</v>
      </c>
      <c r="F1021">
        <v>47.575290680000002</v>
      </c>
      <c r="G1021">
        <v>1345.0417480000001</v>
      </c>
      <c r="H1021">
        <v>1340.5665283000001</v>
      </c>
      <c r="I1021">
        <v>1322.7432861</v>
      </c>
      <c r="J1021">
        <v>1318.3729248</v>
      </c>
      <c r="K1021">
        <v>550</v>
      </c>
      <c r="L1021">
        <v>0</v>
      </c>
      <c r="M1021">
        <v>0</v>
      </c>
      <c r="N1021">
        <v>550</v>
      </c>
    </row>
    <row r="1022" spans="1:14" x14ac:dyDescent="0.25">
      <c r="A1022">
        <v>1136.574494</v>
      </c>
      <c r="B1022" s="1">
        <f>DATE(2013,6,10) + TIME(13,47,16)</f>
        <v>41435.574490740742</v>
      </c>
      <c r="C1022">
        <v>80</v>
      </c>
      <c r="D1022">
        <v>79.864913939999994</v>
      </c>
      <c r="E1022">
        <v>50</v>
      </c>
      <c r="F1022">
        <v>47.520332336000003</v>
      </c>
      <c r="G1022">
        <v>1345.0256348</v>
      </c>
      <c r="H1022">
        <v>1340.5563964999999</v>
      </c>
      <c r="I1022">
        <v>1322.7340088000001</v>
      </c>
      <c r="J1022">
        <v>1318.3552245999999</v>
      </c>
      <c r="K1022">
        <v>550</v>
      </c>
      <c r="L1022">
        <v>0</v>
      </c>
      <c r="M1022">
        <v>0</v>
      </c>
      <c r="N1022">
        <v>550</v>
      </c>
    </row>
    <row r="1023" spans="1:14" x14ac:dyDescent="0.25">
      <c r="A1023">
        <v>1137.9282370000001</v>
      </c>
      <c r="B1023" s="1">
        <f>DATE(2013,6,11) + TIME(22,16,39)</f>
        <v>41436.928229166668</v>
      </c>
      <c r="C1023">
        <v>80</v>
      </c>
      <c r="D1023">
        <v>79.864929199000002</v>
      </c>
      <c r="E1023">
        <v>50</v>
      </c>
      <c r="F1023">
        <v>47.464721679999997</v>
      </c>
      <c r="G1023">
        <v>1345.0095214999999</v>
      </c>
      <c r="H1023">
        <v>1340.5462646000001</v>
      </c>
      <c r="I1023">
        <v>1322.7242432</v>
      </c>
      <c r="J1023">
        <v>1318.3366699000001</v>
      </c>
      <c r="K1023">
        <v>550</v>
      </c>
      <c r="L1023">
        <v>0</v>
      </c>
      <c r="M1023">
        <v>0</v>
      </c>
      <c r="N1023">
        <v>550</v>
      </c>
    </row>
    <row r="1024" spans="1:14" x14ac:dyDescent="0.25">
      <c r="A1024">
        <v>1139.3201329999999</v>
      </c>
      <c r="B1024" s="1">
        <f>DATE(2013,6,13) + TIME(7,40,59)</f>
        <v>41438.320127314815</v>
      </c>
      <c r="C1024">
        <v>80</v>
      </c>
      <c r="D1024">
        <v>79.864936829000001</v>
      </c>
      <c r="E1024">
        <v>50</v>
      </c>
      <c r="F1024">
        <v>47.408767699999999</v>
      </c>
      <c r="G1024">
        <v>1344.9930420000001</v>
      </c>
      <c r="H1024">
        <v>1340.5360106999999</v>
      </c>
      <c r="I1024">
        <v>1322.7141113</v>
      </c>
      <c r="J1024">
        <v>1318.3175048999999</v>
      </c>
      <c r="K1024">
        <v>550</v>
      </c>
      <c r="L1024">
        <v>0</v>
      </c>
      <c r="M1024">
        <v>0</v>
      </c>
      <c r="N1024">
        <v>550</v>
      </c>
    </row>
    <row r="1025" spans="1:14" x14ac:dyDescent="0.25">
      <c r="A1025">
        <v>1140.7388350000001</v>
      </c>
      <c r="B1025" s="1">
        <f>DATE(2013,6,14) + TIME(17,43,55)</f>
        <v>41439.73883101852</v>
      </c>
      <c r="C1025">
        <v>80</v>
      </c>
      <c r="D1025">
        <v>79.864936829000001</v>
      </c>
      <c r="E1025">
        <v>50</v>
      </c>
      <c r="F1025">
        <v>47.352909087999997</v>
      </c>
      <c r="G1025">
        <v>1344.9764404</v>
      </c>
      <c r="H1025">
        <v>1340.5257568</v>
      </c>
      <c r="I1025">
        <v>1322.7037353999999</v>
      </c>
      <c r="J1025">
        <v>1318.2976074000001</v>
      </c>
      <c r="K1025">
        <v>550</v>
      </c>
      <c r="L1025">
        <v>0</v>
      </c>
      <c r="M1025">
        <v>0</v>
      </c>
      <c r="N1025">
        <v>550</v>
      </c>
    </row>
    <row r="1026" spans="1:14" x14ac:dyDescent="0.25">
      <c r="A1026">
        <v>1142.189061</v>
      </c>
      <c r="B1026" s="1">
        <f>DATE(2013,6,16) + TIME(4,32,14)</f>
        <v>41441.189050925925</v>
      </c>
      <c r="C1026">
        <v>80</v>
      </c>
      <c r="D1026">
        <v>79.864921570000007</v>
      </c>
      <c r="E1026">
        <v>50</v>
      </c>
      <c r="F1026">
        <v>47.297142029</v>
      </c>
      <c r="G1026">
        <v>1344.9599608999999</v>
      </c>
      <c r="H1026">
        <v>1340.5153809000001</v>
      </c>
      <c r="I1026">
        <v>1322.6929932</v>
      </c>
      <c r="J1026">
        <v>1318.2772216999999</v>
      </c>
      <c r="K1026">
        <v>550</v>
      </c>
      <c r="L1026">
        <v>0</v>
      </c>
      <c r="M1026">
        <v>0</v>
      </c>
      <c r="N1026">
        <v>550</v>
      </c>
    </row>
    <row r="1027" spans="1:14" x14ac:dyDescent="0.25">
      <c r="A1027">
        <v>1143.6773760000001</v>
      </c>
      <c r="B1027" s="1">
        <f>DATE(2013,6,17) + TIME(16,15,25)</f>
        <v>41442.677372685182</v>
      </c>
      <c r="C1027">
        <v>80</v>
      </c>
      <c r="D1027">
        <v>79.864906310999999</v>
      </c>
      <c r="E1027">
        <v>50</v>
      </c>
      <c r="F1027">
        <v>47.241413115999997</v>
      </c>
      <c r="G1027">
        <v>1344.9434814000001</v>
      </c>
      <c r="H1027">
        <v>1340.5051269999999</v>
      </c>
      <c r="I1027">
        <v>1322.6820068</v>
      </c>
      <c r="J1027">
        <v>1318.2562256000001</v>
      </c>
      <c r="K1027">
        <v>550</v>
      </c>
      <c r="L1027">
        <v>0</v>
      </c>
      <c r="M1027">
        <v>0</v>
      </c>
      <c r="N1027">
        <v>550</v>
      </c>
    </row>
    <row r="1028" spans="1:14" x14ac:dyDescent="0.25">
      <c r="A1028">
        <v>1145.208719</v>
      </c>
      <c r="B1028" s="1">
        <f>DATE(2013,6,19) + TIME(5,0,33)</f>
        <v>41444.208715277775</v>
      </c>
      <c r="C1028">
        <v>80</v>
      </c>
      <c r="D1028">
        <v>79.864883422999995</v>
      </c>
      <c r="E1028">
        <v>50</v>
      </c>
      <c r="F1028">
        <v>47.185722351000003</v>
      </c>
      <c r="G1028">
        <v>1344.9267577999999</v>
      </c>
      <c r="H1028">
        <v>1340.494751</v>
      </c>
      <c r="I1028">
        <v>1322.6707764</v>
      </c>
      <c r="J1028">
        <v>1318.2344971</v>
      </c>
      <c r="K1028">
        <v>550</v>
      </c>
      <c r="L1028">
        <v>0</v>
      </c>
      <c r="M1028">
        <v>0</v>
      </c>
      <c r="N1028">
        <v>550</v>
      </c>
    </row>
    <row r="1029" spans="1:14" x14ac:dyDescent="0.25">
      <c r="A1029">
        <v>1146.7887049999999</v>
      </c>
      <c r="B1029" s="1">
        <f>DATE(2013,6,20) + TIME(18,55,44)</f>
        <v>41445.788703703707</v>
      </c>
      <c r="C1029">
        <v>80</v>
      </c>
      <c r="D1029">
        <v>79.864852905000006</v>
      </c>
      <c r="E1029">
        <v>50</v>
      </c>
      <c r="F1029">
        <v>47.130065918</v>
      </c>
      <c r="G1029">
        <v>1344.9100341999999</v>
      </c>
      <c r="H1029">
        <v>1340.484375</v>
      </c>
      <c r="I1029">
        <v>1322.6591797000001</v>
      </c>
      <c r="J1029">
        <v>1318.2120361</v>
      </c>
      <c r="K1029">
        <v>550</v>
      </c>
      <c r="L1029">
        <v>0</v>
      </c>
      <c r="M1029">
        <v>0</v>
      </c>
      <c r="N1029">
        <v>550</v>
      </c>
    </row>
    <row r="1030" spans="1:14" x14ac:dyDescent="0.25">
      <c r="A1030">
        <v>1148.4220740000001</v>
      </c>
      <c r="B1030" s="1">
        <f>DATE(2013,6,22) + TIME(10,7,47)</f>
        <v>41447.422071759262</v>
      </c>
      <c r="C1030">
        <v>80</v>
      </c>
      <c r="D1030">
        <v>79.864830017000003</v>
      </c>
      <c r="E1030">
        <v>50</v>
      </c>
      <c r="F1030">
        <v>47.074489593999999</v>
      </c>
      <c r="G1030">
        <v>1344.8931885</v>
      </c>
      <c r="H1030">
        <v>1340.4738769999999</v>
      </c>
      <c r="I1030">
        <v>1322.6470947</v>
      </c>
      <c r="J1030">
        <v>1318.1888428</v>
      </c>
      <c r="K1030">
        <v>550</v>
      </c>
      <c r="L1030">
        <v>0</v>
      </c>
      <c r="M1030">
        <v>0</v>
      </c>
      <c r="N1030">
        <v>550</v>
      </c>
    </row>
    <row r="1031" spans="1:14" x14ac:dyDescent="0.25">
      <c r="A1031">
        <v>1150.072506</v>
      </c>
      <c r="B1031" s="1">
        <f>DATE(2013,6,24) + TIME(1,44,24)</f>
        <v>41449.072500000002</v>
      </c>
      <c r="C1031">
        <v>80</v>
      </c>
      <c r="D1031">
        <v>79.864791870000005</v>
      </c>
      <c r="E1031">
        <v>50</v>
      </c>
      <c r="F1031">
        <v>47.019996642999999</v>
      </c>
      <c r="G1031">
        <v>1344.8759766000001</v>
      </c>
      <c r="H1031">
        <v>1340.4632568</v>
      </c>
      <c r="I1031">
        <v>1322.6347656</v>
      </c>
      <c r="J1031">
        <v>1318.1649170000001</v>
      </c>
      <c r="K1031">
        <v>550</v>
      </c>
      <c r="L1031">
        <v>0</v>
      </c>
      <c r="M1031">
        <v>0</v>
      </c>
      <c r="N1031">
        <v>550</v>
      </c>
    </row>
    <row r="1032" spans="1:14" x14ac:dyDescent="0.25">
      <c r="A1032">
        <v>1151.745662</v>
      </c>
      <c r="B1032" s="1">
        <f>DATE(2013,6,25) + TIME(17,53,45)</f>
        <v>41450.745659722219</v>
      </c>
      <c r="C1032">
        <v>80</v>
      </c>
      <c r="D1032">
        <v>79.864761353000006</v>
      </c>
      <c r="E1032">
        <v>50</v>
      </c>
      <c r="F1032">
        <v>46.966682433999999</v>
      </c>
      <c r="G1032">
        <v>1344.8591309000001</v>
      </c>
      <c r="H1032">
        <v>1340.4527588000001</v>
      </c>
      <c r="I1032">
        <v>1322.6223144999999</v>
      </c>
      <c r="J1032">
        <v>1318.140625</v>
      </c>
      <c r="K1032">
        <v>550</v>
      </c>
      <c r="L1032">
        <v>0</v>
      </c>
      <c r="M1032">
        <v>0</v>
      </c>
      <c r="N1032">
        <v>550</v>
      </c>
    </row>
    <row r="1033" spans="1:14" x14ac:dyDescent="0.25">
      <c r="A1033">
        <v>1153.4471610000001</v>
      </c>
      <c r="B1033" s="1">
        <f>DATE(2013,6,27) + TIME(10,43,54)</f>
        <v>41452.447152777779</v>
      </c>
      <c r="C1033">
        <v>80</v>
      </c>
      <c r="D1033">
        <v>79.864723205999994</v>
      </c>
      <c r="E1033">
        <v>50</v>
      </c>
      <c r="F1033">
        <v>46.914615630999997</v>
      </c>
      <c r="G1033">
        <v>1344.8422852000001</v>
      </c>
      <c r="H1033">
        <v>1340.4422606999999</v>
      </c>
      <c r="I1033">
        <v>1322.6097411999999</v>
      </c>
      <c r="J1033">
        <v>1318.1158447</v>
      </c>
      <c r="K1033">
        <v>550</v>
      </c>
      <c r="L1033">
        <v>0</v>
      </c>
      <c r="M1033">
        <v>0</v>
      </c>
      <c r="N1033">
        <v>550</v>
      </c>
    </row>
    <row r="1034" spans="1:14" x14ac:dyDescent="0.25">
      <c r="A1034">
        <v>1155.18281</v>
      </c>
      <c r="B1034" s="1">
        <f>DATE(2013,6,29) + TIME(4,23,14)</f>
        <v>41454.182800925926</v>
      </c>
      <c r="C1034">
        <v>80</v>
      </c>
      <c r="D1034">
        <v>79.864692688000005</v>
      </c>
      <c r="E1034">
        <v>50</v>
      </c>
      <c r="F1034">
        <v>46.863864898999999</v>
      </c>
      <c r="G1034">
        <v>1344.8254394999999</v>
      </c>
      <c r="H1034">
        <v>1340.4318848</v>
      </c>
      <c r="I1034">
        <v>1322.5969238</v>
      </c>
      <c r="J1034">
        <v>1318.0906981999999</v>
      </c>
      <c r="K1034">
        <v>550</v>
      </c>
      <c r="L1034">
        <v>0</v>
      </c>
      <c r="M1034">
        <v>0</v>
      </c>
      <c r="N1034">
        <v>550</v>
      </c>
    </row>
    <row r="1035" spans="1:14" x14ac:dyDescent="0.25">
      <c r="A1035">
        <v>1157</v>
      </c>
      <c r="B1035" s="1">
        <f>DATE(2013,7,1) + TIME(0,0,0)</f>
        <v>41456</v>
      </c>
      <c r="C1035">
        <v>80</v>
      </c>
      <c r="D1035">
        <v>79.864662170000003</v>
      </c>
      <c r="E1035">
        <v>50</v>
      </c>
      <c r="F1035">
        <v>46.813739777000002</v>
      </c>
      <c r="G1035">
        <v>1344.8087158000001</v>
      </c>
      <c r="H1035">
        <v>1340.4213867000001</v>
      </c>
      <c r="I1035">
        <v>1322.5838623</v>
      </c>
      <c r="J1035">
        <v>1318.0648193</v>
      </c>
      <c r="K1035">
        <v>550</v>
      </c>
      <c r="L1035">
        <v>0</v>
      </c>
      <c r="M1035">
        <v>0</v>
      </c>
      <c r="N1035">
        <v>550</v>
      </c>
    </row>
    <row r="1036" spans="1:14" x14ac:dyDescent="0.25">
      <c r="A1036">
        <v>1158.775963</v>
      </c>
      <c r="B1036" s="1">
        <f>DATE(2013,7,2) + TIME(18,37,23)</f>
        <v>41457.775960648149</v>
      </c>
      <c r="C1036">
        <v>80</v>
      </c>
      <c r="D1036">
        <v>79.864624023000005</v>
      </c>
      <c r="E1036">
        <v>50</v>
      </c>
      <c r="F1036">
        <v>46.766654967999997</v>
      </c>
      <c r="G1036">
        <v>1344.7915039</v>
      </c>
      <c r="H1036">
        <v>1340.4107666</v>
      </c>
      <c r="I1036">
        <v>1322.5704346</v>
      </c>
      <c r="J1036">
        <v>1318.0383300999999</v>
      </c>
      <c r="K1036">
        <v>550</v>
      </c>
      <c r="L1036">
        <v>0</v>
      </c>
      <c r="M1036">
        <v>0</v>
      </c>
      <c r="N1036">
        <v>550</v>
      </c>
    </row>
    <row r="1037" spans="1:14" x14ac:dyDescent="0.25">
      <c r="A1037">
        <v>1160.654321</v>
      </c>
      <c r="B1037" s="1">
        <f>DATE(2013,7,4) + TIME(15,42,13)</f>
        <v>41459.654317129629</v>
      </c>
      <c r="C1037">
        <v>80</v>
      </c>
      <c r="D1037">
        <v>79.864593506000006</v>
      </c>
      <c r="E1037">
        <v>50</v>
      </c>
      <c r="F1037">
        <v>46.720451355000002</v>
      </c>
      <c r="G1037">
        <v>1344.7750243999999</v>
      </c>
      <c r="H1037">
        <v>1340.4005127</v>
      </c>
      <c r="I1037">
        <v>1322.557251</v>
      </c>
      <c r="J1037">
        <v>1318.0119629000001</v>
      </c>
      <c r="K1037">
        <v>550</v>
      </c>
      <c r="L1037">
        <v>0</v>
      </c>
      <c r="M1037">
        <v>0</v>
      </c>
      <c r="N1037">
        <v>550</v>
      </c>
    </row>
    <row r="1038" spans="1:14" x14ac:dyDescent="0.25">
      <c r="A1038">
        <v>1162.5936449999999</v>
      </c>
      <c r="B1038" s="1">
        <f>DATE(2013,7,6) + TIME(14,14,50)</f>
        <v>41461.593634259261</v>
      </c>
      <c r="C1038">
        <v>80</v>
      </c>
      <c r="D1038">
        <v>79.864562988000003</v>
      </c>
      <c r="E1038">
        <v>50</v>
      </c>
      <c r="F1038">
        <v>46.676048279</v>
      </c>
      <c r="G1038">
        <v>1344.7579346</v>
      </c>
      <c r="H1038">
        <v>1340.3898925999999</v>
      </c>
      <c r="I1038">
        <v>1322.5435791</v>
      </c>
      <c r="J1038">
        <v>1317.984375</v>
      </c>
      <c r="K1038">
        <v>550</v>
      </c>
      <c r="L1038">
        <v>0</v>
      </c>
      <c r="M1038">
        <v>0</v>
      </c>
      <c r="N1038">
        <v>550</v>
      </c>
    </row>
    <row r="1039" spans="1:14" x14ac:dyDescent="0.25">
      <c r="A1039">
        <v>1164.5785860000001</v>
      </c>
      <c r="B1039" s="1">
        <f>DATE(2013,7,8) + TIME(13,53,9)</f>
        <v>41463.578576388885</v>
      </c>
      <c r="C1039">
        <v>80</v>
      </c>
      <c r="D1039">
        <v>79.864540099999999</v>
      </c>
      <c r="E1039">
        <v>50</v>
      </c>
      <c r="F1039">
        <v>46.634017944</v>
      </c>
      <c r="G1039">
        <v>1344.7406006000001</v>
      </c>
      <c r="H1039">
        <v>1340.3790283000001</v>
      </c>
      <c r="I1039">
        <v>1322.5295410000001</v>
      </c>
      <c r="J1039">
        <v>1317.9562988</v>
      </c>
      <c r="K1039">
        <v>550</v>
      </c>
      <c r="L1039">
        <v>0</v>
      </c>
      <c r="M1039">
        <v>0</v>
      </c>
      <c r="N1039">
        <v>550</v>
      </c>
    </row>
    <row r="1040" spans="1:14" x14ac:dyDescent="0.25">
      <c r="A1040">
        <v>1166.593965</v>
      </c>
      <c r="B1040" s="1">
        <f>DATE(2013,7,10) + TIME(14,15,18)</f>
        <v>41465.593958333331</v>
      </c>
      <c r="C1040">
        <v>80</v>
      </c>
      <c r="D1040">
        <v>79.864509583</v>
      </c>
      <c r="E1040">
        <v>50</v>
      </c>
      <c r="F1040">
        <v>46.594932556000003</v>
      </c>
      <c r="G1040">
        <v>1344.7232666</v>
      </c>
      <c r="H1040">
        <v>1340.3681641000001</v>
      </c>
      <c r="I1040">
        <v>1322.5155029</v>
      </c>
      <c r="J1040">
        <v>1317.9277344</v>
      </c>
      <c r="K1040">
        <v>550</v>
      </c>
      <c r="L1040">
        <v>0</v>
      </c>
      <c r="M1040">
        <v>0</v>
      </c>
      <c r="N1040">
        <v>550</v>
      </c>
    </row>
    <row r="1041" spans="1:14" x14ac:dyDescent="0.25">
      <c r="A1041">
        <v>1168.6480300000001</v>
      </c>
      <c r="B1041" s="1">
        <f>DATE(2013,7,12) + TIME(15,33,9)</f>
        <v>41467.648020833331</v>
      </c>
      <c r="C1041">
        <v>80</v>
      </c>
      <c r="D1041">
        <v>79.864486693999993</v>
      </c>
      <c r="E1041">
        <v>50</v>
      </c>
      <c r="F1041">
        <v>46.559082031000003</v>
      </c>
      <c r="G1041">
        <v>1344.7059326000001</v>
      </c>
      <c r="H1041">
        <v>1340.3574219</v>
      </c>
      <c r="I1041">
        <v>1322.5013428</v>
      </c>
      <c r="J1041">
        <v>1317.8988036999999</v>
      </c>
      <c r="K1041">
        <v>550</v>
      </c>
      <c r="L1041">
        <v>0</v>
      </c>
      <c r="M1041">
        <v>0</v>
      </c>
      <c r="N1041">
        <v>550</v>
      </c>
    </row>
    <row r="1042" spans="1:14" x14ac:dyDescent="0.25">
      <c r="A1042">
        <v>1170.7477349999999</v>
      </c>
      <c r="B1042" s="1">
        <f>DATE(2013,7,14) + TIME(17,56,44)</f>
        <v>41469.747731481482</v>
      </c>
      <c r="C1042">
        <v>80</v>
      </c>
      <c r="D1042">
        <v>79.864463806000003</v>
      </c>
      <c r="E1042">
        <v>50</v>
      </c>
      <c r="F1042">
        <v>46.526798247999999</v>
      </c>
      <c r="G1042">
        <v>1344.6885986</v>
      </c>
      <c r="H1042">
        <v>1340.3465576000001</v>
      </c>
      <c r="I1042">
        <v>1322.4873047000001</v>
      </c>
      <c r="J1042">
        <v>1317.869751</v>
      </c>
      <c r="K1042">
        <v>550</v>
      </c>
      <c r="L1042">
        <v>0</v>
      </c>
      <c r="M1042">
        <v>0</v>
      </c>
      <c r="N1042">
        <v>550</v>
      </c>
    </row>
    <row r="1043" spans="1:14" x14ac:dyDescent="0.25">
      <c r="A1043">
        <v>1172.9005299999999</v>
      </c>
      <c r="B1043" s="1">
        <f>DATE(2013,7,16) + TIME(21,36,45)</f>
        <v>41471.900520833333</v>
      </c>
      <c r="C1043">
        <v>80</v>
      </c>
      <c r="D1043">
        <v>79.864448546999995</v>
      </c>
      <c r="E1043">
        <v>50</v>
      </c>
      <c r="F1043">
        <v>46.498458862</v>
      </c>
      <c r="G1043">
        <v>1344.6712646000001</v>
      </c>
      <c r="H1043">
        <v>1340.3355713000001</v>
      </c>
      <c r="I1043">
        <v>1322.4730225000001</v>
      </c>
      <c r="J1043">
        <v>1317.840332</v>
      </c>
      <c r="K1043">
        <v>550</v>
      </c>
      <c r="L1043">
        <v>0</v>
      </c>
      <c r="M1043">
        <v>0</v>
      </c>
      <c r="N1043">
        <v>550</v>
      </c>
    </row>
    <row r="1044" spans="1:14" x14ac:dyDescent="0.25">
      <c r="A1044">
        <v>1175.1145859999999</v>
      </c>
      <c r="B1044" s="1">
        <f>DATE(2013,7,19) + TIME(2,45,0)</f>
        <v>41474.114583333336</v>
      </c>
      <c r="C1044">
        <v>80</v>
      </c>
      <c r="D1044">
        <v>79.864433289000004</v>
      </c>
      <c r="E1044">
        <v>50</v>
      </c>
      <c r="F1044">
        <v>46.474529265999998</v>
      </c>
      <c r="G1044">
        <v>1344.6538086</v>
      </c>
      <c r="H1044">
        <v>1340.3245850000001</v>
      </c>
      <c r="I1044">
        <v>1322.4588623</v>
      </c>
      <c r="J1044">
        <v>1317.8105469</v>
      </c>
      <c r="K1044">
        <v>550</v>
      </c>
      <c r="L1044">
        <v>0</v>
      </c>
      <c r="M1044">
        <v>0</v>
      </c>
      <c r="N1044">
        <v>550</v>
      </c>
    </row>
    <row r="1045" spans="1:14" x14ac:dyDescent="0.25">
      <c r="A1045">
        <v>1177.389042</v>
      </c>
      <c r="B1045" s="1">
        <f>DATE(2013,7,21) + TIME(9,20,13)</f>
        <v>41476.389039351852</v>
      </c>
      <c r="C1045">
        <v>80</v>
      </c>
      <c r="D1045">
        <v>79.864418029999996</v>
      </c>
      <c r="E1045">
        <v>50</v>
      </c>
      <c r="F1045">
        <v>46.455615997000002</v>
      </c>
      <c r="G1045">
        <v>1344.6361084</v>
      </c>
      <c r="H1045">
        <v>1340.3134766000001</v>
      </c>
      <c r="I1045">
        <v>1322.4445800999999</v>
      </c>
      <c r="J1045">
        <v>1317.7806396000001</v>
      </c>
      <c r="K1045">
        <v>550</v>
      </c>
      <c r="L1045">
        <v>0</v>
      </c>
      <c r="M1045">
        <v>0</v>
      </c>
      <c r="N1045">
        <v>550</v>
      </c>
    </row>
    <row r="1046" spans="1:14" x14ac:dyDescent="0.25">
      <c r="A1046">
        <v>1179.724954</v>
      </c>
      <c r="B1046" s="1">
        <f>DATE(2013,7,23) + TIME(17,23,56)</f>
        <v>41478.724953703706</v>
      </c>
      <c r="C1046">
        <v>80</v>
      </c>
      <c r="D1046">
        <v>79.864410399999997</v>
      </c>
      <c r="E1046">
        <v>50</v>
      </c>
      <c r="F1046">
        <v>46.442386626999998</v>
      </c>
      <c r="G1046">
        <v>1344.6182861</v>
      </c>
      <c r="H1046">
        <v>1340.3022461</v>
      </c>
      <c r="I1046">
        <v>1322.4302978999999</v>
      </c>
      <c r="J1046">
        <v>1317.7503661999999</v>
      </c>
      <c r="K1046">
        <v>550</v>
      </c>
      <c r="L1046">
        <v>0</v>
      </c>
      <c r="M1046">
        <v>0</v>
      </c>
      <c r="N1046">
        <v>550</v>
      </c>
    </row>
    <row r="1047" spans="1:14" x14ac:dyDescent="0.25">
      <c r="A1047">
        <v>1182.1096050000001</v>
      </c>
      <c r="B1047" s="1">
        <f>DATE(2013,7,26) + TIME(2,37,49)</f>
        <v>41481.109594907408</v>
      </c>
      <c r="C1047">
        <v>80</v>
      </c>
      <c r="D1047">
        <v>79.864410399999997</v>
      </c>
      <c r="E1047">
        <v>50</v>
      </c>
      <c r="F1047">
        <v>46.435607910000002</v>
      </c>
      <c r="G1047">
        <v>1344.6003418</v>
      </c>
      <c r="H1047">
        <v>1340.2908935999999</v>
      </c>
      <c r="I1047">
        <v>1322.4162598</v>
      </c>
      <c r="J1047">
        <v>1317.7199707</v>
      </c>
      <c r="K1047">
        <v>550</v>
      </c>
      <c r="L1047">
        <v>0</v>
      </c>
      <c r="M1047">
        <v>0</v>
      </c>
      <c r="N1047">
        <v>550</v>
      </c>
    </row>
    <row r="1048" spans="1:14" x14ac:dyDescent="0.25">
      <c r="A1048">
        <v>1184.517617</v>
      </c>
      <c r="B1048" s="1">
        <f>DATE(2013,7,28) + TIME(12,25,22)</f>
        <v>41483.51761574074</v>
      </c>
      <c r="C1048">
        <v>80</v>
      </c>
      <c r="D1048">
        <v>79.864402771000002</v>
      </c>
      <c r="E1048">
        <v>50</v>
      </c>
      <c r="F1048">
        <v>46.436016082999998</v>
      </c>
      <c r="G1048">
        <v>1344.5822754000001</v>
      </c>
      <c r="H1048">
        <v>1340.2794189000001</v>
      </c>
      <c r="I1048">
        <v>1322.4023437999999</v>
      </c>
      <c r="J1048">
        <v>1317.6899414</v>
      </c>
      <c r="K1048">
        <v>550</v>
      </c>
      <c r="L1048">
        <v>0</v>
      </c>
      <c r="M1048">
        <v>0</v>
      </c>
      <c r="N1048">
        <v>550</v>
      </c>
    </row>
    <row r="1049" spans="1:14" x14ac:dyDescent="0.25">
      <c r="A1049">
        <v>1186.951403</v>
      </c>
      <c r="B1049" s="1">
        <f>DATE(2013,7,30) + TIME(22,50,1)</f>
        <v>41485.95140046296</v>
      </c>
      <c r="C1049">
        <v>80</v>
      </c>
      <c r="D1049">
        <v>79.864402771000002</v>
      </c>
      <c r="E1049">
        <v>50</v>
      </c>
      <c r="F1049">
        <v>46.444213867000002</v>
      </c>
      <c r="G1049">
        <v>1344.5644531</v>
      </c>
      <c r="H1049">
        <v>1340.2680664</v>
      </c>
      <c r="I1049">
        <v>1322.3887939000001</v>
      </c>
      <c r="J1049">
        <v>1317.6602783000001</v>
      </c>
      <c r="K1049">
        <v>550</v>
      </c>
      <c r="L1049">
        <v>0</v>
      </c>
      <c r="M1049">
        <v>0</v>
      </c>
      <c r="N1049">
        <v>550</v>
      </c>
    </row>
    <row r="1050" spans="1:14" x14ac:dyDescent="0.25">
      <c r="A1050">
        <v>1188</v>
      </c>
      <c r="B1050" s="1">
        <f>DATE(2013,8,1) + TIME(0,0,0)</f>
        <v>41487</v>
      </c>
      <c r="C1050">
        <v>80</v>
      </c>
      <c r="D1050">
        <v>79.864364624000004</v>
      </c>
      <c r="E1050">
        <v>50</v>
      </c>
      <c r="F1050">
        <v>46.453456879000001</v>
      </c>
      <c r="G1050">
        <v>1344.5465088000001</v>
      </c>
      <c r="H1050">
        <v>1340.2567139</v>
      </c>
      <c r="I1050">
        <v>1322.3792725000001</v>
      </c>
      <c r="J1050">
        <v>1317.6364745999999</v>
      </c>
      <c r="K1050">
        <v>550</v>
      </c>
      <c r="L1050">
        <v>0</v>
      </c>
      <c r="M1050">
        <v>0</v>
      </c>
      <c r="N1050">
        <v>550</v>
      </c>
    </row>
    <row r="1051" spans="1:14" x14ac:dyDescent="0.25">
      <c r="A1051">
        <v>1190.474835</v>
      </c>
      <c r="B1051" s="1">
        <f>DATE(2013,8,3) + TIME(11,23,45)</f>
        <v>41489.474826388891</v>
      </c>
      <c r="C1051">
        <v>80</v>
      </c>
      <c r="D1051">
        <v>79.864387511999993</v>
      </c>
      <c r="E1051">
        <v>50</v>
      </c>
      <c r="F1051">
        <v>46.472976684999999</v>
      </c>
      <c r="G1051">
        <v>1344.5390625</v>
      </c>
      <c r="H1051">
        <v>1340.2518310999999</v>
      </c>
      <c r="I1051">
        <v>1322.3690185999999</v>
      </c>
      <c r="J1051">
        <v>1317.6173096</v>
      </c>
      <c r="K1051">
        <v>550</v>
      </c>
      <c r="L1051">
        <v>0</v>
      </c>
      <c r="M1051">
        <v>0</v>
      </c>
      <c r="N1051">
        <v>550</v>
      </c>
    </row>
    <row r="1052" spans="1:14" x14ac:dyDescent="0.25">
      <c r="A1052">
        <v>1193.024889</v>
      </c>
      <c r="B1052" s="1">
        <f>DATE(2013,8,6) + TIME(0,35,50)</f>
        <v>41492.024884259263</v>
      </c>
      <c r="C1052">
        <v>80</v>
      </c>
      <c r="D1052">
        <v>79.864402771000002</v>
      </c>
      <c r="E1052">
        <v>50</v>
      </c>
      <c r="F1052">
        <v>46.502502440999997</v>
      </c>
      <c r="G1052">
        <v>1344.5214844</v>
      </c>
      <c r="H1052">
        <v>1340.2404785000001</v>
      </c>
      <c r="I1052">
        <v>1322.3569336</v>
      </c>
      <c r="J1052">
        <v>1317.5898437999999</v>
      </c>
      <c r="K1052">
        <v>550</v>
      </c>
      <c r="L1052">
        <v>0</v>
      </c>
      <c r="M1052">
        <v>0</v>
      </c>
      <c r="N1052">
        <v>550</v>
      </c>
    </row>
    <row r="1053" spans="1:14" x14ac:dyDescent="0.25">
      <c r="A1053">
        <v>1195.637911</v>
      </c>
      <c r="B1053" s="1">
        <f>DATE(2013,8,8) + TIME(15,18,35)</f>
        <v>41494.63790509259</v>
      </c>
      <c r="C1053">
        <v>80</v>
      </c>
      <c r="D1053">
        <v>79.864425659000005</v>
      </c>
      <c r="E1053">
        <v>50</v>
      </c>
      <c r="F1053">
        <v>46.542903899999999</v>
      </c>
      <c r="G1053">
        <v>1344.5035399999999</v>
      </c>
      <c r="H1053">
        <v>1340.2290039</v>
      </c>
      <c r="I1053">
        <v>1322.3450928</v>
      </c>
      <c r="J1053">
        <v>1317.5626221</v>
      </c>
      <c r="K1053">
        <v>550</v>
      </c>
      <c r="L1053">
        <v>0</v>
      </c>
      <c r="M1053">
        <v>0</v>
      </c>
      <c r="N1053">
        <v>550</v>
      </c>
    </row>
    <row r="1054" spans="1:14" x14ac:dyDescent="0.25">
      <c r="A1054">
        <v>1198.3246019999999</v>
      </c>
      <c r="B1054" s="1">
        <f>DATE(2013,8,11) + TIME(7,47,25)</f>
        <v>41497.324594907404</v>
      </c>
      <c r="C1054">
        <v>80</v>
      </c>
      <c r="D1054">
        <v>79.864440918</v>
      </c>
      <c r="E1054">
        <v>50</v>
      </c>
      <c r="F1054">
        <v>46.595275878999999</v>
      </c>
      <c r="G1054">
        <v>1344.4855957</v>
      </c>
      <c r="H1054">
        <v>1340.2174072</v>
      </c>
      <c r="I1054">
        <v>1322.3336182</v>
      </c>
      <c r="J1054">
        <v>1317.5358887</v>
      </c>
      <c r="K1054">
        <v>550</v>
      </c>
      <c r="L1054">
        <v>0</v>
      </c>
      <c r="M1054">
        <v>0</v>
      </c>
      <c r="N1054">
        <v>550</v>
      </c>
    </row>
    <row r="1055" spans="1:14" x14ac:dyDescent="0.25">
      <c r="A1055">
        <v>1201.0964120000001</v>
      </c>
      <c r="B1055" s="1">
        <f>DATE(2013,8,14) + TIME(2,18,50)</f>
        <v>41500.096412037034</v>
      </c>
      <c r="C1055">
        <v>80</v>
      </c>
      <c r="D1055">
        <v>79.864463806000003</v>
      </c>
      <c r="E1055">
        <v>50</v>
      </c>
      <c r="F1055">
        <v>46.660984038999999</v>
      </c>
      <c r="G1055">
        <v>1344.4672852000001</v>
      </c>
      <c r="H1055">
        <v>1340.2055664</v>
      </c>
      <c r="I1055">
        <v>1322.3225098</v>
      </c>
      <c r="J1055">
        <v>1317.5097656</v>
      </c>
      <c r="K1055">
        <v>550</v>
      </c>
      <c r="L1055">
        <v>0</v>
      </c>
      <c r="M1055">
        <v>0</v>
      </c>
      <c r="N1055">
        <v>550</v>
      </c>
    </row>
    <row r="1056" spans="1:14" x14ac:dyDescent="0.25">
      <c r="A1056">
        <v>1203.9376500000001</v>
      </c>
      <c r="B1056" s="1">
        <f>DATE(2013,8,16) + TIME(22,30,12)</f>
        <v>41502.937638888892</v>
      </c>
      <c r="C1056">
        <v>80</v>
      </c>
      <c r="D1056">
        <v>79.864486693999993</v>
      </c>
      <c r="E1056">
        <v>50</v>
      </c>
      <c r="F1056">
        <v>46.741210938000002</v>
      </c>
      <c r="G1056">
        <v>1344.4487305</v>
      </c>
      <c r="H1056">
        <v>1340.1934814000001</v>
      </c>
      <c r="I1056">
        <v>1322.3118896000001</v>
      </c>
      <c r="J1056">
        <v>1317.4844971</v>
      </c>
      <c r="K1056">
        <v>550</v>
      </c>
      <c r="L1056">
        <v>0</v>
      </c>
      <c r="M1056">
        <v>0</v>
      </c>
      <c r="N1056">
        <v>550</v>
      </c>
    </row>
    <row r="1057" spans="1:14" x14ac:dyDescent="0.25">
      <c r="A1057">
        <v>1206.8466820000001</v>
      </c>
      <c r="B1057" s="1">
        <f>DATE(2013,8,19) + TIME(20,19,13)</f>
        <v>41505.846678240741</v>
      </c>
      <c r="C1057">
        <v>80</v>
      </c>
      <c r="D1057">
        <v>79.864517211999996</v>
      </c>
      <c r="E1057">
        <v>50</v>
      </c>
      <c r="F1057">
        <v>46.837184905999997</v>
      </c>
      <c r="G1057">
        <v>1344.4300536999999</v>
      </c>
      <c r="H1057">
        <v>1340.1812743999999</v>
      </c>
      <c r="I1057">
        <v>1322.3020019999999</v>
      </c>
      <c r="J1057">
        <v>1317.4604492000001</v>
      </c>
      <c r="K1057">
        <v>550</v>
      </c>
      <c r="L1057">
        <v>0</v>
      </c>
      <c r="M1057">
        <v>0</v>
      </c>
      <c r="N1057">
        <v>550</v>
      </c>
    </row>
    <row r="1058" spans="1:14" x14ac:dyDescent="0.25">
      <c r="A1058">
        <v>1209.836681</v>
      </c>
      <c r="B1058" s="1">
        <f>DATE(2013,8,22) + TIME(20,4,49)</f>
        <v>41508.836678240739</v>
      </c>
      <c r="C1058">
        <v>80</v>
      </c>
      <c r="D1058">
        <v>79.864555358999993</v>
      </c>
      <c r="E1058">
        <v>50</v>
      </c>
      <c r="F1058">
        <v>46.950336456000002</v>
      </c>
      <c r="G1058">
        <v>1344.4112548999999</v>
      </c>
      <c r="H1058">
        <v>1340.1689452999999</v>
      </c>
      <c r="I1058">
        <v>1322.2928466999999</v>
      </c>
      <c r="J1058">
        <v>1317.4377440999999</v>
      </c>
      <c r="K1058">
        <v>550</v>
      </c>
      <c r="L1058">
        <v>0</v>
      </c>
      <c r="M1058">
        <v>0</v>
      </c>
      <c r="N1058">
        <v>550</v>
      </c>
    </row>
    <row r="1059" spans="1:14" x14ac:dyDescent="0.25">
      <c r="A1059">
        <v>1212.9120379999999</v>
      </c>
      <c r="B1059" s="1">
        <f>DATE(2013,8,25) + TIME(21,53,20)</f>
        <v>41511.912037037036</v>
      </c>
      <c r="C1059">
        <v>80</v>
      </c>
      <c r="D1059">
        <v>79.864593506000006</v>
      </c>
      <c r="E1059">
        <v>50</v>
      </c>
      <c r="F1059">
        <v>47.082153320000003</v>
      </c>
      <c r="G1059">
        <v>1344.3922118999999</v>
      </c>
      <c r="H1059">
        <v>1340.1564940999999</v>
      </c>
      <c r="I1059">
        <v>1322.2845459</v>
      </c>
      <c r="J1059">
        <v>1317.416626</v>
      </c>
      <c r="K1059">
        <v>550</v>
      </c>
      <c r="L1059">
        <v>0</v>
      </c>
      <c r="M1059">
        <v>0</v>
      </c>
      <c r="N1059">
        <v>550</v>
      </c>
    </row>
    <row r="1060" spans="1:14" x14ac:dyDescent="0.25">
      <c r="A1060">
        <v>1216.003649</v>
      </c>
      <c r="B1060" s="1">
        <f>DATE(2013,8,29) + TIME(0,5,15)</f>
        <v>41515.003645833334</v>
      </c>
      <c r="C1060">
        <v>80</v>
      </c>
      <c r="D1060">
        <v>79.864631653000004</v>
      </c>
      <c r="E1060">
        <v>50</v>
      </c>
      <c r="F1060">
        <v>47.232265472000002</v>
      </c>
      <c r="G1060">
        <v>1344.3730469</v>
      </c>
      <c r="H1060">
        <v>1340.1437988</v>
      </c>
      <c r="I1060">
        <v>1322.2772216999999</v>
      </c>
      <c r="J1060">
        <v>1317.3973389</v>
      </c>
      <c r="K1060">
        <v>550</v>
      </c>
      <c r="L1060">
        <v>0</v>
      </c>
      <c r="M1060">
        <v>0</v>
      </c>
      <c r="N1060">
        <v>550</v>
      </c>
    </row>
    <row r="1061" spans="1:14" x14ac:dyDescent="0.25">
      <c r="A1061">
        <v>1219</v>
      </c>
      <c r="B1061" s="1">
        <f>DATE(2013,9,1) + TIME(0,0,0)</f>
        <v>41518</v>
      </c>
      <c r="C1061">
        <v>80</v>
      </c>
      <c r="D1061">
        <v>79.864662170000003</v>
      </c>
      <c r="E1061">
        <v>50</v>
      </c>
      <c r="F1061">
        <v>47.397197722999998</v>
      </c>
      <c r="G1061">
        <v>1344.3540039</v>
      </c>
      <c r="H1061">
        <v>1340.1311035000001</v>
      </c>
      <c r="I1061">
        <v>1322.2713623</v>
      </c>
      <c r="J1061">
        <v>1317.3806152</v>
      </c>
      <c r="K1061">
        <v>550</v>
      </c>
      <c r="L1061">
        <v>0</v>
      </c>
      <c r="M1061">
        <v>0</v>
      </c>
      <c r="N1061">
        <v>550</v>
      </c>
    </row>
    <row r="1062" spans="1:14" x14ac:dyDescent="0.25">
      <c r="A1062">
        <v>1222.125151</v>
      </c>
      <c r="B1062" s="1">
        <f>DATE(2013,9,4) + TIME(3,0,13)</f>
        <v>41521.125150462962</v>
      </c>
      <c r="C1062">
        <v>80</v>
      </c>
      <c r="D1062">
        <v>79.864707946999999</v>
      </c>
      <c r="E1062">
        <v>50</v>
      </c>
      <c r="F1062">
        <v>47.581172942999999</v>
      </c>
      <c r="G1062">
        <v>1344.3358154</v>
      </c>
      <c r="H1062">
        <v>1340.1190185999999</v>
      </c>
      <c r="I1062">
        <v>1322.2661132999999</v>
      </c>
      <c r="J1062">
        <v>1317.3663329999999</v>
      </c>
      <c r="K1062">
        <v>550</v>
      </c>
      <c r="L1062">
        <v>0</v>
      </c>
      <c r="M1062">
        <v>0</v>
      </c>
      <c r="N1062">
        <v>550</v>
      </c>
    </row>
    <row r="1063" spans="1:14" x14ac:dyDescent="0.25">
      <c r="A1063">
        <v>1225.3644420000001</v>
      </c>
      <c r="B1063" s="1">
        <f>DATE(2013,9,7) + TIME(8,44,47)</f>
        <v>41524.364432870374</v>
      </c>
      <c r="C1063">
        <v>80</v>
      </c>
      <c r="D1063">
        <v>79.864768982000001</v>
      </c>
      <c r="E1063">
        <v>50</v>
      </c>
      <c r="F1063">
        <v>47.786483765</v>
      </c>
      <c r="G1063">
        <v>1344.3171387</v>
      </c>
      <c r="H1063">
        <v>1340.1065673999999</v>
      </c>
      <c r="I1063">
        <v>1322.2620850000001</v>
      </c>
      <c r="J1063">
        <v>1317.3542480000001</v>
      </c>
      <c r="K1063">
        <v>550</v>
      </c>
      <c r="L1063">
        <v>0</v>
      </c>
      <c r="M1063">
        <v>0</v>
      </c>
      <c r="N1063">
        <v>550</v>
      </c>
    </row>
    <row r="1064" spans="1:14" x14ac:dyDescent="0.25">
      <c r="A1064">
        <v>1228.6790779999999</v>
      </c>
      <c r="B1064" s="1">
        <f>DATE(2013,9,10) + TIME(16,17,52)</f>
        <v>41527.679074074076</v>
      </c>
      <c r="C1064">
        <v>80</v>
      </c>
      <c r="D1064">
        <v>79.864822387999993</v>
      </c>
      <c r="E1064">
        <v>50</v>
      </c>
      <c r="F1064">
        <v>48.013458252</v>
      </c>
      <c r="G1064">
        <v>1344.2982178</v>
      </c>
      <c r="H1064">
        <v>1340.0938721</v>
      </c>
      <c r="I1064">
        <v>1322.2592772999999</v>
      </c>
      <c r="J1064">
        <v>1317.3446045000001</v>
      </c>
      <c r="K1064">
        <v>550</v>
      </c>
      <c r="L1064">
        <v>0</v>
      </c>
      <c r="M1064">
        <v>0</v>
      </c>
      <c r="N1064">
        <v>550</v>
      </c>
    </row>
    <row r="1065" spans="1:14" x14ac:dyDescent="0.25">
      <c r="A1065">
        <v>1232.0838409999999</v>
      </c>
      <c r="B1065" s="1">
        <f>DATE(2013,9,14) + TIME(2,0,43)</f>
        <v>41531.083831018521</v>
      </c>
      <c r="C1065">
        <v>80</v>
      </c>
      <c r="D1065">
        <v>79.864883422999995</v>
      </c>
      <c r="E1065">
        <v>50</v>
      </c>
      <c r="F1065">
        <v>48.262748717999997</v>
      </c>
      <c r="G1065">
        <v>1344.2790527</v>
      </c>
      <c r="H1065">
        <v>1340.0810547000001</v>
      </c>
      <c r="I1065">
        <v>1322.2578125</v>
      </c>
      <c r="J1065">
        <v>1317.3376464999999</v>
      </c>
      <c r="K1065">
        <v>550</v>
      </c>
      <c r="L1065">
        <v>0</v>
      </c>
      <c r="M1065">
        <v>0</v>
      </c>
      <c r="N1065">
        <v>550</v>
      </c>
    </row>
    <row r="1066" spans="1:14" x14ac:dyDescent="0.25">
      <c r="A1066">
        <v>1235.5942030000001</v>
      </c>
      <c r="B1066" s="1">
        <f>DATE(2013,9,17) + TIME(14,15,39)</f>
        <v>41534.594201388885</v>
      </c>
      <c r="C1066">
        <v>80</v>
      </c>
      <c r="D1066">
        <v>79.864952087000006</v>
      </c>
      <c r="E1066">
        <v>50</v>
      </c>
      <c r="F1066">
        <v>48.535228729000004</v>
      </c>
      <c r="G1066">
        <v>1344.2597656</v>
      </c>
      <c r="H1066">
        <v>1340.0681152</v>
      </c>
      <c r="I1066">
        <v>1322.2576904</v>
      </c>
      <c r="J1066">
        <v>1317.3334961</v>
      </c>
      <c r="K1066">
        <v>550</v>
      </c>
      <c r="L1066">
        <v>0</v>
      </c>
      <c r="M1066">
        <v>0</v>
      </c>
      <c r="N1066">
        <v>550</v>
      </c>
    </row>
    <row r="1067" spans="1:14" x14ac:dyDescent="0.25">
      <c r="A1067">
        <v>1239.227525</v>
      </c>
      <c r="B1067" s="1">
        <f>DATE(2013,9,21) + TIME(5,27,38)</f>
        <v>41538.227523148147</v>
      </c>
      <c r="C1067">
        <v>80</v>
      </c>
      <c r="D1067">
        <v>79.865028381000002</v>
      </c>
      <c r="E1067">
        <v>50</v>
      </c>
      <c r="F1067">
        <v>48.831905364999997</v>
      </c>
      <c r="G1067">
        <v>1344.2402344</v>
      </c>
      <c r="H1067">
        <v>1340.0549315999999</v>
      </c>
      <c r="I1067">
        <v>1322.2589111</v>
      </c>
      <c r="J1067">
        <v>1317.3323975000001</v>
      </c>
      <c r="K1067">
        <v>550</v>
      </c>
      <c r="L1067">
        <v>0</v>
      </c>
      <c r="M1067">
        <v>0</v>
      </c>
      <c r="N1067">
        <v>550</v>
      </c>
    </row>
    <row r="1068" spans="1:14" x14ac:dyDescent="0.25">
      <c r="A1068">
        <v>1242.9795140000001</v>
      </c>
      <c r="B1068" s="1">
        <f>DATE(2013,9,24) + TIME(23,30,30)</f>
        <v>41541.979513888888</v>
      </c>
      <c r="C1068">
        <v>80</v>
      </c>
      <c r="D1068">
        <v>79.865104674999998</v>
      </c>
      <c r="E1068">
        <v>50</v>
      </c>
      <c r="F1068">
        <v>49.152919769</v>
      </c>
      <c r="G1068">
        <v>1344.2203368999999</v>
      </c>
      <c r="H1068">
        <v>1340.0415039</v>
      </c>
      <c r="I1068">
        <v>1322.2617187999999</v>
      </c>
      <c r="J1068">
        <v>1317.3345947</v>
      </c>
      <c r="K1068">
        <v>550</v>
      </c>
      <c r="L1068">
        <v>0</v>
      </c>
      <c r="M1068">
        <v>0</v>
      </c>
      <c r="N1068">
        <v>550</v>
      </c>
    </row>
    <row r="1069" spans="1:14" x14ac:dyDescent="0.25">
      <c r="A1069">
        <v>1246.8129799999999</v>
      </c>
      <c r="B1069" s="1">
        <f>DATE(2013,9,28) + TIME(19,30,41)</f>
        <v>41545.812974537039</v>
      </c>
      <c r="C1069">
        <v>80</v>
      </c>
      <c r="D1069">
        <v>79.865188599000007</v>
      </c>
      <c r="E1069">
        <v>50</v>
      </c>
      <c r="F1069">
        <v>49.496219635000003</v>
      </c>
      <c r="G1069">
        <v>1344.2003173999999</v>
      </c>
      <c r="H1069">
        <v>1340.027832</v>
      </c>
      <c r="I1069">
        <v>1322.2663574000001</v>
      </c>
      <c r="J1069">
        <v>1317.3400879000001</v>
      </c>
      <c r="K1069">
        <v>550</v>
      </c>
      <c r="L1069">
        <v>0</v>
      </c>
      <c r="M1069">
        <v>0</v>
      </c>
      <c r="N1069">
        <v>550</v>
      </c>
    </row>
    <row r="1070" spans="1:14" x14ac:dyDescent="0.25">
      <c r="A1070">
        <v>1249</v>
      </c>
      <c r="B1070" s="1">
        <f>DATE(2013,10,1) + TIME(0,0,0)</f>
        <v>41548</v>
      </c>
      <c r="C1070">
        <v>80</v>
      </c>
      <c r="D1070">
        <v>79.865188599000007</v>
      </c>
      <c r="E1070">
        <v>50</v>
      </c>
      <c r="F1070">
        <v>49.763729095000002</v>
      </c>
      <c r="G1070">
        <v>1344.1801757999999</v>
      </c>
      <c r="H1070">
        <v>1340.0144043</v>
      </c>
      <c r="I1070">
        <v>1322.2775879000001</v>
      </c>
      <c r="J1070">
        <v>1317.3499756000001</v>
      </c>
      <c r="K1070">
        <v>550</v>
      </c>
      <c r="L1070">
        <v>0</v>
      </c>
      <c r="M1070">
        <v>0</v>
      </c>
      <c r="N1070">
        <v>550</v>
      </c>
    </row>
    <row r="1071" spans="1:14" x14ac:dyDescent="0.25">
      <c r="A1071">
        <v>1252.904215</v>
      </c>
      <c r="B1071" s="1">
        <f>DATE(2013,10,4) + TIME(21,42,4)</f>
        <v>41551.90421296296</v>
      </c>
      <c r="C1071">
        <v>80</v>
      </c>
      <c r="D1071">
        <v>79.865303040000001</v>
      </c>
      <c r="E1071">
        <v>50</v>
      </c>
      <c r="F1071">
        <v>50.099357605000002</v>
      </c>
      <c r="G1071">
        <v>1344.1689452999999</v>
      </c>
      <c r="H1071">
        <v>1340.0065918</v>
      </c>
      <c r="I1071">
        <v>1322.2764893000001</v>
      </c>
      <c r="J1071">
        <v>1317.3576660000001</v>
      </c>
      <c r="K1071">
        <v>550</v>
      </c>
      <c r="L1071">
        <v>0</v>
      </c>
      <c r="M1071">
        <v>0</v>
      </c>
      <c r="N1071">
        <v>550</v>
      </c>
    </row>
    <row r="1072" spans="1:14" x14ac:dyDescent="0.25">
      <c r="A1072">
        <v>1256.9367110000001</v>
      </c>
      <c r="B1072" s="1">
        <f>DATE(2013,10,8) + TIME(22,28,51)</f>
        <v>41555.936701388891</v>
      </c>
      <c r="C1072">
        <v>80</v>
      </c>
      <c r="D1072">
        <v>79.865409850999995</v>
      </c>
      <c r="E1072">
        <v>50</v>
      </c>
      <c r="F1072">
        <v>50.470401764000002</v>
      </c>
      <c r="G1072">
        <v>1344.1490478999999</v>
      </c>
      <c r="H1072">
        <v>1339.9931641000001</v>
      </c>
      <c r="I1072">
        <v>1322.2852783000001</v>
      </c>
      <c r="J1072">
        <v>1317.3709716999999</v>
      </c>
      <c r="K1072">
        <v>550</v>
      </c>
      <c r="L1072">
        <v>0</v>
      </c>
      <c r="M1072">
        <v>0</v>
      </c>
      <c r="N1072">
        <v>550</v>
      </c>
    </row>
    <row r="1073" spans="1:14" x14ac:dyDescent="0.25">
      <c r="A1073">
        <v>1261.0539960000001</v>
      </c>
      <c r="B1073" s="1">
        <f>DATE(2013,10,13) + TIME(1,17,45)</f>
        <v>41560.053993055553</v>
      </c>
      <c r="C1073">
        <v>80</v>
      </c>
      <c r="D1073">
        <v>79.865509032999995</v>
      </c>
      <c r="E1073">
        <v>50</v>
      </c>
      <c r="F1073">
        <v>50.865043640000003</v>
      </c>
      <c r="G1073">
        <v>1344.1290283000001</v>
      </c>
      <c r="H1073">
        <v>1339.9796143000001</v>
      </c>
      <c r="I1073">
        <v>1322.2958983999999</v>
      </c>
      <c r="J1073">
        <v>1317.3881836</v>
      </c>
      <c r="K1073">
        <v>550</v>
      </c>
      <c r="L1073">
        <v>0</v>
      </c>
      <c r="M1073">
        <v>0</v>
      </c>
      <c r="N1073">
        <v>550</v>
      </c>
    </row>
    <row r="1074" spans="1:14" x14ac:dyDescent="0.25">
      <c r="A1074">
        <v>1265.2780600000001</v>
      </c>
      <c r="B1074" s="1">
        <f>DATE(2013,10,17) + TIME(6,40,24)</f>
        <v>41564.278055555558</v>
      </c>
      <c r="C1074">
        <v>80</v>
      </c>
      <c r="D1074">
        <v>79.865608214999995</v>
      </c>
      <c r="E1074">
        <v>50</v>
      </c>
      <c r="F1074">
        <v>51.276535033999998</v>
      </c>
      <c r="G1074">
        <v>1344.1090088000001</v>
      </c>
      <c r="H1074">
        <v>1339.9660644999999</v>
      </c>
      <c r="I1074">
        <v>1322.3081055</v>
      </c>
      <c r="J1074">
        <v>1317.4090576000001</v>
      </c>
      <c r="K1074">
        <v>550</v>
      </c>
      <c r="L1074">
        <v>0</v>
      </c>
      <c r="M1074">
        <v>0</v>
      </c>
      <c r="N1074">
        <v>550</v>
      </c>
    </row>
    <row r="1075" spans="1:14" x14ac:dyDescent="0.25">
      <c r="A1075">
        <v>1269.6299979999999</v>
      </c>
      <c r="B1075" s="1">
        <f>DATE(2013,10,21) + TIME(15,7,11)</f>
        <v>41568.629988425928</v>
      </c>
      <c r="C1075">
        <v>80</v>
      </c>
      <c r="D1075">
        <v>79.865722656000003</v>
      </c>
      <c r="E1075">
        <v>50</v>
      </c>
      <c r="F1075">
        <v>51.701503754000001</v>
      </c>
      <c r="G1075">
        <v>1344.0889893000001</v>
      </c>
      <c r="H1075">
        <v>1339.9523925999999</v>
      </c>
      <c r="I1075">
        <v>1322.3220214999999</v>
      </c>
      <c r="J1075">
        <v>1317.4332274999999</v>
      </c>
      <c r="K1075">
        <v>550</v>
      </c>
      <c r="L1075">
        <v>0</v>
      </c>
      <c r="M1075">
        <v>0</v>
      </c>
      <c r="N1075">
        <v>550</v>
      </c>
    </row>
    <row r="1076" spans="1:14" x14ac:dyDescent="0.25">
      <c r="A1076">
        <v>1274.134294</v>
      </c>
      <c r="B1076" s="1">
        <f>DATE(2013,10,26) + TIME(3,13,23)</f>
        <v>41573.134293981479</v>
      </c>
      <c r="C1076">
        <v>80</v>
      </c>
      <c r="D1076">
        <v>79.865837096999996</v>
      </c>
      <c r="E1076">
        <v>50</v>
      </c>
      <c r="F1076">
        <v>52.138183593999997</v>
      </c>
      <c r="G1076">
        <v>1344.0689697</v>
      </c>
      <c r="H1076">
        <v>1339.9388428</v>
      </c>
      <c r="I1076">
        <v>1322.3375243999999</v>
      </c>
      <c r="J1076">
        <v>1317.4605713000001</v>
      </c>
      <c r="K1076">
        <v>550</v>
      </c>
      <c r="L1076">
        <v>0</v>
      </c>
      <c r="M1076">
        <v>0</v>
      </c>
      <c r="N1076">
        <v>550</v>
      </c>
    </row>
    <row r="1077" spans="1:14" x14ac:dyDescent="0.25">
      <c r="A1077">
        <v>1278.7844829999999</v>
      </c>
      <c r="B1077" s="1">
        <f>DATE(2013,10,30) + TIME(18,49,39)</f>
        <v>41577.784479166665</v>
      </c>
      <c r="C1077">
        <v>80</v>
      </c>
      <c r="D1077">
        <v>79.865959167</v>
      </c>
      <c r="E1077">
        <v>50</v>
      </c>
      <c r="F1077">
        <v>52.584075927999997</v>
      </c>
      <c r="G1077">
        <v>1344.0487060999999</v>
      </c>
      <c r="H1077">
        <v>1339.9251709</v>
      </c>
      <c r="I1077">
        <v>1322.3549805</v>
      </c>
      <c r="J1077">
        <v>1317.4912108999999</v>
      </c>
      <c r="K1077">
        <v>550</v>
      </c>
      <c r="L1077">
        <v>0</v>
      </c>
      <c r="M1077">
        <v>0</v>
      </c>
      <c r="N1077">
        <v>550</v>
      </c>
    </row>
    <row r="1078" spans="1:14" x14ac:dyDescent="0.25">
      <c r="A1078">
        <v>1280</v>
      </c>
      <c r="B1078" s="1">
        <f>DATE(2013,11,1) + TIME(0,0,0)</f>
        <v>41579</v>
      </c>
      <c r="C1078">
        <v>80</v>
      </c>
      <c r="D1078">
        <v>79.865928650000001</v>
      </c>
      <c r="E1078">
        <v>50</v>
      </c>
      <c r="F1078">
        <v>52.793369292999998</v>
      </c>
      <c r="G1078">
        <v>1344.0284423999999</v>
      </c>
      <c r="H1078">
        <v>1339.9117432</v>
      </c>
      <c r="I1078">
        <v>1322.3834228999999</v>
      </c>
      <c r="J1078">
        <v>1317.5222168</v>
      </c>
      <c r="K1078">
        <v>550</v>
      </c>
      <c r="L1078">
        <v>0</v>
      </c>
      <c r="M1078">
        <v>0</v>
      </c>
      <c r="N1078">
        <v>550</v>
      </c>
    </row>
    <row r="1079" spans="1:14" x14ac:dyDescent="0.25">
      <c r="A1079">
        <v>1280.0000010000001</v>
      </c>
      <c r="B1079" s="1">
        <f>DATE(2013,11,1) + TIME(0,0,0)</f>
        <v>41579</v>
      </c>
      <c r="C1079">
        <v>80</v>
      </c>
      <c r="D1079">
        <v>79.865905761999997</v>
      </c>
      <c r="E1079">
        <v>50</v>
      </c>
      <c r="F1079">
        <v>52.793399811</v>
      </c>
      <c r="G1079">
        <v>1339.7119141000001</v>
      </c>
      <c r="H1079">
        <v>1338.0212402</v>
      </c>
      <c r="I1079">
        <v>1327.6759033000001</v>
      </c>
      <c r="J1079">
        <v>1322.6203613</v>
      </c>
      <c r="K1079">
        <v>0</v>
      </c>
      <c r="L1079">
        <v>550</v>
      </c>
      <c r="M1079">
        <v>550</v>
      </c>
      <c r="N1079">
        <v>0</v>
      </c>
    </row>
    <row r="1080" spans="1:14" x14ac:dyDescent="0.25">
      <c r="A1080">
        <v>1280.000004</v>
      </c>
      <c r="B1080" s="1">
        <f>DATE(2013,11,1) + TIME(0,0,0)</f>
        <v>41579</v>
      </c>
      <c r="C1080">
        <v>80</v>
      </c>
      <c r="D1080">
        <v>79.865829468000001</v>
      </c>
      <c r="E1080">
        <v>50</v>
      </c>
      <c r="F1080">
        <v>52.793476105000003</v>
      </c>
      <c r="G1080">
        <v>1339.2070312000001</v>
      </c>
      <c r="H1080">
        <v>1337.5163574000001</v>
      </c>
      <c r="I1080">
        <v>1328.2303466999999</v>
      </c>
      <c r="J1080">
        <v>1323.2468262</v>
      </c>
      <c r="K1080">
        <v>0</v>
      </c>
      <c r="L1080">
        <v>550</v>
      </c>
      <c r="M1080">
        <v>550</v>
      </c>
      <c r="N1080">
        <v>0</v>
      </c>
    </row>
    <row r="1081" spans="1:14" x14ac:dyDescent="0.25">
      <c r="A1081">
        <v>1280.0000130000001</v>
      </c>
      <c r="B1081" s="1">
        <f>DATE(2013,11,1) + TIME(0,0,1)</f>
        <v>41579.000011574077</v>
      </c>
      <c r="C1081">
        <v>80</v>
      </c>
      <c r="D1081">
        <v>79.865684509000005</v>
      </c>
      <c r="E1081">
        <v>50</v>
      </c>
      <c r="F1081">
        <v>52.793647765999999</v>
      </c>
      <c r="G1081">
        <v>1338.1871338000001</v>
      </c>
      <c r="H1081">
        <v>1336.4942627</v>
      </c>
      <c r="I1081">
        <v>1329.5018310999999</v>
      </c>
      <c r="J1081">
        <v>1324.6300048999999</v>
      </c>
      <c r="K1081">
        <v>0</v>
      </c>
      <c r="L1081">
        <v>550</v>
      </c>
      <c r="M1081">
        <v>550</v>
      </c>
      <c r="N1081">
        <v>0</v>
      </c>
    </row>
    <row r="1082" spans="1:14" x14ac:dyDescent="0.25">
      <c r="A1082">
        <v>1280.0000399999999</v>
      </c>
      <c r="B1082" s="1">
        <f>DATE(2013,11,1) + TIME(0,0,3)</f>
        <v>41579.000034722223</v>
      </c>
      <c r="C1082">
        <v>80</v>
      </c>
      <c r="D1082">
        <v>79.865470885999997</v>
      </c>
      <c r="E1082">
        <v>50</v>
      </c>
      <c r="F1082">
        <v>52.79391098</v>
      </c>
      <c r="G1082">
        <v>1336.6914062000001</v>
      </c>
      <c r="H1082">
        <v>1334.9874268000001</v>
      </c>
      <c r="I1082">
        <v>1331.6848144999999</v>
      </c>
      <c r="J1082">
        <v>1326.8662108999999</v>
      </c>
      <c r="K1082">
        <v>0</v>
      </c>
      <c r="L1082">
        <v>550</v>
      </c>
      <c r="M1082">
        <v>550</v>
      </c>
      <c r="N1082">
        <v>0</v>
      </c>
    </row>
    <row r="1083" spans="1:14" x14ac:dyDescent="0.25">
      <c r="A1083">
        <v>1280.000121</v>
      </c>
      <c r="B1083" s="1">
        <f>DATE(2013,11,1) + TIME(0,0,10)</f>
        <v>41579.000115740739</v>
      </c>
      <c r="C1083">
        <v>80</v>
      </c>
      <c r="D1083">
        <v>79.865226746000005</v>
      </c>
      <c r="E1083">
        <v>50</v>
      </c>
      <c r="F1083">
        <v>52.794185638000002</v>
      </c>
      <c r="G1083">
        <v>1335.0047606999999</v>
      </c>
      <c r="H1083">
        <v>1333.2729492000001</v>
      </c>
      <c r="I1083">
        <v>1334.4498291</v>
      </c>
      <c r="J1083">
        <v>1329.6108397999999</v>
      </c>
      <c r="K1083">
        <v>0</v>
      </c>
      <c r="L1083">
        <v>550</v>
      </c>
      <c r="M1083">
        <v>550</v>
      </c>
      <c r="N1083">
        <v>0</v>
      </c>
    </row>
    <row r="1084" spans="1:14" x14ac:dyDescent="0.25">
      <c r="A1084">
        <v>1280.000364</v>
      </c>
      <c r="B1084" s="1">
        <f>DATE(2013,11,1) + TIME(0,0,31)</f>
        <v>41579.000358796293</v>
      </c>
      <c r="C1084">
        <v>80</v>
      </c>
      <c r="D1084">
        <v>79.864944457999997</v>
      </c>
      <c r="E1084">
        <v>50</v>
      </c>
      <c r="F1084">
        <v>52.794326781999999</v>
      </c>
      <c r="G1084">
        <v>1333.2521973</v>
      </c>
      <c r="H1084">
        <v>1331.4477539</v>
      </c>
      <c r="I1084">
        <v>1337.3696289</v>
      </c>
      <c r="J1084">
        <v>1332.4936522999999</v>
      </c>
      <c r="K1084">
        <v>0</v>
      </c>
      <c r="L1084">
        <v>550</v>
      </c>
      <c r="M1084">
        <v>550</v>
      </c>
      <c r="N1084">
        <v>0</v>
      </c>
    </row>
    <row r="1085" spans="1:14" x14ac:dyDescent="0.25">
      <c r="A1085">
        <v>1280.0010930000001</v>
      </c>
      <c r="B1085" s="1">
        <f>DATE(2013,11,1) + TIME(0,1,34)</f>
        <v>41579.001087962963</v>
      </c>
      <c r="C1085">
        <v>80</v>
      </c>
      <c r="D1085">
        <v>79.864601135000001</v>
      </c>
      <c r="E1085">
        <v>50</v>
      </c>
      <c r="F1085">
        <v>52.794006348000003</v>
      </c>
      <c r="G1085">
        <v>1331.4658202999999</v>
      </c>
      <c r="H1085">
        <v>1329.5209961</v>
      </c>
      <c r="I1085">
        <v>1340.234375</v>
      </c>
      <c r="J1085">
        <v>1335.3121338000001</v>
      </c>
      <c r="K1085">
        <v>0</v>
      </c>
      <c r="L1085">
        <v>550</v>
      </c>
      <c r="M1085">
        <v>550</v>
      </c>
      <c r="N1085">
        <v>0</v>
      </c>
    </row>
    <row r="1086" spans="1:14" x14ac:dyDescent="0.25">
      <c r="A1086">
        <v>1280.0032799999999</v>
      </c>
      <c r="B1086" s="1">
        <f>DATE(2013,11,1) + TIME(0,4,43)</f>
        <v>41579.003275462965</v>
      </c>
      <c r="C1086">
        <v>80</v>
      </c>
      <c r="D1086">
        <v>79.864089965999995</v>
      </c>
      <c r="E1086">
        <v>50</v>
      </c>
      <c r="F1086">
        <v>52.792240143000001</v>
      </c>
      <c r="G1086">
        <v>1329.8520507999999</v>
      </c>
      <c r="H1086">
        <v>1327.7558594</v>
      </c>
      <c r="I1086">
        <v>1342.6677245999999</v>
      </c>
      <c r="J1086">
        <v>1337.6857910000001</v>
      </c>
      <c r="K1086">
        <v>0</v>
      </c>
      <c r="L1086">
        <v>550</v>
      </c>
      <c r="M1086">
        <v>550</v>
      </c>
      <c r="N1086">
        <v>0</v>
      </c>
    </row>
    <row r="1087" spans="1:14" x14ac:dyDescent="0.25">
      <c r="A1087">
        <v>1280.0098410000001</v>
      </c>
      <c r="B1087" s="1">
        <f>DATE(2013,11,1) + TIME(0,14,10)</f>
        <v>41579.009837962964</v>
      </c>
      <c r="C1087">
        <v>80</v>
      </c>
      <c r="D1087">
        <v>79.863044739000003</v>
      </c>
      <c r="E1087">
        <v>50</v>
      </c>
      <c r="F1087">
        <v>52.786182404000002</v>
      </c>
      <c r="G1087">
        <v>1328.6708983999999</v>
      </c>
      <c r="H1087">
        <v>1326.4970702999999</v>
      </c>
      <c r="I1087">
        <v>1344.2624512</v>
      </c>
      <c r="J1087">
        <v>1339.2288818</v>
      </c>
      <c r="K1087">
        <v>0</v>
      </c>
      <c r="L1087">
        <v>550</v>
      </c>
      <c r="M1087">
        <v>550</v>
      </c>
      <c r="N1087">
        <v>0</v>
      </c>
    </row>
    <row r="1088" spans="1:14" x14ac:dyDescent="0.25">
      <c r="A1088">
        <v>1280.029524</v>
      </c>
      <c r="B1088" s="1">
        <f>DATE(2013,11,1) + TIME(0,42,30)</f>
        <v>41579.029513888891</v>
      </c>
      <c r="C1088">
        <v>80</v>
      </c>
      <c r="D1088">
        <v>79.860305785999998</v>
      </c>
      <c r="E1088">
        <v>50</v>
      </c>
      <c r="F1088">
        <v>52.767536163000003</v>
      </c>
      <c r="G1088">
        <v>1327.9841309000001</v>
      </c>
      <c r="H1088">
        <v>1325.7915039</v>
      </c>
      <c r="I1088">
        <v>1345.0225829999999</v>
      </c>
      <c r="J1088">
        <v>1339.9587402</v>
      </c>
      <c r="K1088">
        <v>0</v>
      </c>
      <c r="L1088">
        <v>550</v>
      </c>
      <c r="M1088">
        <v>550</v>
      </c>
      <c r="N1088">
        <v>0</v>
      </c>
    </row>
    <row r="1089" spans="1:14" x14ac:dyDescent="0.25">
      <c r="A1089">
        <v>1280.088573</v>
      </c>
      <c r="B1089" s="1">
        <f>DATE(2013,11,1) + TIME(2,7,32)</f>
        <v>41579.088564814818</v>
      </c>
      <c r="C1089">
        <v>80</v>
      </c>
      <c r="D1089">
        <v>79.852432250999996</v>
      </c>
      <c r="E1089">
        <v>50</v>
      </c>
      <c r="F1089">
        <v>52.712379456000001</v>
      </c>
      <c r="G1089">
        <v>1327.6724853999999</v>
      </c>
      <c r="H1089">
        <v>1325.4777832</v>
      </c>
      <c r="I1089">
        <v>1345.2413329999999</v>
      </c>
      <c r="J1089">
        <v>1340.1677245999999</v>
      </c>
      <c r="K1089">
        <v>0</v>
      </c>
      <c r="L1089">
        <v>550</v>
      </c>
      <c r="M1089">
        <v>550</v>
      </c>
      <c r="N1089">
        <v>0</v>
      </c>
    </row>
    <row r="1090" spans="1:14" x14ac:dyDescent="0.25">
      <c r="A1090">
        <v>1280.2657200000001</v>
      </c>
      <c r="B1090" s="1">
        <f>DATE(2013,11,1) + TIME(6,22,38)</f>
        <v>41579.265717592592</v>
      </c>
      <c r="C1090">
        <v>80</v>
      </c>
      <c r="D1090">
        <v>79.829597473000007</v>
      </c>
      <c r="E1090">
        <v>50</v>
      </c>
      <c r="F1090">
        <v>52.556529998999999</v>
      </c>
      <c r="G1090">
        <v>1327.5765381000001</v>
      </c>
      <c r="H1090">
        <v>1325.3814697</v>
      </c>
      <c r="I1090">
        <v>1345.2277832</v>
      </c>
      <c r="J1090">
        <v>1340.1577147999999</v>
      </c>
      <c r="K1090">
        <v>0</v>
      </c>
      <c r="L1090">
        <v>550</v>
      </c>
      <c r="M1090">
        <v>550</v>
      </c>
      <c r="N1090">
        <v>0</v>
      </c>
    </row>
    <row r="1091" spans="1:14" x14ac:dyDescent="0.25">
      <c r="A1091">
        <v>1280.5074480000001</v>
      </c>
      <c r="B1091" s="1">
        <f>DATE(2013,11,1) + TIME(12,10,43)</f>
        <v>41579.50744212963</v>
      </c>
      <c r="C1091">
        <v>80</v>
      </c>
      <c r="D1091">
        <v>79.799217224000003</v>
      </c>
      <c r="E1091">
        <v>50</v>
      </c>
      <c r="F1091">
        <v>52.360504149999997</v>
      </c>
      <c r="G1091">
        <v>1327.5578613</v>
      </c>
      <c r="H1091">
        <v>1325.3615723</v>
      </c>
      <c r="I1091">
        <v>1345.1859131000001</v>
      </c>
      <c r="J1091">
        <v>1340.1224365</v>
      </c>
      <c r="K1091">
        <v>0</v>
      </c>
      <c r="L1091">
        <v>550</v>
      </c>
      <c r="M1091">
        <v>550</v>
      </c>
      <c r="N1091">
        <v>0</v>
      </c>
    </row>
    <row r="1092" spans="1:14" x14ac:dyDescent="0.25">
      <c r="A1092">
        <v>1280.7590849999999</v>
      </c>
      <c r="B1092" s="1">
        <f>DATE(2013,11,1) + TIME(18,13,4)</f>
        <v>41579.759074074071</v>
      </c>
      <c r="C1092">
        <v>80</v>
      </c>
      <c r="D1092">
        <v>79.768104553000001</v>
      </c>
      <c r="E1092">
        <v>50</v>
      </c>
      <c r="F1092">
        <v>52.172897339000002</v>
      </c>
      <c r="G1092">
        <v>1327.5494385</v>
      </c>
      <c r="H1092">
        <v>1325.3516846</v>
      </c>
      <c r="I1092">
        <v>1345.1496582</v>
      </c>
      <c r="J1092">
        <v>1340.0925293</v>
      </c>
      <c r="K1092">
        <v>0</v>
      </c>
      <c r="L1092">
        <v>550</v>
      </c>
      <c r="M1092">
        <v>550</v>
      </c>
      <c r="N1092">
        <v>0</v>
      </c>
    </row>
    <row r="1093" spans="1:14" x14ac:dyDescent="0.25">
      <c r="A1093">
        <v>1281.021827</v>
      </c>
      <c r="B1093" s="1">
        <f>DATE(2013,11,2) + TIME(0,31,25)</f>
        <v>41580.021817129629</v>
      </c>
      <c r="C1093">
        <v>80</v>
      </c>
      <c r="D1093">
        <v>79.736167907999999</v>
      </c>
      <c r="E1093">
        <v>50</v>
      </c>
      <c r="F1093">
        <v>51.993324280000003</v>
      </c>
      <c r="G1093">
        <v>1327.5422363</v>
      </c>
      <c r="H1093">
        <v>1325.3427733999999</v>
      </c>
      <c r="I1093">
        <v>1345.1157227000001</v>
      </c>
      <c r="J1093">
        <v>1340.0646973</v>
      </c>
      <c r="K1093">
        <v>0</v>
      </c>
      <c r="L1093">
        <v>550</v>
      </c>
      <c r="M1093">
        <v>550</v>
      </c>
      <c r="N1093">
        <v>0</v>
      </c>
    </row>
    <row r="1094" spans="1:14" x14ac:dyDescent="0.25">
      <c r="A1094">
        <v>1281.2969430000001</v>
      </c>
      <c r="B1094" s="1">
        <f>DATE(2013,11,2) + TIME(7,7,35)</f>
        <v>41580.296932870369</v>
      </c>
      <c r="C1094">
        <v>80</v>
      </c>
      <c r="D1094">
        <v>79.703285217000001</v>
      </c>
      <c r="E1094">
        <v>50</v>
      </c>
      <c r="F1094">
        <v>51.821506499999998</v>
      </c>
      <c r="G1094">
        <v>1327.5349120999999</v>
      </c>
      <c r="H1094">
        <v>1325.3336182</v>
      </c>
      <c r="I1094">
        <v>1345.0830077999999</v>
      </c>
      <c r="J1094">
        <v>1340.0380858999999</v>
      </c>
      <c r="K1094">
        <v>0</v>
      </c>
      <c r="L1094">
        <v>550</v>
      </c>
      <c r="M1094">
        <v>550</v>
      </c>
      <c r="N1094">
        <v>0</v>
      </c>
    </row>
    <row r="1095" spans="1:14" x14ac:dyDescent="0.25">
      <c r="A1095">
        <v>1281.585881</v>
      </c>
      <c r="B1095" s="1">
        <f>DATE(2013,11,2) + TIME(14,3,40)</f>
        <v>41580.585879629631</v>
      </c>
      <c r="C1095">
        <v>80</v>
      </c>
      <c r="D1095">
        <v>79.669349670000003</v>
      </c>
      <c r="E1095">
        <v>50</v>
      </c>
      <c r="F1095">
        <v>51.657218933000003</v>
      </c>
      <c r="G1095">
        <v>1327.5273437999999</v>
      </c>
      <c r="H1095">
        <v>1325.3240966999999</v>
      </c>
      <c r="I1095">
        <v>1345.0515137</v>
      </c>
      <c r="J1095">
        <v>1340.0124512</v>
      </c>
      <c r="K1095">
        <v>0</v>
      </c>
      <c r="L1095">
        <v>550</v>
      </c>
      <c r="M1095">
        <v>550</v>
      </c>
      <c r="N1095">
        <v>0</v>
      </c>
    </row>
    <row r="1096" spans="1:14" x14ac:dyDescent="0.25">
      <c r="A1096">
        <v>1281.8903170000001</v>
      </c>
      <c r="B1096" s="1">
        <f>DATE(2013,11,2) + TIME(21,22,3)</f>
        <v>41580.8903125</v>
      </c>
      <c r="C1096">
        <v>80</v>
      </c>
      <c r="D1096">
        <v>79.634223938000005</v>
      </c>
      <c r="E1096">
        <v>50</v>
      </c>
      <c r="F1096">
        <v>51.500267029</v>
      </c>
      <c r="G1096">
        <v>1327.5194091999999</v>
      </c>
      <c r="H1096">
        <v>1325.3139647999999</v>
      </c>
      <c r="I1096">
        <v>1345.0212402</v>
      </c>
      <c r="J1096">
        <v>1339.987793</v>
      </c>
      <c r="K1096">
        <v>0</v>
      </c>
      <c r="L1096">
        <v>550</v>
      </c>
      <c r="M1096">
        <v>550</v>
      </c>
      <c r="N1096">
        <v>0</v>
      </c>
    </row>
    <row r="1097" spans="1:14" x14ac:dyDescent="0.25">
      <c r="A1097">
        <v>1282.2122179999999</v>
      </c>
      <c r="B1097" s="1">
        <f>DATE(2013,11,3) + TIME(5,5,35)</f>
        <v>41581.212210648147</v>
      </c>
      <c r="C1097">
        <v>80</v>
      </c>
      <c r="D1097">
        <v>79.597763061999999</v>
      </c>
      <c r="E1097">
        <v>50</v>
      </c>
      <c r="F1097">
        <v>51.350490569999998</v>
      </c>
      <c r="G1097">
        <v>1327.5109863</v>
      </c>
      <c r="H1097">
        <v>1325.3032227000001</v>
      </c>
      <c r="I1097">
        <v>1344.9920654</v>
      </c>
      <c r="J1097">
        <v>1339.9639893000001</v>
      </c>
      <c r="K1097">
        <v>0</v>
      </c>
      <c r="L1097">
        <v>550</v>
      </c>
      <c r="M1097">
        <v>550</v>
      </c>
      <c r="N1097">
        <v>0</v>
      </c>
    </row>
    <row r="1098" spans="1:14" x14ac:dyDescent="0.25">
      <c r="A1098">
        <v>1282.5539229999999</v>
      </c>
      <c r="B1098" s="1">
        <f>DATE(2013,11,3) + TIME(13,17,38)</f>
        <v>41581.553912037038</v>
      </c>
      <c r="C1098">
        <v>80</v>
      </c>
      <c r="D1098">
        <v>79.559776306000003</v>
      </c>
      <c r="E1098">
        <v>50</v>
      </c>
      <c r="F1098">
        <v>51.207759856999999</v>
      </c>
      <c r="G1098">
        <v>1327.5020752</v>
      </c>
      <c r="H1098">
        <v>1325.2918701000001</v>
      </c>
      <c r="I1098">
        <v>1344.9637451000001</v>
      </c>
      <c r="J1098">
        <v>1339.9412841999999</v>
      </c>
      <c r="K1098">
        <v>0</v>
      </c>
      <c r="L1098">
        <v>550</v>
      </c>
      <c r="M1098">
        <v>550</v>
      </c>
      <c r="N1098">
        <v>0</v>
      </c>
    </row>
    <row r="1099" spans="1:14" x14ac:dyDescent="0.25">
      <c r="A1099">
        <v>1282.918234</v>
      </c>
      <c r="B1099" s="1">
        <f>DATE(2013,11,3) + TIME(22,2,15)</f>
        <v>41581.918229166666</v>
      </c>
      <c r="C1099">
        <v>80</v>
      </c>
      <c r="D1099">
        <v>79.520057678000001</v>
      </c>
      <c r="E1099">
        <v>50</v>
      </c>
      <c r="F1099">
        <v>51.071964264000002</v>
      </c>
      <c r="G1099">
        <v>1327.4926757999999</v>
      </c>
      <c r="H1099">
        <v>1325.2797852000001</v>
      </c>
      <c r="I1099">
        <v>1344.9366454999999</v>
      </c>
      <c r="J1099">
        <v>1339.9193115</v>
      </c>
      <c r="K1099">
        <v>0</v>
      </c>
      <c r="L1099">
        <v>550</v>
      </c>
      <c r="M1099">
        <v>550</v>
      </c>
      <c r="N1099">
        <v>0</v>
      </c>
    </row>
    <row r="1100" spans="1:14" x14ac:dyDescent="0.25">
      <c r="A1100">
        <v>1283.308552</v>
      </c>
      <c r="B1100" s="1">
        <f>DATE(2013,11,4) + TIME(7,24,18)</f>
        <v>41582.308541666665</v>
      </c>
      <c r="C1100">
        <v>80</v>
      </c>
      <c r="D1100">
        <v>79.478363036999994</v>
      </c>
      <c r="E1100">
        <v>50</v>
      </c>
      <c r="F1100">
        <v>50.943035125999998</v>
      </c>
      <c r="G1100">
        <v>1327.4827881000001</v>
      </c>
      <c r="H1100">
        <v>1325.2667236</v>
      </c>
      <c r="I1100">
        <v>1344.9102783000001</v>
      </c>
      <c r="J1100">
        <v>1339.8981934000001</v>
      </c>
      <c r="K1100">
        <v>0</v>
      </c>
      <c r="L1100">
        <v>550</v>
      </c>
      <c r="M1100">
        <v>550</v>
      </c>
      <c r="N1100">
        <v>0</v>
      </c>
    </row>
    <row r="1101" spans="1:14" x14ac:dyDescent="0.25">
      <c r="A1101">
        <v>1283.729053</v>
      </c>
      <c r="B1101" s="1">
        <f>DATE(2013,11,4) + TIME(17,29,50)</f>
        <v>41582.729050925926</v>
      </c>
      <c r="C1101">
        <v>80</v>
      </c>
      <c r="D1101">
        <v>79.434364318999997</v>
      </c>
      <c r="E1101">
        <v>50</v>
      </c>
      <c r="F1101">
        <v>50.820922852000002</v>
      </c>
      <c r="G1101">
        <v>1327.4720459</v>
      </c>
      <c r="H1101">
        <v>1325.2528076000001</v>
      </c>
      <c r="I1101">
        <v>1344.8848877</v>
      </c>
      <c r="J1101">
        <v>1339.8778076000001</v>
      </c>
      <c r="K1101">
        <v>0</v>
      </c>
      <c r="L1101">
        <v>550</v>
      </c>
      <c r="M1101">
        <v>550</v>
      </c>
      <c r="N1101">
        <v>0</v>
      </c>
    </row>
    <row r="1102" spans="1:14" x14ac:dyDescent="0.25">
      <c r="A1102">
        <v>1284.1849440000001</v>
      </c>
      <c r="B1102" s="1">
        <f>DATE(2013,11,5) + TIME(4,26,19)</f>
        <v>41583.184942129628</v>
      </c>
      <c r="C1102">
        <v>80</v>
      </c>
      <c r="D1102">
        <v>79.387710571</v>
      </c>
      <c r="E1102">
        <v>50</v>
      </c>
      <c r="F1102">
        <v>50.705623627000001</v>
      </c>
      <c r="G1102">
        <v>1327.4605713000001</v>
      </c>
      <c r="H1102">
        <v>1325.2376709</v>
      </c>
      <c r="I1102">
        <v>1344.8604736</v>
      </c>
      <c r="J1102">
        <v>1339.8581543</v>
      </c>
      <c r="K1102">
        <v>0</v>
      </c>
      <c r="L1102">
        <v>550</v>
      </c>
      <c r="M1102">
        <v>550</v>
      </c>
      <c r="N1102">
        <v>0</v>
      </c>
    </row>
    <row r="1103" spans="1:14" x14ac:dyDescent="0.25">
      <c r="A1103">
        <v>1284.6793050000001</v>
      </c>
      <c r="B1103" s="1">
        <f>DATE(2013,11,5) + TIME(16,18,11)</f>
        <v>41583.679293981484</v>
      </c>
      <c r="C1103">
        <v>80</v>
      </c>
      <c r="D1103">
        <v>79.338241577000005</v>
      </c>
      <c r="E1103">
        <v>50</v>
      </c>
      <c r="F1103">
        <v>50.597812652999998</v>
      </c>
      <c r="G1103">
        <v>1327.4481201000001</v>
      </c>
      <c r="H1103">
        <v>1325.2213135</v>
      </c>
      <c r="I1103">
        <v>1344.8369141000001</v>
      </c>
      <c r="J1103">
        <v>1339.8394774999999</v>
      </c>
      <c r="K1103">
        <v>0</v>
      </c>
      <c r="L1103">
        <v>550</v>
      </c>
      <c r="M1103">
        <v>550</v>
      </c>
      <c r="N1103">
        <v>0</v>
      </c>
    </row>
    <row r="1104" spans="1:14" x14ac:dyDescent="0.25">
      <c r="A1104">
        <v>1285.192049</v>
      </c>
      <c r="B1104" s="1">
        <f>DATE(2013,11,6) + TIME(4,36,33)</f>
        <v>41584.192048611112</v>
      </c>
      <c r="C1104">
        <v>80</v>
      </c>
      <c r="D1104">
        <v>79.287857056000007</v>
      </c>
      <c r="E1104">
        <v>50</v>
      </c>
      <c r="F1104">
        <v>50.501811981000003</v>
      </c>
      <c r="G1104">
        <v>1327.4348144999999</v>
      </c>
      <c r="H1104">
        <v>1325.2036132999999</v>
      </c>
      <c r="I1104">
        <v>1344.8155518000001</v>
      </c>
      <c r="J1104">
        <v>1339.8225098</v>
      </c>
      <c r="K1104">
        <v>0</v>
      </c>
      <c r="L1104">
        <v>550</v>
      </c>
      <c r="M1104">
        <v>550</v>
      </c>
      <c r="N1104">
        <v>0</v>
      </c>
    </row>
    <row r="1105" spans="1:14" x14ac:dyDescent="0.25">
      <c r="A1105">
        <v>1285.725085</v>
      </c>
      <c r="B1105" s="1">
        <f>DATE(2013,11,6) + TIME(17,24,7)</f>
        <v>41584.725081018521</v>
      </c>
      <c r="C1105">
        <v>80</v>
      </c>
      <c r="D1105">
        <v>79.236427307</v>
      </c>
      <c r="E1105">
        <v>50</v>
      </c>
      <c r="F1105">
        <v>50.416538238999998</v>
      </c>
      <c r="G1105">
        <v>1327.4210204999999</v>
      </c>
      <c r="H1105">
        <v>1325.1853027</v>
      </c>
      <c r="I1105">
        <v>1344.7960204999999</v>
      </c>
      <c r="J1105">
        <v>1339.8070068</v>
      </c>
      <c r="K1105">
        <v>0</v>
      </c>
      <c r="L1105">
        <v>550</v>
      </c>
      <c r="M1105">
        <v>550</v>
      </c>
      <c r="N1105">
        <v>0</v>
      </c>
    </row>
    <row r="1106" spans="1:14" x14ac:dyDescent="0.25">
      <c r="A1106">
        <v>1286.2796719999999</v>
      </c>
      <c r="B1106" s="1">
        <f>DATE(2013,11,7) + TIME(6,42,43)</f>
        <v>41585.279664351852</v>
      </c>
      <c r="C1106">
        <v>80</v>
      </c>
      <c r="D1106">
        <v>79.183860779</v>
      </c>
      <c r="E1106">
        <v>50</v>
      </c>
      <c r="F1106">
        <v>50.341121674</v>
      </c>
      <c r="G1106">
        <v>1327.4066161999999</v>
      </c>
      <c r="H1106">
        <v>1325.1661377</v>
      </c>
      <c r="I1106">
        <v>1344.7779541</v>
      </c>
      <c r="J1106">
        <v>1339.7928466999999</v>
      </c>
      <c r="K1106">
        <v>0</v>
      </c>
      <c r="L1106">
        <v>550</v>
      </c>
      <c r="M1106">
        <v>550</v>
      </c>
      <c r="N1106">
        <v>0</v>
      </c>
    </row>
    <row r="1107" spans="1:14" x14ac:dyDescent="0.25">
      <c r="A1107">
        <v>1286.8572300000001</v>
      </c>
      <c r="B1107" s="1">
        <f>DATE(2013,11,7) + TIME(20,34,24)</f>
        <v>41585.857222222221</v>
      </c>
      <c r="C1107">
        <v>80</v>
      </c>
      <c r="D1107">
        <v>79.130065918</v>
      </c>
      <c r="E1107">
        <v>50</v>
      </c>
      <c r="F1107">
        <v>50.274730681999998</v>
      </c>
      <c r="G1107">
        <v>1327.3916016000001</v>
      </c>
      <c r="H1107">
        <v>1325.1461182</v>
      </c>
      <c r="I1107">
        <v>1344.7612305</v>
      </c>
      <c r="J1107">
        <v>1339.7797852000001</v>
      </c>
      <c r="K1107">
        <v>0</v>
      </c>
      <c r="L1107">
        <v>550</v>
      </c>
      <c r="M1107">
        <v>550</v>
      </c>
      <c r="N1107">
        <v>0</v>
      </c>
    </row>
    <row r="1108" spans="1:14" x14ac:dyDescent="0.25">
      <c r="A1108">
        <v>1287.4592970000001</v>
      </c>
      <c r="B1108" s="1">
        <f>DATE(2013,11,8) + TIME(11,1,23)</f>
        <v>41586.459293981483</v>
      </c>
      <c r="C1108">
        <v>80</v>
      </c>
      <c r="D1108">
        <v>79.074951171999999</v>
      </c>
      <c r="E1108">
        <v>50</v>
      </c>
      <c r="F1108">
        <v>50.216564177999999</v>
      </c>
      <c r="G1108">
        <v>1327.3760986</v>
      </c>
      <c r="H1108">
        <v>1325.1252440999999</v>
      </c>
      <c r="I1108">
        <v>1344.7458495999999</v>
      </c>
      <c r="J1108">
        <v>1339.7677002</v>
      </c>
      <c r="K1108">
        <v>0</v>
      </c>
      <c r="L1108">
        <v>550</v>
      </c>
      <c r="M1108">
        <v>550</v>
      </c>
      <c r="N1108">
        <v>0</v>
      </c>
    </row>
    <row r="1109" spans="1:14" x14ac:dyDescent="0.25">
      <c r="A1109">
        <v>1288.0875490000001</v>
      </c>
      <c r="B1109" s="1">
        <f>DATE(2013,11,9) + TIME(2,6,4)</f>
        <v>41587.087546296294</v>
      </c>
      <c r="C1109">
        <v>80</v>
      </c>
      <c r="D1109">
        <v>79.018417357999994</v>
      </c>
      <c r="E1109">
        <v>50</v>
      </c>
      <c r="F1109">
        <v>50.165874481000003</v>
      </c>
      <c r="G1109">
        <v>1327.3598632999999</v>
      </c>
      <c r="H1109">
        <v>1325.1033935999999</v>
      </c>
      <c r="I1109">
        <v>1344.7316894999999</v>
      </c>
      <c r="J1109">
        <v>1339.7567139</v>
      </c>
      <c r="K1109">
        <v>0</v>
      </c>
      <c r="L1109">
        <v>550</v>
      </c>
      <c r="M1109">
        <v>550</v>
      </c>
      <c r="N1109">
        <v>0</v>
      </c>
    </row>
    <row r="1110" spans="1:14" x14ac:dyDescent="0.25">
      <c r="A1110">
        <v>1288.743819</v>
      </c>
      <c r="B1110" s="1">
        <f>DATE(2013,11,9) + TIME(17,51,5)</f>
        <v>41587.743807870371</v>
      </c>
      <c r="C1110">
        <v>80</v>
      </c>
      <c r="D1110">
        <v>78.960342406999999</v>
      </c>
      <c r="E1110">
        <v>50</v>
      </c>
      <c r="F1110">
        <v>50.121948242000002</v>
      </c>
      <c r="G1110">
        <v>1327.3428954999999</v>
      </c>
      <c r="H1110">
        <v>1325.0804443</v>
      </c>
      <c r="I1110">
        <v>1344.7185059000001</v>
      </c>
      <c r="J1110">
        <v>1339.746582</v>
      </c>
      <c r="K1110">
        <v>0</v>
      </c>
      <c r="L1110">
        <v>550</v>
      </c>
      <c r="M1110">
        <v>550</v>
      </c>
      <c r="N1110">
        <v>0</v>
      </c>
    </row>
    <row r="1111" spans="1:14" x14ac:dyDescent="0.25">
      <c r="A1111">
        <v>1289.43012</v>
      </c>
      <c r="B1111" s="1">
        <f>DATE(2013,11,10) + TIME(10,19,22)</f>
        <v>41588.430115740739</v>
      </c>
      <c r="C1111">
        <v>80</v>
      </c>
      <c r="D1111">
        <v>78.900611877000003</v>
      </c>
      <c r="E1111">
        <v>50</v>
      </c>
      <c r="F1111">
        <v>50.084106445000003</v>
      </c>
      <c r="G1111">
        <v>1327.3250731999999</v>
      </c>
      <c r="H1111">
        <v>1325.0565185999999</v>
      </c>
      <c r="I1111">
        <v>1344.7062988</v>
      </c>
      <c r="J1111">
        <v>1339.7370605000001</v>
      </c>
      <c r="K1111">
        <v>0</v>
      </c>
      <c r="L1111">
        <v>550</v>
      </c>
      <c r="M1111">
        <v>550</v>
      </c>
      <c r="N1111">
        <v>0</v>
      </c>
    </row>
    <row r="1112" spans="1:14" x14ac:dyDescent="0.25">
      <c r="A1112">
        <v>1290.1486620000001</v>
      </c>
      <c r="B1112" s="1">
        <f>DATE(2013,11,11) + TIME(3,34,4)</f>
        <v>41589.148657407408</v>
      </c>
      <c r="C1112">
        <v>80</v>
      </c>
      <c r="D1112">
        <v>78.839103699000006</v>
      </c>
      <c r="E1112">
        <v>50</v>
      </c>
      <c r="F1112">
        <v>50.051719665999997</v>
      </c>
      <c r="G1112">
        <v>1327.3065185999999</v>
      </c>
      <c r="H1112">
        <v>1325.0314940999999</v>
      </c>
      <c r="I1112">
        <v>1344.6950684000001</v>
      </c>
      <c r="J1112">
        <v>1339.7283935999999</v>
      </c>
      <c r="K1112">
        <v>0</v>
      </c>
      <c r="L1112">
        <v>550</v>
      </c>
      <c r="M1112">
        <v>550</v>
      </c>
      <c r="N1112">
        <v>0</v>
      </c>
    </row>
    <row r="1113" spans="1:14" x14ac:dyDescent="0.25">
      <c r="A1113">
        <v>1290.9015690000001</v>
      </c>
      <c r="B1113" s="1">
        <f>DATE(2013,11,11) + TIME(21,38,15)</f>
        <v>41589.901562500003</v>
      </c>
      <c r="C1113">
        <v>80</v>
      </c>
      <c r="D1113">
        <v>78.775688170999999</v>
      </c>
      <c r="E1113">
        <v>50</v>
      </c>
      <c r="F1113">
        <v>50.024200438999998</v>
      </c>
      <c r="G1113">
        <v>1327.2871094</v>
      </c>
      <c r="H1113">
        <v>1325.005249</v>
      </c>
      <c r="I1113">
        <v>1344.6844481999999</v>
      </c>
      <c r="J1113">
        <v>1339.7203368999999</v>
      </c>
      <c r="K1113">
        <v>0</v>
      </c>
      <c r="L1113">
        <v>550</v>
      </c>
      <c r="M1113">
        <v>550</v>
      </c>
      <c r="N1113">
        <v>0</v>
      </c>
    </row>
    <row r="1114" spans="1:14" x14ac:dyDescent="0.25">
      <c r="A1114">
        <v>1291.691828</v>
      </c>
      <c r="B1114" s="1">
        <f>DATE(2013,11,12) + TIME(16,36,13)</f>
        <v>41590.691817129627</v>
      </c>
      <c r="C1114">
        <v>80</v>
      </c>
      <c r="D1114">
        <v>78.710197449000006</v>
      </c>
      <c r="E1114">
        <v>50</v>
      </c>
      <c r="F1114">
        <v>50.000980376999998</v>
      </c>
      <c r="G1114">
        <v>1327.2668457</v>
      </c>
      <c r="H1114">
        <v>1324.9776611</v>
      </c>
      <c r="I1114">
        <v>1344.6745605000001</v>
      </c>
      <c r="J1114">
        <v>1339.7127685999999</v>
      </c>
      <c r="K1114">
        <v>0</v>
      </c>
      <c r="L1114">
        <v>550</v>
      </c>
      <c r="M1114">
        <v>550</v>
      </c>
      <c r="N1114">
        <v>0</v>
      </c>
    </row>
    <row r="1115" spans="1:14" x14ac:dyDescent="0.25">
      <c r="A1115">
        <v>1292.522442</v>
      </c>
      <c r="B1115" s="1">
        <f>DATE(2013,11,13) + TIME(12,32,18)</f>
        <v>41591.522430555553</v>
      </c>
      <c r="C1115">
        <v>80</v>
      </c>
      <c r="D1115">
        <v>78.642471313000001</v>
      </c>
      <c r="E1115">
        <v>50</v>
      </c>
      <c r="F1115">
        <v>49.981525421000001</v>
      </c>
      <c r="G1115">
        <v>1327.2453613</v>
      </c>
      <c r="H1115">
        <v>1324.9486084</v>
      </c>
      <c r="I1115">
        <v>1344.6654053</v>
      </c>
      <c r="J1115">
        <v>1339.7056885</v>
      </c>
      <c r="K1115">
        <v>0</v>
      </c>
      <c r="L1115">
        <v>550</v>
      </c>
      <c r="M1115">
        <v>550</v>
      </c>
      <c r="N1115">
        <v>0</v>
      </c>
    </row>
    <row r="1116" spans="1:14" x14ac:dyDescent="0.25">
      <c r="A1116">
        <v>1293.396739</v>
      </c>
      <c r="B1116" s="1">
        <f>DATE(2013,11,14) + TIME(9,31,18)</f>
        <v>41592.396736111114</v>
      </c>
      <c r="C1116">
        <v>80</v>
      </c>
      <c r="D1116">
        <v>78.572319031000006</v>
      </c>
      <c r="E1116">
        <v>50</v>
      </c>
      <c r="F1116">
        <v>49.965373993</v>
      </c>
      <c r="G1116">
        <v>1327.2229004000001</v>
      </c>
      <c r="H1116">
        <v>1324.9180908000001</v>
      </c>
      <c r="I1116">
        <v>1344.6567382999999</v>
      </c>
      <c r="J1116">
        <v>1339.6990966999999</v>
      </c>
      <c r="K1116">
        <v>0</v>
      </c>
      <c r="L1116">
        <v>550</v>
      </c>
      <c r="M1116">
        <v>550</v>
      </c>
      <c r="N1116">
        <v>0</v>
      </c>
    </row>
    <row r="1117" spans="1:14" x14ac:dyDescent="0.25">
      <c r="A1117">
        <v>1294.3184349999999</v>
      </c>
      <c r="B1117" s="1">
        <f>DATE(2013,11,15) + TIME(7,38,32)</f>
        <v>41593.318425925929</v>
      </c>
      <c r="C1117">
        <v>80</v>
      </c>
      <c r="D1117">
        <v>78.499549865999995</v>
      </c>
      <c r="E1117">
        <v>50</v>
      </c>
      <c r="F1117">
        <v>49.952079773000001</v>
      </c>
      <c r="G1117">
        <v>1327.1993408000001</v>
      </c>
      <c r="H1117">
        <v>1324.8859863</v>
      </c>
      <c r="I1117">
        <v>1344.6485596</v>
      </c>
      <c r="J1117">
        <v>1339.692749</v>
      </c>
      <c r="K1117">
        <v>0</v>
      </c>
      <c r="L1117">
        <v>550</v>
      </c>
      <c r="M1117">
        <v>550</v>
      </c>
      <c r="N1117">
        <v>0</v>
      </c>
    </row>
    <row r="1118" spans="1:14" x14ac:dyDescent="0.25">
      <c r="A1118">
        <v>1295.291682</v>
      </c>
      <c r="B1118" s="1">
        <f>DATE(2013,11,16) + TIME(7,0,1)</f>
        <v>41594.291678240741</v>
      </c>
      <c r="C1118">
        <v>80</v>
      </c>
      <c r="D1118">
        <v>78.423950195000003</v>
      </c>
      <c r="E1118">
        <v>50</v>
      </c>
      <c r="F1118">
        <v>49.941246032999999</v>
      </c>
      <c r="G1118">
        <v>1327.1743164</v>
      </c>
      <c r="H1118">
        <v>1324.8519286999999</v>
      </c>
      <c r="I1118">
        <v>1344.6408690999999</v>
      </c>
      <c r="J1118">
        <v>1339.6867675999999</v>
      </c>
      <c r="K1118">
        <v>0</v>
      </c>
      <c r="L1118">
        <v>550</v>
      </c>
      <c r="M1118">
        <v>550</v>
      </c>
      <c r="N1118">
        <v>0</v>
      </c>
    </row>
    <row r="1119" spans="1:14" x14ac:dyDescent="0.25">
      <c r="A1119">
        <v>1296.3089239999999</v>
      </c>
      <c r="B1119" s="1">
        <f>DATE(2013,11,17) + TIME(7,24,51)</f>
        <v>41595.308923611112</v>
      </c>
      <c r="C1119">
        <v>80</v>
      </c>
      <c r="D1119">
        <v>78.346046447999996</v>
      </c>
      <c r="E1119">
        <v>50</v>
      </c>
      <c r="F1119">
        <v>49.932586669999999</v>
      </c>
      <c r="G1119">
        <v>1327.1480713000001</v>
      </c>
      <c r="H1119">
        <v>1324.8161620999999</v>
      </c>
      <c r="I1119">
        <v>1344.6336670000001</v>
      </c>
      <c r="J1119">
        <v>1339.6811522999999</v>
      </c>
      <c r="K1119">
        <v>0</v>
      </c>
      <c r="L1119">
        <v>550</v>
      </c>
      <c r="M1119">
        <v>550</v>
      </c>
      <c r="N1119">
        <v>0</v>
      </c>
    </row>
    <row r="1120" spans="1:14" x14ac:dyDescent="0.25">
      <c r="A1120">
        <v>1297.3534979999999</v>
      </c>
      <c r="B1120" s="1">
        <f>DATE(2013,11,18) + TIME(8,29,2)</f>
        <v>41596.353495370371</v>
      </c>
      <c r="C1120">
        <v>80</v>
      </c>
      <c r="D1120">
        <v>78.266906738000003</v>
      </c>
      <c r="E1120">
        <v>50</v>
      </c>
      <c r="F1120">
        <v>49.925819396999998</v>
      </c>
      <c r="G1120">
        <v>1327.1206055</v>
      </c>
      <c r="H1120">
        <v>1324.7786865</v>
      </c>
      <c r="I1120">
        <v>1344.6268310999999</v>
      </c>
      <c r="J1120">
        <v>1339.6757812000001</v>
      </c>
      <c r="K1120">
        <v>0</v>
      </c>
      <c r="L1120">
        <v>550</v>
      </c>
      <c r="M1120">
        <v>550</v>
      </c>
      <c r="N1120">
        <v>0</v>
      </c>
    </row>
    <row r="1121" spans="1:14" x14ac:dyDescent="0.25">
      <c r="A1121">
        <v>1298.428169</v>
      </c>
      <c r="B1121" s="1">
        <f>DATE(2013,11,19) + TIME(10,16,33)</f>
        <v>41597.428159722222</v>
      </c>
      <c r="C1121">
        <v>80</v>
      </c>
      <c r="D1121">
        <v>78.186424255000006</v>
      </c>
      <c r="E1121">
        <v>50</v>
      </c>
      <c r="F1121">
        <v>49.920555114999999</v>
      </c>
      <c r="G1121">
        <v>1327.0922852000001</v>
      </c>
      <c r="H1121">
        <v>1324.7401123</v>
      </c>
      <c r="I1121">
        <v>1344.6204834</v>
      </c>
      <c r="J1121">
        <v>1339.6707764</v>
      </c>
      <c r="K1121">
        <v>0</v>
      </c>
      <c r="L1121">
        <v>550</v>
      </c>
      <c r="M1121">
        <v>550</v>
      </c>
      <c r="N1121">
        <v>0</v>
      </c>
    </row>
    <row r="1122" spans="1:14" x14ac:dyDescent="0.25">
      <c r="A1122">
        <v>1299.535159</v>
      </c>
      <c r="B1122" s="1">
        <f>DATE(2013,11,20) + TIME(12,50,37)</f>
        <v>41598.535150462965</v>
      </c>
      <c r="C1122">
        <v>80</v>
      </c>
      <c r="D1122">
        <v>78.104507446</v>
      </c>
      <c r="E1122">
        <v>50</v>
      </c>
      <c r="F1122">
        <v>49.916481017999999</v>
      </c>
      <c r="G1122">
        <v>1327.0631103999999</v>
      </c>
      <c r="H1122">
        <v>1324.7003173999999</v>
      </c>
      <c r="I1122">
        <v>1344.6145019999999</v>
      </c>
      <c r="J1122">
        <v>1339.6660156</v>
      </c>
      <c r="K1122">
        <v>0</v>
      </c>
      <c r="L1122">
        <v>550</v>
      </c>
      <c r="M1122">
        <v>550</v>
      </c>
      <c r="N1122">
        <v>0</v>
      </c>
    </row>
    <row r="1123" spans="1:14" x14ac:dyDescent="0.25">
      <c r="A1123">
        <v>1300.6768460000001</v>
      </c>
      <c r="B1123" s="1">
        <f>DATE(2013,11,21) + TIME(16,14,39)</f>
        <v>41599.676840277774</v>
      </c>
      <c r="C1123">
        <v>80</v>
      </c>
      <c r="D1123">
        <v>78.021064757999994</v>
      </c>
      <c r="E1123">
        <v>50</v>
      </c>
      <c r="F1123">
        <v>49.913345337000003</v>
      </c>
      <c r="G1123">
        <v>1327.0329589999999</v>
      </c>
      <c r="H1123">
        <v>1324.6591797000001</v>
      </c>
      <c r="I1123">
        <v>1344.6090088000001</v>
      </c>
      <c r="J1123">
        <v>1339.661499</v>
      </c>
      <c r="K1123">
        <v>0</v>
      </c>
      <c r="L1123">
        <v>550</v>
      </c>
      <c r="M1123">
        <v>550</v>
      </c>
      <c r="N1123">
        <v>0</v>
      </c>
    </row>
    <row r="1124" spans="1:14" x14ac:dyDescent="0.25">
      <c r="A1124">
        <v>1301.855773</v>
      </c>
      <c r="B1124" s="1">
        <f>DATE(2013,11,22) + TIME(20,32,18)</f>
        <v>41600.855763888889</v>
      </c>
      <c r="C1124">
        <v>80</v>
      </c>
      <c r="D1124">
        <v>77.936012267999999</v>
      </c>
      <c r="E1124">
        <v>50</v>
      </c>
      <c r="F1124">
        <v>49.910945892000001</v>
      </c>
      <c r="G1124">
        <v>1327.0018310999999</v>
      </c>
      <c r="H1124">
        <v>1324.6165771000001</v>
      </c>
      <c r="I1124">
        <v>1344.6036377</v>
      </c>
      <c r="J1124">
        <v>1339.6571045000001</v>
      </c>
      <c r="K1124">
        <v>0</v>
      </c>
      <c r="L1124">
        <v>550</v>
      </c>
      <c r="M1124">
        <v>550</v>
      </c>
      <c r="N1124">
        <v>0</v>
      </c>
    </row>
    <row r="1125" spans="1:14" x14ac:dyDescent="0.25">
      <c r="A1125">
        <v>1303.07467</v>
      </c>
      <c r="B1125" s="1">
        <f>DATE(2013,11,24) + TIME(1,47,31)</f>
        <v>41602.074664351851</v>
      </c>
      <c r="C1125">
        <v>80</v>
      </c>
      <c r="D1125">
        <v>77.849235535000005</v>
      </c>
      <c r="E1125">
        <v>50</v>
      </c>
      <c r="F1125">
        <v>49.909122467000003</v>
      </c>
      <c r="G1125">
        <v>1326.9697266000001</v>
      </c>
      <c r="H1125">
        <v>1324.5726318</v>
      </c>
      <c r="I1125">
        <v>1344.5986327999999</v>
      </c>
      <c r="J1125">
        <v>1339.652832</v>
      </c>
      <c r="K1125">
        <v>0</v>
      </c>
      <c r="L1125">
        <v>550</v>
      </c>
      <c r="M1125">
        <v>550</v>
      </c>
      <c r="N1125">
        <v>0</v>
      </c>
    </row>
    <row r="1126" spans="1:14" x14ac:dyDescent="0.25">
      <c r="A1126">
        <v>1304.3364839999999</v>
      </c>
      <c r="B1126" s="1">
        <f>DATE(2013,11,25) + TIME(8,4,32)</f>
        <v>41603.336481481485</v>
      </c>
      <c r="C1126">
        <v>80</v>
      </c>
      <c r="D1126">
        <v>77.760627747000001</v>
      </c>
      <c r="E1126">
        <v>50</v>
      </c>
      <c r="F1126">
        <v>49.907752991000002</v>
      </c>
      <c r="G1126">
        <v>1326.9364014</v>
      </c>
      <c r="H1126">
        <v>1324.5269774999999</v>
      </c>
      <c r="I1126">
        <v>1344.5938721</v>
      </c>
      <c r="J1126">
        <v>1339.6488036999999</v>
      </c>
      <c r="K1126">
        <v>0</v>
      </c>
      <c r="L1126">
        <v>550</v>
      </c>
      <c r="M1126">
        <v>550</v>
      </c>
      <c r="N1126">
        <v>0</v>
      </c>
    </row>
    <row r="1127" spans="1:14" x14ac:dyDescent="0.25">
      <c r="A1127">
        <v>1305.6443859999999</v>
      </c>
      <c r="B1127" s="1">
        <f>DATE(2013,11,26) + TIME(15,27,54)</f>
        <v>41604.644375000003</v>
      </c>
      <c r="C1127">
        <v>80</v>
      </c>
      <c r="D1127">
        <v>77.670051575000002</v>
      </c>
      <c r="E1127">
        <v>50</v>
      </c>
      <c r="F1127">
        <v>49.906730652</v>
      </c>
      <c r="G1127">
        <v>1326.9019774999999</v>
      </c>
      <c r="H1127">
        <v>1324.4797363</v>
      </c>
      <c r="I1127">
        <v>1344.5892334</v>
      </c>
      <c r="J1127">
        <v>1339.6447754000001</v>
      </c>
      <c r="K1127">
        <v>0</v>
      </c>
      <c r="L1127">
        <v>550</v>
      </c>
      <c r="M1127">
        <v>550</v>
      </c>
      <c r="N1127">
        <v>0</v>
      </c>
    </row>
    <row r="1128" spans="1:14" x14ac:dyDescent="0.25">
      <c r="A1128">
        <v>1307.0018339999999</v>
      </c>
      <c r="B1128" s="1">
        <f>DATE(2013,11,28) + TIME(0,2,38)</f>
        <v>41606.001828703702</v>
      </c>
      <c r="C1128">
        <v>80</v>
      </c>
      <c r="D1128">
        <v>77.577384949000006</v>
      </c>
      <c r="E1128">
        <v>50</v>
      </c>
      <c r="F1128">
        <v>49.905979156000001</v>
      </c>
      <c r="G1128">
        <v>1326.8662108999999</v>
      </c>
      <c r="H1128">
        <v>1324.4307861</v>
      </c>
      <c r="I1128">
        <v>1344.5848389</v>
      </c>
      <c r="J1128">
        <v>1339.6408690999999</v>
      </c>
      <c r="K1128">
        <v>0</v>
      </c>
      <c r="L1128">
        <v>550</v>
      </c>
      <c r="M1128">
        <v>550</v>
      </c>
      <c r="N1128">
        <v>0</v>
      </c>
    </row>
    <row r="1129" spans="1:14" x14ac:dyDescent="0.25">
      <c r="A1129">
        <v>1308.4124059999999</v>
      </c>
      <c r="B1129" s="1">
        <f>DATE(2013,11,29) + TIME(9,53,51)</f>
        <v>41607.412395833337</v>
      </c>
      <c r="C1129">
        <v>80</v>
      </c>
      <c r="D1129">
        <v>77.482482910000002</v>
      </c>
      <c r="E1129">
        <v>50</v>
      </c>
      <c r="F1129">
        <v>49.905437468999999</v>
      </c>
      <c r="G1129">
        <v>1326.8291016000001</v>
      </c>
      <c r="H1129">
        <v>1324.3797606999999</v>
      </c>
      <c r="I1129">
        <v>1344.5806885</v>
      </c>
      <c r="J1129">
        <v>1339.6370850000001</v>
      </c>
      <c r="K1129">
        <v>0</v>
      </c>
      <c r="L1129">
        <v>550</v>
      </c>
      <c r="M1129">
        <v>550</v>
      </c>
      <c r="N1129">
        <v>0</v>
      </c>
    </row>
    <row r="1130" spans="1:14" x14ac:dyDescent="0.25">
      <c r="A1130">
        <v>1309.879911</v>
      </c>
      <c r="B1130" s="1">
        <f>DATE(2013,11,30) + TIME(21,7,4)</f>
        <v>41608.879907407405</v>
      </c>
      <c r="C1130">
        <v>80</v>
      </c>
      <c r="D1130">
        <v>77.385200499999996</v>
      </c>
      <c r="E1130">
        <v>50</v>
      </c>
      <c r="F1130">
        <v>49.905056000000002</v>
      </c>
      <c r="G1130">
        <v>1326.7905272999999</v>
      </c>
      <c r="H1130">
        <v>1324.3267822</v>
      </c>
      <c r="I1130">
        <v>1344.5765381000001</v>
      </c>
      <c r="J1130">
        <v>1339.6334228999999</v>
      </c>
      <c r="K1130">
        <v>0</v>
      </c>
      <c r="L1130">
        <v>550</v>
      </c>
      <c r="M1130">
        <v>550</v>
      </c>
      <c r="N1130">
        <v>0</v>
      </c>
    </row>
    <row r="1131" spans="1:14" x14ac:dyDescent="0.25">
      <c r="A1131">
        <v>1310</v>
      </c>
      <c r="B1131" s="1">
        <f>DATE(2013,12,1) + TIME(0,0,0)</f>
        <v>41609</v>
      </c>
      <c r="C1131">
        <v>80</v>
      </c>
      <c r="D1131">
        <v>77.374832153</v>
      </c>
      <c r="E1131">
        <v>50</v>
      </c>
      <c r="F1131">
        <v>49.905025481999999</v>
      </c>
      <c r="G1131">
        <v>1326.7568358999999</v>
      </c>
      <c r="H1131">
        <v>1324.2838135</v>
      </c>
      <c r="I1131">
        <v>1344.5721435999999</v>
      </c>
      <c r="J1131">
        <v>1339.6295166</v>
      </c>
      <c r="K1131">
        <v>0</v>
      </c>
      <c r="L1131">
        <v>550</v>
      </c>
      <c r="M1131">
        <v>550</v>
      </c>
      <c r="N1131">
        <v>0</v>
      </c>
    </row>
    <row r="1132" spans="1:14" x14ac:dyDescent="0.25">
      <c r="A1132">
        <v>1311.529358</v>
      </c>
      <c r="B1132" s="1">
        <f>DATE(2013,12,2) + TIME(12,42,16)</f>
        <v>41610.529351851852</v>
      </c>
      <c r="C1132">
        <v>80</v>
      </c>
      <c r="D1132">
        <v>77.275665282999995</v>
      </c>
      <c r="E1132">
        <v>50</v>
      </c>
      <c r="F1132">
        <v>49.904781342</v>
      </c>
      <c r="G1132">
        <v>1326.746582</v>
      </c>
      <c r="H1132">
        <v>1324.2662353999999</v>
      </c>
      <c r="I1132">
        <v>1344.5723877</v>
      </c>
      <c r="J1132">
        <v>1339.6293945</v>
      </c>
      <c r="K1132">
        <v>0</v>
      </c>
      <c r="L1132">
        <v>550</v>
      </c>
      <c r="M1132">
        <v>550</v>
      </c>
      <c r="N1132">
        <v>0</v>
      </c>
    </row>
    <row r="1133" spans="1:14" x14ac:dyDescent="0.25">
      <c r="A1133">
        <v>1313.1312089999999</v>
      </c>
      <c r="B1133" s="1">
        <f>DATE(2013,12,4) + TIME(3,8,56)</f>
        <v>41612.131203703706</v>
      </c>
      <c r="C1133">
        <v>80</v>
      </c>
      <c r="D1133">
        <v>77.173316955999994</v>
      </c>
      <c r="E1133">
        <v>50</v>
      </c>
      <c r="F1133">
        <v>49.904624939000001</v>
      </c>
      <c r="G1133">
        <v>1326.7049560999999</v>
      </c>
      <c r="H1133">
        <v>1324.2089844</v>
      </c>
      <c r="I1133">
        <v>1344.5686035000001</v>
      </c>
      <c r="J1133">
        <v>1339.6257324000001</v>
      </c>
      <c r="K1133">
        <v>0</v>
      </c>
      <c r="L1133">
        <v>550</v>
      </c>
      <c r="M1133">
        <v>550</v>
      </c>
      <c r="N1133">
        <v>0</v>
      </c>
    </row>
    <row r="1134" spans="1:14" x14ac:dyDescent="0.25">
      <c r="A1134">
        <v>1314.8055449999999</v>
      </c>
      <c r="B1134" s="1">
        <f>DATE(2013,12,5) + TIME(19,19,59)</f>
        <v>41613.805543981478</v>
      </c>
      <c r="C1134">
        <v>80</v>
      </c>
      <c r="D1134">
        <v>77.067840575999995</v>
      </c>
      <c r="E1134">
        <v>50</v>
      </c>
      <c r="F1134">
        <v>49.904537200999997</v>
      </c>
      <c r="G1134">
        <v>1326.6612548999999</v>
      </c>
      <c r="H1134">
        <v>1324.1489257999999</v>
      </c>
      <c r="I1134">
        <v>1344.5648193</v>
      </c>
      <c r="J1134">
        <v>1339.6221923999999</v>
      </c>
      <c r="K1134">
        <v>0</v>
      </c>
      <c r="L1134">
        <v>550</v>
      </c>
      <c r="M1134">
        <v>550</v>
      </c>
      <c r="N1134">
        <v>0</v>
      </c>
    </row>
    <row r="1135" spans="1:14" x14ac:dyDescent="0.25">
      <c r="A1135">
        <v>1316.5498230000001</v>
      </c>
      <c r="B1135" s="1">
        <f>DATE(2013,12,7) + TIME(13,11,44)</f>
        <v>41615.549814814818</v>
      </c>
      <c r="C1135">
        <v>80</v>
      </c>
      <c r="D1135">
        <v>76.959396362000007</v>
      </c>
      <c r="E1135">
        <v>50</v>
      </c>
      <c r="F1135">
        <v>49.904506683000001</v>
      </c>
      <c r="G1135">
        <v>1326.6156006000001</v>
      </c>
      <c r="H1135">
        <v>1324.0860596</v>
      </c>
      <c r="I1135">
        <v>1344.5612793</v>
      </c>
      <c r="J1135">
        <v>1339.6186522999999</v>
      </c>
      <c r="K1135">
        <v>0</v>
      </c>
      <c r="L1135">
        <v>550</v>
      </c>
      <c r="M1135">
        <v>550</v>
      </c>
      <c r="N1135">
        <v>0</v>
      </c>
    </row>
    <row r="1136" spans="1:14" x14ac:dyDescent="0.25">
      <c r="A1136">
        <v>1318.3412679999999</v>
      </c>
      <c r="B1136" s="1">
        <f>DATE(2013,12,9) + TIME(8,11,25)</f>
        <v>41617.341261574074</v>
      </c>
      <c r="C1136">
        <v>80</v>
      </c>
      <c r="D1136">
        <v>76.849029540999993</v>
      </c>
      <c r="E1136">
        <v>50</v>
      </c>
      <c r="F1136">
        <v>49.904518127000003</v>
      </c>
      <c r="G1136">
        <v>1326.5681152</v>
      </c>
      <c r="H1136">
        <v>1324.0206298999999</v>
      </c>
      <c r="I1136">
        <v>1344.5577393000001</v>
      </c>
      <c r="J1136">
        <v>1339.6152344</v>
      </c>
      <c r="K1136">
        <v>0</v>
      </c>
      <c r="L1136">
        <v>550</v>
      </c>
      <c r="M1136">
        <v>550</v>
      </c>
      <c r="N1136">
        <v>0</v>
      </c>
    </row>
    <row r="1137" spans="1:14" x14ac:dyDescent="0.25">
      <c r="A1137">
        <v>1320.1844880000001</v>
      </c>
      <c r="B1137" s="1">
        <f>DATE(2013,12,11) + TIME(4,25,39)</f>
        <v>41619.184479166666</v>
      </c>
      <c r="C1137">
        <v>80</v>
      </c>
      <c r="D1137">
        <v>76.736694335999999</v>
      </c>
      <c r="E1137">
        <v>50</v>
      </c>
      <c r="F1137">
        <v>49.904556274000001</v>
      </c>
      <c r="G1137">
        <v>1326.5191649999999</v>
      </c>
      <c r="H1137">
        <v>1323.953125</v>
      </c>
      <c r="I1137">
        <v>1344.5544434000001</v>
      </c>
      <c r="J1137">
        <v>1339.6118164</v>
      </c>
      <c r="K1137">
        <v>0</v>
      </c>
      <c r="L1137">
        <v>550</v>
      </c>
      <c r="M1137">
        <v>550</v>
      </c>
      <c r="N1137">
        <v>0</v>
      </c>
    </row>
    <row r="1138" spans="1:14" x14ac:dyDescent="0.25">
      <c r="A1138">
        <v>1322.0837160000001</v>
      </c>
      <c r="B1138" s="1">
        <f>DATE(2013,12,13) + TIME(2,0,33)</f>
        <v>41621.083715277775</v>
      </c>
      <c r="C1138">
        <v>80</v>
      </c>
      <c r="D1138">
        <v>76.622314453000001</v>
      </c>
      <c r="E1138">
        <v>50</v>
      </c>
      <c r="F1138">
        <v>49.904621124000002</v>
      </c>
      <c r="G1138">
        <v>1326.46875</v>
      </c>
      <c r="H1138">
        <v>1323.8835449000001</v>
      </c>
      <c r="I1138">
        <v>1344.5512695</v>
      </c>
      <c r="J1138">
        <v>1339.6085204999999</v>
      </c>
      <c r="K1138">
        <v>0</v>
      </c>
      <c r="L1138">
        <v>550</v>
      </c>
      <c r="M1138">
        <v>550</v>
      </c>
      <c r="N1138">
        <v>0</v>
      </c>
    </row>
    <row r="1139" spans="1:14" x14ac:dyDescent="0.25">
      <c r="A1139">
        <v>1324.0435319999999</v>
      </c>
      <c r="B1139" s="1">
        <f>DATE(2013,12,15) + TIME(1,2,41)</f>
        <v>41623.043530092589</v>
      </c>
      <c r="C1139">
        <v>80</v>
      </c>
      <c r="D1139">
        <v>76.505752563000001</v>
      </c>
      <c r="E1139">
        <v>50</v>
      </c>
      <c r="F1139">
        <v>49.904701232999997</v>
      </c>
      <c r="G1139">
        <v>1326.4167480000001</v>
      </c>
      <c r="H1139">
        <v>1323.8117675999999</v>
      </c>
      <c r="I1139">
        <v>1344.5482178</v>
      </c>
      <c r="J1139">
        <v>1339.6052245999999</v>
      </c>
      <c r="K1139">
        <v>0</v>
      </c>
      <c r="L1139">
        <v>550</v>
      </c>
      <c r="M1139">
        <v>550</v>
      </c>
      <c r="N1139">
        <v>0</v>
      </c>
    </row>
    <row r="1140" spans="1:14" x14ac:dyDescent="0.25">
      <c r="A1140">
        <v>1326.0687809999999</v>
      </c>
      <c r="B1140" s="1">
        <f>DATE(2013,12,17) + TIME(1,39,2)</f>
        <v>41625.068773148145</v>
      </c>
      <c r="C1140">
        <v>80</v>
      </c>
      <c r="D1140">
        <v>76.386833190999994</v>
      </c>
      <c r="E1140">
        <v>50</v>
      </c>
      <c r="F1140">
        <v>49.904796599999997</v>
      </c>
      <c r="G1140">
        <v>1326.3631591999999</v>
      </c>
      <c r="H1140">
        <v>1323.7376709</v>
      </c>
      <c r="I1140">
        <v>1344.5452881000001</v>
      </c>
      <c r="J1140">
        <v>1339.6020507999999</v>
      </c>
      <c r="K1140">
        <v>0</v>
      </c>
      <c r="L1140">
        <v>550</v>
      </c>
      <c r="M1140">
        <v>550</v>
      </c>
      <c r="N1140">
        <v>0</v>
      </c>
    </row>
    <row r="1141" spans="1:14" x14ac:dyDescent="0.25">
      <c r="A1141">
        <v>1328.1647049999999</v>
      </c>
      <c r="B1141" s="1">
        <f>DATE(2013,12,19) + TIME(3,57,10)</f>
        <v>41627.164699074077</v>
      </c>
      <c r="C1141">
        <v>80</v>
      </c>
      <c r="D1141">
        <v>76.265335082999997</v>
      </c>
      <c r="E1141">
        <v>50</v>
      </c>
      <c r="F1141">
        <v>49.904903412000003</v>
      </c>
      <c r="G1141">
        <v>1326.3077393000001</v>
      </c>
      <c r="H1141">
        <v>1323.6610106999999</v>
      </c>
      <c r="I1141">
        <v>1344.5424805</v>
      </c>
      <c r="J1141">
        <v>1339.598999</v>
      </c>
      <c r="K1141">
        <v>0</v>
      </c>
      <c r="L1141">
        <v>550</v>
      </c>
      <c r="M1141">
        <v>550</v>
      </c>
      <c r="N1141">
        <v>0</v>
      </c>
    </row>
    <row r="1142" spans="1:14" x14ac:dyDescent="0.25">
      <c r="A1142">
        <v>1330.3369849999999</v>
      </c>
      <c r="B1142" s="1">
        <f>DATE(2013,12,21) + TIME(8,5,15)</f>
        <v>41629.33697916667</v>
      </c>
      <c r="C1142">
        <v>80</v>
      </c>
      <c r="D1142">
        <v>76.140998839999995</v>
      </c>
      <c r="E1142">
        <v>50</v>
      </c>
      <c r="F1142">
        <v>49.905017852999997</v>
      </c>
      <c r="G1142">
        <v>1326.2504882999999</v>
      </c>
      <c r="H1142">
        <v>1323.5816649999999</v>
      </c>
      <c r="I1142">
        <v>1344.5397949000001</v>
      </c>
      <c r="J1142">
        <v>1339.5959473</v>
      </c>
      <c r="K1142">
        <v>0</v>
      </c>
      <c r="L1142">
        <v>550</v>
      </c>
      <c r="M1142">
        <v>550</v>
      </c>
      <c r="N1142">
        <v>0</v>
      </c>
    </row>
    <row r="1143" spans="1:14" x14ac:dyDescent="0.25">
      <c r="A1143">
        <v>1332.590968</v>
      </c>
      <c r="B1143" s="1">
        <f>DATE(2013,12,23) + TIME(14,10,59)</f>
        <v>41631.590960648151</v>
      </c>
      <c r="C1143">
        <v>80</v>
      </c>
      <c r="D1143">
        <v>76.013557434000006</v>
      </c>
      <c r="E1143">
        <v>50</v>
      </c>
      <c r="F1143">
        <v>49.905139923</v>
      </c>
      <c r="G1143">
        <v>1326.1911620999999</v>
      </c>
      <c r="H1143">
        <v>1323.4995117000001</v>
      </c>
      <c r="I1143">
        <v>1344.5371094</v>
      </c>
      <c r="J1143">
        <v>1339.5928954999999</v>
      </c>
      <c r="K1143">
        <v>0</v>
      </c>
      <c r="L1143">
        <v>550</v>
      </c>
      <c r="M1143">
        <v>550</v>
      </c>
      <c r="N1143">
        <v>0</v>
      </c>
    </row>
    <row r="1144" spans="1:14" x14ac:dyDescent="0.25">
      <c r="A1144">
        <v>1334.9338740000001</v>
      </c>
      <c r="B1144" s="1">
        <f>DATE(2013,12,25) + TIME(22,24,46)</f>
        <v>41633.933865740742</v>
      </c>
      <c r="C1144">
        <v>80</v>
      </c>
      <c r="D1144">
        <v>75.882637024000005</v>
      </c>
      <c r="E1144">
        <v>50</v>
      </c>
      <c r="F1144">
        <v>49.905269623000002</v>
      </c>
      <c r="G1144">
        <v>1326.1297606999999</v>
      </c>
      <c r="H1144">
        <v>1323.4143065999999</v>
      </c>
      <c r="I1144">
        <v>1344.5345459</v>
      </c>
      <c r="J1144">
        <v>1339.5900879000001</v>
      </c>
      <c r="K1144">
        <v>0</v>
      </c>
      <c r="L1144">
        <v>550</v>
      </c>
      <c r="M1144">
        <v>550</v>
      </c>
      <c r="N1144">
        <v>0</v>
      </c>
    </row>
    <row r="1145" spans="1:14" x14ac:dyDescent="0.25">
      <c r="A1145">
        <v>1337.3732319999999</v>
      </c>
      <c r="B1145" s="1">
        <f>DATE(2013,12,28) + TIME(8,57,27)</f>
        <v>41636.373229166667</v>
      </c>
      <c r="C1145">
        <v>80</v>
      </c>
      <c r="D1145">
        <v>75.747833252000007</v>
      </c>
      <c r="E1145">
        <v>50</v>
      </c>
      <c r="F1145">
        <v>49.905406952</v>
      </c>
      <c r="G1145">
        <v>1326.0660399999999</v>
      </c>
      <c r="H1145">
        <v>1323.3258057</v>
      </c>
      <c r="I1145">
        <v>1344.5321045000001</v>
      </c>
      <c r="J1145">
        <v>1339.5871582</v>
      </c>
      <c r="K1145">
        <v>0</v>
      </c>
      <c r="L1145">
        <v>550</v>
      </c>
      <c r="M1145">
        <v>550</v>
      </c>
      <c r="N1145">
        <v>0</v>
      </c>
    </row>
    <row r="1146" spans="1:14" x14ac:dyDescent="0.25">
      <c r="A1146">
        <v>1339.917177</v>
      </c>
      <c r="B1146" s="1">
        <f>DATE(2013,12,30) + TIME(22,0,44)</f>
        <v>41638.917175925926</v>
      </c>
      <c r="C1146">
        <v>80</v>
      </c>
      <c r="D1146">
        <v>75.608680724999999</v>
      </c>
      <c r="E1146">
        <v>50</v>
      </c>
      <c r="F1146">
        <v>49.905544280999997</v>
      </c>
      <c r="G1146">
        <v>1325.9997559000001</v>
      </c>
      <c r="H1146">
        <v>1323.2337646000001</v>
      </c>
      <c r="I1146">
        <v>1344.5296631000001</v>
      </c>
      <c r="J1146">
        <v>1339.5843506000001</v>
      </c>
      <c r="K1146">
        <v>0</v>
      </c>
      <c r="L1146">
        <v>550</v>
      </c>
      <c r="M1146">
        <v>550</v>
      </c>
      <c r="N1146">
        <v>0</v>
      </c>
    </row>
    <row r="1147" spans="1:14" x14ac:dyDescent="0.25">
      <c r="A1147">
        <v>1341</v>
      </c>
      <c r="B1147" s="1">
        <f>DATE(2014,1,1) + TIME(0,0,0)</f>
        <v>41640</v>
      </c>
      <c r="C1147">
        <v>80</v>
      </c>
      <c r="D1147">
        <v>75.531471252000003</v>
      </c>
      <c r="E1147">
        <v>50</v>
      </c>
      <c r="F1147">
        <v>49.905605315999999</v>
      </c>
      <c r="G1147">
        <v>1325.9362793</v>
      </c>
      <c r="H1147">
        <v>1323.1488036999999</v>
      </c>
      <c r="I1147">
        <v>1344.5267334</v>
      </c>
      <c r="J1147">
        <v>1339.5811768000001</v>
      </c>
      <c r="K1147">
        <v>0</v>
      </c>
      <c r="L1147">
        <v>550</v>
      </c>
      <c r="M1147">
        <v>550</v>
      </c>
      <c r="N1147">
        <v>0</v>
      </c>
    </row>
    <row r="1148" spans="1:14" x14ac:dyDescent="0.25">
      <c r="A1148">
        <v>1343.619623</v>
      </c>
      <c r="B1148" s="1">
        <f>DATE(2014,1,3) + TIME(14,52,15)</f>
        <v>41642.619618055556</v>
      </c>
      <c r="C1148">
        <v>80</v>
      </c>
      <c r="D1148">
        <v>75.395446777000004</v>
      </c>
      <c r="E1148">
        <v>50</v>
      </c>
      <c r="F1148">
        <v>49.905750275000003</v>
      </c>
      <c r="G1148">
        <v>1325.8975829999999</v>
      </c>
      <c r="H1148">
        <v>1323.0905762</v>
      </c>
      <c r="I1148">
        <v>1344.5264893000001</v>
      </c>
      <c r="J1148">
        <v>1339.5803223</v>
      </c>
      <c r="K1148">
        <v>0</v>
      </c>
      <c r="L1148">
        <v>550</v>
      </c>
      <c r="M1148">
        <v>550</v>
      </c>
      <c r="N1148">
        <v>0</v>
      </c>
    </row>
    <row r="1149" spans="1:14" x14ac:dyDescent="0.25">
      <c r="A1149">
        <v>1346.347203</v>
      </c>
      <c r="B1149" s="1">
        <f>DATE(2014,1,6) + TIME(8,19,58)</f>
        <v>41645.347199074073</v>
      </c>
      <c r="C1149">
        <v>80</v>
      </c>
      <c r="D1149">
        <v>75.252143860000004</v>
      </c>
      <c r="E1149">
        <v>50</v>
      </c>
      <c r="F1149">
        <v>49.905895233000003</v>
      </c>
      <c r="G1149">
        <v>1325.8283690999999</v>
      </c>
      <c r="H1149">
        <v>1322.9946289</v>
      </c>
      <c r="I1149">
        <v>1344.5241699000001</v>
      </c>
      <c r="J1149">
        <v>1339.5777588000001</v>
      </c>
      <c r="K1149">
        <v>0</v>
      </c>
      <c r="L1149">
        <v>550</v>
      </c>
      <c r="M1149">
        <v>550</v>
      </c>
      <c r="N1149">
        <v>0</v>
      </c>
    </row>
    <row r="1150" spans="1:14" x14ac:dyDescent="0.25">
      <c r="A1150">
        <v>1349.158774</v>
      </c>
      <c r="B1150" s="1">
        <f>DATE(2014,1,9) + TIME(3,48,38)</f>
        <v>41648.158773148149</v>
      </c>
      <c r="C1150">
        <v>80</v>
      </c>
      <c r="D1150">
        <v>75.102867126000007</v>
      </c>
      <c r="E1150">
        <v>50</v>
      </c>
      <c r="F1150">
        <v>49.906047821000001</v>
      </c>
      <c r="G1150">
        <v>1325.7558594</v>
      </c>
      <c r="H1150">
        <v>1322.8939209</v>
      </c>
      <c r="I1150">
        <v>1344.5218506000001</v>
      </c>
      <c r="J1150">
        <v>1339.5750731999999</v>
      </c>
      <c r="K1150">
        <v>0</v>
      </c>
      <c r="L1150">
        <v>550</v>
      </c>
      <c r="M1150">
        <v>550</v>
      </c>
      <c r="N1150">
        <v>0</v>
      </c>
    </row>
    <row r="1151" spans="1:14" x14ac:dyDescent="0.25">
      <c r="A1151">
        <v>1352.062441</v>
      </c>
      <c r="B1151" s="1">
        <f>DATE(2014,1,12) + TIME(1,29,54)</f>
        <v>41651.062430555554</v>
      </c>
      <c r="C1151">
        <v>80</v>
      </c>
      <c r="D1151">
        <v>74.947814941000004</v>
      </c>
      <c r="E1151">
        <v>50</v>
      </c>
      <c r="F1151">
        <v>49.906200409</v>
      </c>
      <c r="G1151">
        <v>1325.6806641000001</v>
      </c>
      <c r="H1151">
        <v>1322.7891846</v>
      </c>
      <c r="I1151">
        <v>1344.5196533000001</v>
      </c>
      <c r="J1151">
        <v>1339.5725098</v>
      </c>
      <c r="K1151">
        <v>0</v>
      </c>
      <c r="L1151">
        <v>550</v>
      </c>
      <c r="M1151">
        <v>550</v>
      </c>
      <c r="N1151">
        <v>0</v>
      </c>
    </row>
    <row r="1152" spans="1:14" x14ac:dyDescent="0.25">
      <c r="A1152">
        <v>1355.066151</v>
      </c>
      <c r="B1152" s="1">
        <f>DATE(2014,1,15) + TIME(1,35,15)</f>
        <v>41654.066145833334</v>
      </c>
      <c r="C1152">
        <v>80</v>
      </c>
      <c r="D1152">
        <v>74.786727905000006</v>
      </c>
      <c r="E1152">
        <v>50</v>
      </c>
      <c r="F1152">
        <v>49.906352996999999</v>
      </c>
      <c r="G1152">
        <v>1325.6030272999999</v>
      </c>
      <c r="H1152">
        <v>1322.6807861</v>
      </c>
      <c r="I1152">
        <v>1344.5175781</v>
      </c>
      <c r="J1152">
        <v>1339.5700684000001</v>
      </c>
      <c r="K1152">
        <v>0</v>
      </c>
      <c r="L1152">
        <v>550</v>
      </c>
      <c r="M1152">
        <v>550</v>
      </c>
      <c r="N1152">
        <v>0</v>
      </c>
    </row>
    <row r="1153" spans="1:14" x14ac:dyDescent="0.25">
      <c r="A1153">
        <v>1358.178453</v>
      </c>
      <c r="B1153" s="1">
        <f>DATE(2014,1,18) + TIME(4,16,58)</f>
        <v>41657.178449074076</v>
      </c>
      <c r="C1153">
        <v>80</v>
      </c>
      <c r="D1153">
        <v>74.619239807</v>
      </c>
      <c r="E1153">
        <v>50</v>
      </c>
      <c r="F1153">
        <v>49.906513214</v>
      </c>
      <c r="G1153">
        <v>1325.5228271000001</v>
      </c>
      <c r="H1153">
        <v>1322.5687256000001</v>
      </c>
      <c r="I1153">
        <v>1344.5153809000001</v>
      </c>
      <c r="J1153">
        <v>1339.5676269999999</v>
      </c>
      <c r="K1153">
        <v>0</v>
      </c>
      <c r="L1153">
        <v>550</v>
      </c>
      <c r="M1153">
        <v>550</v>
      </c>
      <c r="N1153">
        <v>0</v>
      </c>
    </row>
    <row r="1154" spans="1:14" x14ac:dyDescent="0.25">
      <c r="A1154">
        <v>1361.4079609999999</v>
      </c>
      <c r="B1154" s="1">
        <f>DATE(2014,1,21) + TIME(9,47,27)</f>
        <v>41660.407951388886</v>
      </c>
      <c r="C1154">
        <v>80</v>
      </c>
      <c r="D1154">
        <v>74.44468689</v>
      </c>
      <c r="E1154">
        <v>50</v>
      </c>
      <c r="F1154">
        <v>49.906673431000002</v>
      </c>
      <c r="G1154">
        <v>1325.4400635</v>
      </c>
      <c r="H1154">
        <v>1322.4527588000001</v>
      </c>
      <c r="I1154">
        <v>1344.5131836</v>
      </c>
      <c r="J1154">
        <v>1339.5653076000001</v>
      </c>
      <c r="K1154">
        <v>0</v>
      </c>
      <c r="L1154">
        <v>550</v>
      </c>
      <c r="M1154">
        <v>550</v>
      </c>
      <c r="N1154">
        <v>0</v>
      </c>
    </row>
    <row r="1155" spans="1:14" x14ac:dyDescent="0.25">
      <c r="A1155">
        <v>1364.764402</v>
      </c>
      <c r="B1155" s="1">
        <f>DATE(2014,1,24) + TIME(18,20,44)</f>
        <v>41663.764398148145</v>
      </c>
      <c r="C1155">
        <v>80</v>
      </c>
      <c r="D1155">
        <v>74.262184142999999</v>
      </c>
      <c r="E1155">
        <v>50</v>
      </c>
      <c r="F1155">
        <v>49.906837463000002</v>
      </c>
      <c r="G1155">
        <v>1325.3544922000001</v>
      </c>
      <c r="H1155">
        <v>1322.3327637</v>
      </c>
      <c r="I1155">
        <v>1344.5111084</v>
      </c>
      <c r="J1155">
        <v>1339.5628661999999</v>
      </c>
      <c r="K1155">
        <v>0</v>
      </c>
      <c r="L1155">
        <v>550</v>
      </c>
      <c r="M1155">
        <v>550</v>
      </c>
      <c r="N1155">
        <v>0</v>
      </c>
    </row>
    <row r="1156" spans="1:14" x14ac:dyDescent="0.25">
      <c r="A1156">
        <v>1368.258278</v>
      </c>
      <c r="B1156" s="1">
        <f>DATE(2014,1,28) + TIME(6,11,55)</f>
        <v>41667.258275462962</v>
      </c>
      <c r="C1156">
        <v>80</v>
      </c>
      <c r="D1156">
        <v>74.070686339999995</v>
      </c>
      <c r="E1156">
        <v>50</v>
      </c>
      <c r="F1156">
        <v>49.907005310000002</v>
      </c>
      <c r="G1156">
        <v>1325.2659911999999</v>
      </c>
      <c r="H1156">
        <v>1322.2086182</v>
      </c>
      <c r="I1156">
        <v>1344.5089111</v>
      </c>
      <c r="J1156">
        <v>1339.5605469</v>
      </c>
      <c r="K1156">
        <v>0</v>
      </c>
      <c r="L1156">
        <v>550</v>
      </c>
      <c r="M1156">
        <v>550</v>
      </c>
      <c r="N1156">
        <v>0</v>
      </c>
    </row>
    <row r="1157" spans="1:14" x14ac:dyDescent="0.25">
      <c r="A1157">
        <v>1370.1291389999999</v>
      </c>
      <c r="B1157" s="1">
        <f>DATE(2014,1,30) + TIME(3,5,57)</f>
        <v>41669.129131944443</v>
      </c>
      <c r="C1157">
        <v>80</v>
      </c>
      <c r="D1157">
        <v>73.933708190999994</v>
      </c>
      <c r="E1157">
        <v>50</v>
      </c>
      <c r="F1157">
        <v>49.907093048</v>
      </c>
      <c r="G1157">
        <v>1325.1787108999999</v>
      </c>
      <c r="H1157">
        <v>1322.0892334</v>
      </c>
      <c r="I1157">
        <v>1344.5062256000001</v>
      </c>
      <c r="J1157">
        <v>1339.5581055</v>
      </c>
      <c r="K1157">
        <v>0</v>
      </c>
      <c r="L1157">
        <v>550</v>
      </c>
      <c r="M1157">
        <v>550</v>
      </c>
      <c r="N1157">
        <v>0</v>
      </c>
    </row>
    <row r="1158" spans="1:14" x14ac:dyDescent="0.25">
      <c r="A1158">
        <v>1372</v>
      </c>
      <c r="B1158" s="1">
        <f>DATE(2014,2,1) + TIME(0,0,0)</f>
        <v>41671</v>
      </c>
      <c r="C1158">
        <v>80</v>
      </c>
      <c r="D1158">
        <v>73.805458068999997</v>
      </c>
      <c r="E1158">
        <v>50</v>
      </c>
      <c r="F1158">
        <v>49.907180785999998</v>
      </c>
      <c r="G1158">
        <v>1325.1232910000001</v>
      </c>
      <c r="H1158">
        <v>1322.0090332</v>
      </c>
      <c r="I1158">
        <v>1344.5051269999999</v>
      </c>
      <c r="J1158">
        <v>1339.5567627</v>
      </c>
      <c r="K1158">
        <v>0</v>
      </c>
      <c r="L1158">
        <v>550</v>
      </c>
      <c r="M1158">
        <v>550</v>
      </c>
      <c r="N1158">
        <v>0</v>
      </c>
    </row>
    <row r="1159" spans="1:14" x14ac:dyDescent="0.25">
      <c r="A1159">
        <v>1374.575452</v>
      </c>
      <c r="B1159" s="1">
        <f>DATE(2014,2,3) + TIME(13,48,39)</f>
        <v>41673.57545138889</v>
      </c>
      <c r="C1159">
        <v>80</v>
      </c>
      <c r="D1159">
        <v>73.655654906999999</v>
      </c>
      <c r="E1159">
        <v>50</v>
      </c>
      <c r="F1159">
        <v>49.907302856000001</v>
      </c>
      <c r="G1159">
        <v>1325.0683594</v>
      </c>
      <c r="H1159">
        <v>1321.9287108999999</v>
      </c>
      <c r="I1159">
        <v>1344.5041504000001</v>
      </c>
      <c r="J1159">
        <v>1339.5556641000001</v>
      </c>
      <c r="K1159">
        <v>0</v>
      </c>
      <c r="L1159">
        <v>550</v>
      </c>
      <c r="M1159">
        <v>550</v>
      </c>
      <c r="N1159">
        <v>0</v>
      </c>
    </row>
    <row r="1160" spans="1:14" x14ac:dyDescent="0.25">
      <c r="A1160">
        <v>1378.2861</v>
      </c>
      <c r="B1160" s="1">
        <f>DATE(2014,2,7) + TIME(6,51,59)</f>
        <v>41677.286099537036</v>
      </c>
      <c r="C1160">
        <v>80</v>
      </c>
      <c r="D1160">
        <v>73.470100403000004</v>
      </c>
      <c r="E1160">
        <v>50</v>
      </c>
      <c r="F1160">
        <v>49.907474518000001</v>
      </c>
      <c r="G1160">
        <v>1324.9991454999999</v>
      </c>
      <c r="H1160">
        <v>1321.8291016000001</v>
      </c>
      <c r="I1160">
        <v>1344.5028076000001</v>
      </c>
      <c r="J1160">
        <v>1339.5543213000001</v>
      </c>
      <c r="K1160">
        <v>0</v>
      </c>
      <c r="L1160">
        <v>550</v>
      </c>
      <c r="M1160">
        <v>550</v>
      </c>
      <c r="N1160">
        <v>0</v>
      </c>
    </row>
    <row r="1161" spans="1:14" x14ac:dyDescent="0.25">
      <c r="A1161">
        <v>1382.1214150000001</v>
      </c>
      <c r="B1161" s="1">
        <f>DATE(2014,2,11) + TIME(2,54,50)</f>
        <v>41681.121412037035</v>
      </c>
      <c r="C1161">
        <v>80</v>
      </c>
      <c r="D1161">
        <v>73.259452820000007</v>
      </c>
      <c r="E1161">
        <v>50</v>
      </c>
      <c r="F1161">
        <v>49.907646178999997</v>
      </c>
      <c r="G1161">
        <v>1324.9090576000001</v>
      </c>
      <c r="H1161">
        <v>1321.7036132999999</v>
      </c>
      <c r="I1161">
        <v>1344.5003661999999</v>
      </c>
      <c r="J1161">
        <v>1339.5522461</v>
      </c>
      <c r="K1161">
        <v>0</v>
      </c>
      <c r="L1161">
        <v>550</v>
      </c>
      <c r="M1161">
        <v>550</v>
      </c>
      <c r="N1161">
        <v>0</v>
      </c>
    </row>
    <row r="1162" spans="1:14" x14ac:dyDescent="0.25">
      <c r="A1162">
        <v>1386.124861</v>
      </c>
      <c r="B1162" s="1">
        <f>DATE(2014,2,15) + TIME(2,59,48)</f>
        <v>41685.124861111108</v>
      </c>
      <c r="C1162">
        <v>80</v>
      </c>
      <c r="D1162">
        <v>73.028388977000006</v>
      </c>
      <c r="E1162">
        <v>50</v>
      </c>
      <c r="F1162">
        <v>49.907817841000004</v>
      </c>
      <c r="G1162">
        <v>1324.8135986</v>
      </c>
      <c r="H1162">
        <v>1321.5692139</v>
      </c>
      <c r="I1162">
        <v>1344.4978027</v>
      </c>
      <c r="J1162">
        <v>1339.5501709</v>
      </c>
      <c r="K1162">
        <v>0</v>
      </c>
      <c r="L1162">
        <v>550</v>
      </c>
      <c r="M1162">
        <v>550</v>
      </c>
      <c r="N1162">
        <v>0</v>
      </c>
    </row>
    <row r="1163" spans="1:14" x14ac:dyDescent="0.25">
      <c r="A1163">
        <v>1390.3004040000001</v>
      </c>
      <c r="B1163" s="1">
        <f>DATE(2014,2,19) + TIME(7,12,34)</f>
        <v>41689.300393518519</v>
      </c>
      <c r="C1163">
        <v>80</v>
      </c>
      <c r="D1163">
        <v>72.778411864999995</v>
      </c>
      <c r="E1163">
        <v>50</v>
      </c>
      <c r="F1163">
        <v>49.907997131000002</v>
      </c>
      <c r="G1163">
        <v>1324.7137451000001</v>
      </c>
      <c r="H1163">
        <v>1321.4277344</v>
      </c>
      <c r="I1163">
        <v>1344.4952393000001</v>
      </c>
      <c r="J1163">
        <v>1339.5480957</v>
      </c>
      <c r="K1163">
        <v>0</v>
      </c>
      <c r="L1163">
        <v>550</v>
      </c>
      <c r="M1163">
        <v>550</v>
      </c>
      <c r="N1163">
        <v>0</v>
      </c>
    </row>
    <row r="1164" spans="1:14" x14ac:dyDescent="0.25">
      <c r="A1164">
        <v>1394.6146659999999</v>
      </c>
      <c r="B1164" s="1">
        <f>DATE(2014,2,23) + TIME(14,45,7)</f>
        <v>41693.614664351851</v>
      </c>
      <c r="C1164">
        <v>80</v>
      </c>
      <c r="D1164">
        <v>72.510559082</v>
      </c>
      <c r="E1164">
        <v>50</v>
      </c>
      <c r="F1164">
        <v>49.908176421999997</v>
      </c>
      <c r="G1164">
        <v>1324.6099853999999</v>
      </c>
      <c r="H1164">
        <v>1321.2805175999999</v>
      </c>
      <c r="I1164">
        <v>1344.4924315999999</v>
      </c>
      <c r="J1164">
        <v>1339.5458983999999</v>
      </c>
      <c r="K1164">
        <v>0</v>
      </c>
      <c r="L1164">
        <v>550</v>
      </c>
      <c r="M1164">
        <v>550</v>
      </c>
      <c r="N1164">
        <v>0</v>
      </c>
    </row>
    <row r="1165" spans="1:14" x14ac:dyDescent="0.25">
      <c r="A1165">
        <v>1399.0509509999999</v>
      </c>
      <c r="B1165" s="1">
        <f>DATE(2014,2,28) + TIME(1,13,22)</f>
        <v>41698.050949074073</v>
      </c>
      <c r="C1165">
        <v>80</v>
      </c>
      <c r="D1165">
        <v>72.225456238000007</v>
      </c>
      <c r="E1165">
        <v>50</v>
      </c>
      <c r="F1165">
        <v>49.908359527999998</v>
      </c>
      <c r="G1165">
        <v>1324.5035399999999</v>
      </c>
      <c r="H1165">
        <v>1321.1289062000001</v>
      </c>
      <c r="I1165">
        <v>1344.489624</v>
      </c>
      <c r="J1165">
        <v>1339.5438231999999</v>
      </c>
      <c r="K1165">
        <v>0</v>
      </c>
      <c r="L1165">
        <v>550</v>
      </c>
      <c r="M1165">
        <v>550</v>
      </c>
      <c r="N1165">
        <v>0</v>
      </c>
    </row>
    <row r="1166" spans="1:14" x14ac:dyDescent="0.25">
      <c r="A1166">
        <v>1400</v>
      </c>
      <c r="B1166" s="1">
        <f>DATE(2014,3,1) + TIME(0,0,0)</f>
        <v>41699</v>
      </c>
      <c r="C1166">
        <v>80</v>
      </c>
      <c r="D1166">
        <v>72.109939574999999</v>
      </c>
      <c r="E1166">
        <v>50</v>
      </c>
      <c r="F1166">
        <v>49.908393859999997</v>
      </c>
      <c r="G1166">
        <v>1324.4046631000001</v>
      </c>
      <c r="H1166">
        <v>1320.9981689000001</v>
      </c>
      <c r="I1166">
        <v>1344.4857178</v>
      </c>
      <c r="J1166">
        <v>1339.5410156</v>
      </c>
      <c r="K1166">
        <v>0</v>
      </c>
      <c r="L1166">
        <v>550</v>
      </c>
      <c r="M1166">
        <v>550</v>
      </c>
      <c r="N1166">
        <v>0</v>
      </c>
    </row>
    <row r="1167" spans="1:14" x14ac:dyDescent="0.25">
      <c r="A1167">
        <v>1404.5495739999999</v>
      </c>
      <c r="B1167" s="1">
        <f>DATE(2014,3,5) + TIME(13,11,23)</f>
        <v>41703.549571759257</v>
      </c>
      <c r="C1167">
        <v>80</v>
      </c>
      <c r="D1167">
        <v>71.834953307999996</v>
      </c>
      <c r="E1167">
        <v>50</v>
      </c>
      <c r="F1167">
        <v>49.908580780000001</v>
      </c>
      <c r="G1167">
        <v>1324.3643798999999</v>
      </c>
      <c r="H1167">
        <v>1320.927124</v>
      </c>
      <c r="I1167">
        <v>1344.4859618999999</v>
      </c>
      <c r="J1167">
        <v>1339.5411377</v>
      </c>
      <c r="K1167">
        <v>0</v>
      </c>
      <c r="L1167">
        <v>550</v>
      </c>
      <c r="M1167">
        <v>550</v>
      </c>
      <c r="N1167">
        <v>0</v>
      </c>
    </row>
    <row r="1168" spans="1:14" x14ac:dyDescent="0.25">
      <c r="A1168">
        <v>1409.336102</v>
      </c>
      <c r="B1168" s="1">
        <f>DATE(2014,3,10) + TIME(8,3,59)</f>
        <v>41708.336099537039</v>
      </c>
      <c r="C1168">
        <v>80</v>
      </c>
      <c r="D1168">
        <v>71.522262573000006</v>
      </c>
      <c r="E1168">
        <v>50</v>
      </c>
      <c r="F1168">
        <v>49.908767699999999</v>
      </c>
      <c r="G1168">
        <v>1324.2591553</v>
      </c>
      <c r="H1168">
        <v>1320.7774658000001</v>
      </c>
      <c r="I1168">
        <v>1344.4826660000001</v>
      </c>
      <c r="J1168">
        <v>1339.5389404</v>
      </c>
      <c r="K1168">
        <v>0</v>
      </c>
      <c r="L1168">
        <v>550</v>
      </c>
      <c r="M1168">
        <v>550</v>
      </c>
      <c r="N1168">
        <v>0</v>
      </c>
    </row>
    <row r="1169" spans="1:14" x14ac:dyDescent="0.25">
      <c r="A1169">
        <v>1414.272207</v>
      </c>
      <c r="B1169" s="1">
        <f>DATE(2014,3,15) + TIME(6,31,58)</f>
        <v>41713.272199074076</v>
      </c>
      <c r="C1169">
        <v>80</v>
      </c>
      <c r="D1169">
        <v>71.179710388000004</v>
      </c>
      <c r="E1169">
        <v>50</v>
      </c>
      <c r="F1169">
        <v>49.908954620000003</v>
      </c>
      <c r="G1169">
        <v>1324.1480713000001</v>
      </c>
      <c r="H1169">
        <v>1320.6186522999999</v>
      </c>
      <c r="I1169">
        <v>1344.479126</v>
      </c>
      <c r="J1169">
        <v>1339.5367432</v>
      </c>
      <c r="K1169">
        <v>0</v>
      </c>
      <c r="L1169">
        <v>550</v>
      </c>
      <c r="M1169">
        <v>550</v>
      </c>
      <c r="N1169">
        <v>0</v>
      </c>
    </row>
    <row r="1170" spans="1:14" x14ac:dyDescent="0.25">
      <c r="A1170">
        <v>1419.347741</v>
      </c>
      <c r="B1170" s="1">
        <f>DATE(2014,3,20) + TIME(8,20,44)</f>
        <v>41718.347731481481</v>
      </c>
      <c r="C1170">
        <v>80</v>
      </c>
      <c r="D1170">
        <v>70.811965942</v>
      </c>
      <c r="E1170">
        <v>50</v>
      </c>
      <c r="F1170">
        <v>49.909141540999997</v>
      </c>
      <c r="G1170">
        <v>1324.0343018000001</v>
      </c>
      <c r="H1170">
        <v>1320.4545897999999</v>
      </c>
      <c r="I1170">
        <v>1344.4753418</v>
      </c>
      <c r="J1170">
        <v>1339.5344238</v>
      </c>
      <c r="K1170">
        <v>0</v>
      </c>
      <c r="L1170">
        <v>550</v>
      </c>
      <c r="M1170">
        <v>550</v>
      </c>
      <c r="N1170">
        <v>0</v>
      </c>
    </row>
    <row r="1171" spans="1:14" x14ac:dyDescent="0.25">
      <c r="A1171">
        <v>1424.5892140000001</v>
      </c>
      <c r="B1171" s="1">
        <f>DATE(2014,3,25) + TIME(14,8,28)</f>
        <v>41723.589212962965</v>
      </c>
      <c r="C1171">
        <v>80</v>
      </c>
      <c r="D1171">
        <v>70.419967650999993</v>
      </c>
      <c r="E1171">
        <v>50</v>
      </c>
      <c r="F1171">
        <v>49.909332274999997</v>
      </c>
      <c r="G1171">
        <v>1323.9188231999999</v>
      </c>
      <c r="H1171">
        <v>1320.2874756000001</v>
      </c>
      <c r="I1171">
        <v>1344.4713135</v>
      </c>
      <c r="J1171">
        <v>1339.5321045000001</v>
      </c>
      <c r="K1171">
        <v>0</v>
      </c>
      <c r="L1171">
        <v>550</v>
      </c>
      <c r="M1171">
        <v>550</v>
      </c>
      <c r="N1171">
        <v>0</v>
      </c>
    </row>
    <row r="1172" spans="1:14" x14ac:dyDescent="0.25">
      <c r="A1172">
        <v>1430.0092950000001</v>
      </c>
      <c r="B1172" s="1">
        <f>DATE(2014,3,31) + TIME(0,13,23)</f>
        <v>41729.009293981479</v>
      </c>
      <c r="C1172">
        <v>80</v>
      </c>
      <c r="D1172">
        <v>70.002967834000003</v>
      </c>
      <c r="E1172">
        <v>50</v>
      </c>
      <c r="F1172">
        <v>49.909523010000001</v>
      </c>
      <c r="G1172">
        <v>1323.8020019999999</v>
      </c>
      <c r="H1172">
        <v>1320.1176757999999</v>
      </c>
      <c r="I1172">
        <v>1344.4670410000001</v>
      </c>
      <c r="J1172">
        <v>1339.5295410000001</v>
      </c>
      <c r="K1172">
        <v>0</v>
      </c>
      <c r="L1172">
        <v>550</v>
      </c>
      <c r="M1172">
        <v>550</v>
      </c>
      <c r="N1172">
        <v>0</v>
      </c>
    </row>
    <row r="1173" spans="1:14" x14ac:dyDescent="0.25">
      <c r="A1173">
        <v>1431</v>
      </c>
      <c r="B1173" s="1">
        <f>DATE(2014,4,1) + TIME(0,0,0)</f>
        <v>41730</v>
      </c>
      <c r="C1173">
        <v>80</v>
      </c>
      <c r="D1173">
        <v>69.838043213000006</v>
      </c>
      <c r="E1173">
        <v>50</v>
      </c>
      <c r="F1173">
        <v>49.909549712999997</v>
      </c>
      <c r="G1173">
        <v>1323.6923827999999</v>
      </c>
      <c r="H1173">
        <v>1319.9738769999999</v>
      </c>
      <c r="I1173">
        <v>1344.4615478999999</v>
      </c>
      <c r="J1173">
        <v>1339.5262451000001</v>
      </c>
      <c r="K1173">
        <v>0</v>
      </c>
      <c r="L1173">
        <v>550</v>
      </c>
      <c r="M1173">
        <v>550</v>
      </c>
      <c r="N1173">
        <v>0</v>
      </c>
    </row>
    <row r="1174" spans="1:14" x14ac:dyDescent="0.25">
      <c r="A1174">
        <v>1436.5872509999999</v>
      </c>
      <c r="B1174" s="1">
        <f>DATE(2014,4,6) + TIME(14,5,38)</f>
        <v>41735.587245370371</v>
      </c>
      <c r="C1174">
        <v>80</v>
      </c>
      <c r="D1174">
        <v>69.446434021000002</v>
      </c>
      <c r="E1174">
        <v>50</v>
      </c>
      <c r="F1174">
        <v>49.909748077000003</v>
      </c>
      <c r="G1174">
        <v>1323.6541748</v>
      </c>
      <c r="H1174">
        <v>1319.8981934000001</v>
      </c>
      <c r="I1174">
        <v>1344.4616699000001</v>
      </c>
      <c r="J1174">
        <v>1339.5263672000001</v>
      </c>
      <c r="K1174">
        <v>0</v>
      </c>
      <c r="L1174">
        <v>550</v>
      </c>
      <c r="M1174">
        <v>550</v>
      </c>
      <c r="N1174">
        <v>0</v>
      </c>
    </row>
    <row r="1175" spans="1:14" x14ac:dyDescent="0.25">
      <c r="A1175">
        <v>1442.3058799999999</v>
      </c>
      <c r="B1175" s="1">
        <f>DATE(2014,4,12) + TIME(7,20,28)</f>
        <v>41741.305879629632</v>
      </c>
      <c r="C1175">
        <v>80</v>
      </c>
      <c r="D1175">
        <v>68.996177673000005</v>
      </c>
      <c r="E1175">
        <v>50</v>
      </c>
      <c r="F1175">
        <v>49.909942627</v>
      </c>
      <c r="G1175">
        <v>1323.5417480000001</v>
      </c>
      <c r="H1175">
        <v>1319.7357178</v>
      </c>
      <c r="I1175">
        <v>1344.4566649999999</v>
      </c>
      <c r="J1175">
        <v>1339.5236815999999</v>
      </c>
      <c r="K1175">
        <v>0</v>
      </c>
      <c r="L1175">
        <v>550</v>
      </c>
      <c r="M1175">
        <v>550</v>
      </c>
      <c r="N1175">
        <v>0</v>
      </c>
    </row>
    <row r="1176" spans="1:14" x14ac:dyDescent="0.25">
      <c r="A1176">
        <v>1448.114883</v>
      </c>
      <c r="B1176" s="1">
        <f>DATE(2014,4,18) + TIME(2,45,25)</f>
        <v>41747.114872685182</v>
      </c>
      <c r="C1176">
        <v>80</v>
      </c>
      <c r="D1176">
        <v>68.511924743999998</v>
      </c>
      <c r="E1176">
        <v>50</v>
      </c>
      <c r="F1176">
        <v>49.910133362000003</v>
      </c>
      <c r="G1176">
        <v>1323.4262695</v>
      </c>
      <c r="H1176">
        <v>1319.5666504000001</v>
      </c>
      <c r="I1176">
        <v>1344.4512939000001</v>
      </c>
      <c r="J1176">
        <v>1339.520874</v>
      </c>
      <c r="K1176">
        <v>0</v>
      </c>
      <c r="L1176">
        <v>550</v>
      </c>
      <c r="M1176">
        <v>550</v>
      </c>
      <c r="N1176">
        <v>0</v>
      </c>
    </row>
    <row r="1177" spans="1:14" x14ac:dyDescent="0.25">
      <c r="A1177">
        <v>1454.053459</v>
      </c>
      <c r="B1177" s="1">
        <f>DATE(2014,4,24) + TIME(1,16,58)</f>
        <v>41753.053449074076</v>
      </c>
      <c r="C1177">
        <v>80</v>
      </c>
      <c r="D1177">
        <v>68.003334045000003</v>
      </c>
      <c r="E1177">
        <v>50</v>
      </c>
      <c r="F1177">
        <v>49.910324097</v>
      </c>
      <c r="G1177">
        <v>1323.3111572</v>
      </c>
      <c r="H1177">
        <v>1319.3964844</v>
      </c>
      <c r="I1177">
        <v>1344.4456786999999</v>
      </c>
      <c r="J1177">
        <v>1339.5178223</v>
      </c>
      <c r="K1177">
        <v>0</v>
      </c>
      <c r="L1177">
        <v>550</v>
      </c>
      <c r="M1177">
        <v>550</v>
      </c>
      <c r="N1177">
        <v>0</v>
      </c>
    </row>
    <row r="1178" spans="1:14" x14ac:dyDescent="0.25">
      <c r="A1178">
        <v>1460.165481</v>
      </c>
      <c r="B1178" s="1">
        <f>DATE(2014,4,30) + TIME(3,58,17)</f>
        <v>41759.16547453704</v>
      </c>
      <c r="C1178">
        <v>80</v>
      </c>
      <c r="D1178">
        <v>67.472305297999995</v>
      </c>
      <c r="E1178">
        <v>50</v>
      </c>
      <c r="F1178">
        <v>49.910514831999997</v>
      </c>
      <c r="G1178">
        <v>1323.1970214999999</v>
      </c>
      <c r="H1178">
        <v>1319.2269286999999</v>
      </c>
      <c r="I1178">
        <v>1344.4398193</v>
      </c>
      <c r="J1178">
        <v>1339.5146483999999</v>
      </c>
      <c r="K1178">
        <v>0</v>
      </c>
      <c r="L1178">
        <v>550</v>
      </c>
      <c r="M1178">
        <v>550</v>
      </c>
      <c r="N1178">
        <v>0</v>
      </c>
    </row>
    <row r="1179" spans="1:14" x14ac:dyDescent="0.25">
      <c r="A1179">
        <v>1461</v>
      </c>
      <c r="B1179" s="1">
        <f>DATE(2014,5,1) + TIME(0,0,0)</f>
        <v>41760</v>
      </c>
      <c r="C1179">
        <v>80</v>
      </c>
      <c r="D1179">
        <v>67.296112061000002</v>
      </c>
      <c r="E1179">
        <v>50</v>
      </c>
      <c r="F1179">
        <v>49.910530090000002</v>
      </c>
      <c r="G1179">
        <v>1323.0893555</v>
      </c>
      <c r="H1179">
        <v>1319.0887451000001</v>
      </c>
      <c r="I1179">
        <v>1344.4327393000001</v>
      </c>
      <c r="J1179">
        <v>1339.5104980000001</v>
      </c>
      <c r="K1179">
        <v>0</v>
      </c>
      <c r="L1179">
        <v>550</v>
      </c>
      <c r="M1179">
        <v>550</v>
      </c>
      <c r="N1179">
        <v>0</v>
      </c>
    </row>
    <row r="1180" spans="1:14" x14ac:dyDescent="0.25">
      <c r="A1180">
        <v>1461.0000010000001</v>
      </c>
      <c r="B1180" s="1">
        <f>DATE(2014,5,1) + TIME(0,0,0)</f>
        <v>41760</v>
      </c>
      <c r="C1180">
        <v>80</v>
      </c>
      <c r="D1180">
        <v>67.296157836999996</v>
      </c>
      <c r="E1180">
        <v>50</v>
      </c>
      <c r="F1180">
        <v>49.910503386999999</v>
      </c>
      <c r="G1180">
        <v>1328.2602539</v>
      </c>
      <c r="H1180">
        <v>1323.3516846</v>
      </c>
      <c r="I1180">
        <v>1339.3101807</v>
      </c>
      <c r="J1180">
        <v>1335.4432373</v>
      </c>
      <c r="K1180">
        <v>550</v>
      </c>
      <c r="L1180">
        <v>0</v>
      </c>
      <c r="M1180">
        <v>0</v>
      </c>
      <c r="N1180">
        <v>550</v>
      </c>
    </row>
    <row r="1181" spans="1:14" x14ac:dyDescent="0.25">
      <c r="A1181">
        <v>1461.000004</v>
      </c>
      <c r="B1181" s="1">
        <f>DATE(2014,5,1) + TIME(0,0,0)</f>
        <v>41760</v>
      </c>
      <c r="C1181">
        <v>80</v>
      </c>
      <c r="D1181">
        <v>67.296257018999995</v>
      </c>
      <c r="E1181">
        <v>50</v>
      </c>
      <c r="F1181">
        <v>49.910438538000001</v>
      </c>
      <c r="G1181">
        <v>1328.8240966999999</v>
      </c>
      <c r="H1181">
        <v>1324.0224608999999</v>
      </c>
      <c r="I1181">
        <v>1338.776001</v>
      </c>
      <c r="J1181">
        <v>1334.9085693</v>
      </c>
      <c r="K1181">
        <v>550</v>
      </c>
      <c r="L1181">
        <v>0</v>
      </c>
      <c r="M1181">
        <v>0</v>
      </c>
      <c r="N1181">
        <v>550</v>
      </c>
    </row>
    <row r="1182" spans="1:14" x14ac:dyDescent="0.25">
      <c r="A1182">
        <v>1461.0000130000001</v>
      </c>
      <c r="B1182" s="1">
        <f>DATE(2014,5,1) + TIME(0,0,1)</f>
        <v>41760.000011574077</v>
      </c>
      <c r="C1182">
        <v>80</v>
      </c>
      <c r="D1182">
        <v>67.296493530000006</v>
      </c>
      <c r="E1182">
        <v>50</v>
      </c>
      <c r="F1182">
        <v>49.910285950000002</v>
      </c>
      <c r="G1182">
        <v>1330.0690918</v>
      </c>
      <c r="H1182">
        <v>1325.411499</v>
      </c>
      <c r="I1182">
        <v>1337.5771483999999</v>
      </c>
      <c r="J1182">
        <v>1333.7091064000001</v>
      </c>
      <c r="K1182">
        <v>550</v>
      </c>
      <c r="L1182">
        <v>0</v>
      </c>
      <c r="M1182">
        <v>0</v>
      </c>
      <c r="N1182">
        <v>550</v>
      </c>
    </row>
    <row r="1183" spans="1:14" x14ac:dyDescent="0.25">
      <c r="A1183">
        <v>1461.0000399999999</v>
      </c>
      <c r="B1183" s="1">
        <f>DATE(2014,5,1) + TIME(0,0,3)</f>
        <v>41760.000034722223</v>
      </c>
      <c r="C1183">
        <v>80</v>
      </c>
      <c r="D1183">
        <v>67.296905518000003</v>
      </c>
      <c r="E1183">
        <v>50</v>
      </c>
      <c r="F1183">
        <v>49.910034179999997</v>
      </c>
      <c r="G1183">
        <v>1332.1276855000001</v>
      </c>
      <c r="H1183">
        <v>1327.5318603999999</v>
      </c>
      <c r="I1183">
        <v>1335.5722656</v>
      </c>
      <c r="J1183">
        <v>1331.7044678</v>
      </c>
      <c r="K1183">
        <v>550</v>
      </c>
      <c r="L1183">
        <v>0</v>
      </c>
      <c r="M1183">
        <v>0</v>
      </c>
      <c r="N1183">
        <v>550</v>
      </c>
    </row>
    <row r="1184" spans="1:14" x14ac:dyDescent="0.25">
      <c r="A1184">
        <v>1461.000121</v>
      </c>
      <c r="B1184" s="1">
        <f>DATE(2014,5,1) + TIME(0,0,10)</f>
        <v>41760.000115740739</v>
      </c>
      <c r="C1184">
        <v>80</v>
      </c>
      <c r="D1184">
        <v>67.297637938999998</v>
      </c>
      <c r="E1184">
        <v>50</v>
      </c>
      <c r="F1184">
        <v>49.909717559999997</v>
      </c>
      <c r="G1184">
        <v>1334.6605225000001</v>
      </c>
      <c r="H1184">
        <v>1330.0152588000001</v>
      </c>
      <c r="I1184">
        <v>1333.1202393000001</v>
      </c>
      <c r="J1184">
        <v>1329.2547606999999</v>
      </c>
      <c r="K1184">
        <v>550</v>
      </c>
      <c r="L1184">
        <v>0</v>
      </c>
      <c r="M1184">
        <v>0</v>
      </c>
      <c r="N1184">
        <v>550</v>
      </c>
    </row>
    <row r="1185" spans="1:14" x14ac:dyDescent="0.25">
      <c r="A1185">
        <v>1461.000364</v>
      </c>
      <c r="B1185" s="1">
        <f>DATE(2014,5,1) + TIME(0,0,31)</f>
        <v>41760.000358796293</v>
      </c>
      <c r="C1185">
        <v>80</v>
      </c>
      <c r="D1185">
        <v>67.299179077000005</v>
      </c>
      <c r="E1185">
        <v>50</v>
      </c>
      <c r="F1185">
        <v>49.909378052000001</v>
      </c>
      <c r="G1185">
        <v>1337.3249512</v>
      </c>
      <c r="H1185">
        <v>1332.6064452999999</v>
      </c>
      <c r="I1185">
        <v>1330.5854492000001</v>
      </c>
      <c r="J1185">
        <v>1326.7139893000001</v>
      </c>
      <c r="K1185">
        <v>550</v>
      </c>
      <c r="L1185">
        <v>0</v>
      </c>
      <c r="M1185">
        <v>0</v>
      </c>
      <c r="N1185">
        <v>550</v>
      </c>
    </row>
    <row r="1186" spans="1:14" x14ac:dyDescent="0.25">
      <c r="A1186">
        <v>1461.0010930000001</v>
      </c>
      <c r="B1186" s="1">
        <f>DATE(2014,5,1) + TIME(0,1,34)</f>
        <v>41760.001087962963</v>
      </c>
      <c r="C1186">
        <v>80</v>
      </c>
      <c r="D1186">
        <v>67.303153992000006</v>
      </c>
      <c r="E1186">
        <v>50</v>
      </c>
      <c r="F1186">
        <v>49.908996582</v>
      </c>
      <c r="G1186">
        <v>1339.9891356999999</v>
      </c>
      <c r="H1186">
        <v>1335.1984863</v>
      </c>
      <c r="I1186">
        <v>1328.0787353999999</v>
      </c>
      <c r="J1186">
        <v>1324.1577147999999</v>
      </c>
      <c r="K1186">
        <v>550</v>
      </c>
      <c r="L1186">
        <v>0</v>
      </c>
      <c r="M1186">
        <v>0</v>
      </c>
      <c r="N1186">
        <v>550</v>
      </c>
    </row>
    <row r="1187" spans="1:14" x14ac:dyDescent="0.25">
      <c r="A1187">
        <v>1461.0032799999999</v>
      </c>
      <c r="B1187" s="1">
        <f>DATE(2014,5,1) + TIME(0,4,43)</f>
        <v>41760.003275462965</v>
      </c>
      <c r="C1187">
        <v>80</v>
      </c>
      <c r="D1187">
        <v>67.314445496000005</v>
      </c>
      <c r="E1187">
        <v>50</v>
      </c>
      <c r="F1187">
        <v>49.908512115000001</v>
      </c>
      <c r="G1187">
        <v>1342.3330077999999</v>
      </c>
      <c r="H1187">
        <v>1337.4874268000001</v>
      </c>
      <c r="I1187">
        <v>1325.8399658000001</v>
      </c>
      <c r="J1187">
        <v>1321.8155518000001</v>
      </c>
      <c r="K1187">
        <v>550</v>
      </c>
      <c r="L1187">
        <v>0</v>
      </c>
      <c r="M1187">
        <v>0</v>
      </c>
      <c r="N1187">
        <v>550</v>
      </c>
    </row>
    <row r="1188" spans="1:14" x14ac:dyDescent="0.25">
      <c r="A1188">
        <v>1461.0098410000001</v>
      </c>
      <c r="B1188" s="1">
        <f>DATE(2014,5,1) + TIME(0,14,10)</f>
        <v>41760.009837962964</v>
      </c>
      <c r="C1188">
        <v>80</v>
      </c>
      <c r="D1188">
        <v>67.347671508999994</v>
      </c>
      <c r="E1188">
        <v>50</v>
      </c>
      <c r="F1188">
        <v>49.907695769999997</v>
      </c>
      <c r="G1188">
        <v>1343.9510498</v>
      </c>
      <c r="H1188">
        <v>1339.0872803</v>
      </c>
      <c r="I1188">
        <v>1324.2279053</v>
      </c>
      <c r="J1188">
        <v>1320.1109618999999</v>
      </c>
      <c r="K1188">
        <v>550</v>
      </c>
      <c r="L1188">
        <v>0</v>
      </c>
      <c r="M1188">
        <v>0</v>
      </c>
      <c r="N1188">
        <v>550</v>
      </c>
    </row>
    <row r="1189" spans="1:14" x14ac:dyDescent="0.25">
      <c r="A1189">
        <v>1461.029524</v>
      </c>
      <c r="B1189" s="1">
        <f>DATE(2014,5,1) + TIME(0,42,30)</f>
        <v>41760.029513888891</v>
      </c>
      <c r="C1189">
        <v>80</v>
      </c>
      <c r="D1189">
        <v>67.446075438999998</v>
      </c>
      <c r="E1189">
        <v>50</v>
      </c>
      <c r="F1189">
        <v>49.905738831000001</v>
      </c>
      <c r="G1189">
        <v>1344.8045654</v>
      </c>
      <c r="H1189">
        <v>1339.9456786999999</v>
      </c>
      <c r="I1189">
        <v>1323.3571777</v>
      </c>
      <c r="J1189">
        <v>1319.1976318</v>
      </c>
      <c r="K1189">
        <v>550</v>
      </c>
      <c r="L1189">
        <v>0</v>
      </c>
      <c r="M1189">
        <v>0</v>
      </c>
      <c r="N1189">
        <v>550</v>
      </c>
    </row>
    <row r="1190" spans="1:14" x14ac:dyDescent="0.25">
      <c r="A1190">
        <v>1461.088573</v>
      </c>
      <c r="B1190" s="1">
        <f>DATE(2014,5,1) + TIME(2,7,32)</f>
        <v>41760.088564814818</v>
      </c>
      <c r="C1190">
        <v>80</v>
      </c>
      <c r="D1190">
        <v>67.734016417999996</v>
      </c>
      <c r="E1190">
        <v>50</v>
      </c>
      <c r="F1190">
        <v>49.900234222000002</v>
      </c>
      <c r="G1190">
        <v>1345.1296387</v>
      </c>
      <c r="H1190">
        <v>1340.2918701000001</v>
      </c>
      <c r="I1190">
        <v>1323.0585937999999</v>
      </c>
      <c r="J1190">
        <v>1318.8873291</v>
      </c>
      <c r="K1190">
        <v>550</v>
      </c>
      <c r="L1190">
        <v>0</v>
      </c>
      <c r="M1190">
        <v>0</v>
      </c>
      <c r="N1190">
        <v>550</v>
      </c>
    </row>
    <row r="1191" spans="1:14" x14ac:dyDescent="0.25">
      <c r="A1191">
        <v>1461.2032529999999</v>
      </c>
      <c r="B1191" s="1">
        <f>DATE(2014,5,1) + TIME(4,52,41)</f>
        <v>41760.203252314815</v>
      </c>
      <c r="C1191">
        <v>80</v>
      </c>
      <c r="D1191">
        <v>68.268669127999999</v>
      </c>
      <c r="E1191">
        <v>50</v>
      </c>
      <c r="F1191">
        <v>49.889816283999998</v>
      </c>
      <c r="G1191">
        <v>1345.1734618999999</v>
      </c>
      <c r="H1191">
        <v>1340.3691406</v>
      </c>
      <c r="I1191">
        <v>1323.0234375</v>
      </c>
      <c r="J1191">
        <v>1318.8500977000001</v>
      </c>
      <c r="K1191">
        <v>550</v>
      </c>
      <c r="L1191">
        <v>0</v>
      </c>
      <c r="M1191">
        <v>0</v>
      </c>
      <c r="N1191">
        <v>550</v>
      </c>
    </row>
    <row r="1192" spans="1:14" x14ac:dyDescent="0.25">
      <c r="A1192">
        <v>1461.3202570000001</v>
      </c>
      <c r="B1192" s="1">
        <f>DATE(2014,5,1) + TIME(7,41,10)</f>
        <v>41760.320254629631</v>
      </c>
      <c r="C1192">
        <v>80</v>
      </c>
      <c r="D1192">
        <v>68.791160583000007</v>
      </c>
      <c r="E1192">
        <v>50</v>
      </c>
      <c r="F1192">
        <v>49.879306792999998</v>
      </c>
      <c r="G1192">
        <v>1345.1721190999999</v>
      </c>
      <c r="H1192">
        <v>1340.3875731999999</v>
      </c>
      <c r="I1192">
        <v>1323.0261230000001</v>
      </c>
      <c r="J1192">
        <v>1318.8518065999999</v>
      </c>
      <c r="K1192">
        <v>550</v>
      </c>
      <c r="L1192">
        <v>0</v>
      </c>
      <c r="M1192">
        <v>0</v>
      </c>
      <c r="N1192">
        <v>550</v>
      </c>
    </row>
    <row r="1193" spans="1:14" x14ac:dyDescent="0.25">
      <c r="A1193">
        <v>1461.4399579999999</v>
      </c>
      <c r="B1193" s="1">
        <f>DATE(2014,5,1) + TIME(10,33,32)</f>
        <v>41760.439953703702</v>
      </c>
      <c r="C1193">
        <v>80</v>
      </c>
      <c r="D1193">
        <v>69.302581786999994</v>
      </c>
      <c r="E1193">
        <v>50</v>
      </c>
      <c r="F1193">
        <v>49.868675232000001</v>
      </c>
      <c r="G1193">
        <v>1345.1588135</v>
      </c>
      <c r="H1193">
        <v>1340.3929443</v>
      </c>
      <c r="I1193">
        <v>1323.0285644999999</v>
      </c>
      <c r="J1193">
        <v>1318.8533935999999</v>
      </c>
      <c r="K1193">
        <v>550</v>
      </c>
      <c r="L1193">
        <v>0</v>
      </c>
      <c r="M1193">
        <v>0</v>
      </c>
      <c r="N1193">
        <v>550</v>
      </c>
    </row>
    <row r="1194" spans="1:14" x14ac:dyDescent="0.25">
      <c r="A1194">
        <v>1461.5624969999999</v>
      </c>
      <c r="B1194" s="1">
        <f>DATE(2014,5,1) + TIME(13,29,59)</f>
        <v>41760.562488425923</v>
      </c>
      <c r="C1194">
        <v>80</v>
      </c>
      <c r="D1194">
        <v>69.802894592000001</v>
      </c>
      <c r="E1194">
        <v>50</v>
      </c>
      <c r="F1194">
        <v>49.857906342</v>
      </c>
      <c r="G1194">
        <v>1345.1446533000001</v>
      </c>
      <c r="H1194">
        <v>1340.3962402</v>
      </c>
      <c r="I1194">
        <v>1323.0296631000001</v>
      </c>
      <c r="J1194">
        <v>1318.8536377</v>
      </c>
      <c r="K1194">
        <v>550</v>
      </c>
      <c r="L1194">
        <v>0</v>
      </c>
      <c r="M1194">
        <v>0</v>
      </c>
      <c r="N1194">
        <v>550</v>
      </c>
    </row>
    <row r="1195" spans="1:14" x14ac:dyDescent="0.25">
      <c r="A1195">
        <v>1461.68803</v>
      </c>
      <c r="B1195" s="1">
        <f>DATE(2014,5,1) + TIME(16,30,45)</f>
        <v>41760.688020833331</v>
      </c>
      <c r="C1195">
        <v>80</v>
      </c>
      <c r="D1195">
        <v>70.291839600000003</v>
      </c>
      <c r="E1195">
        <v>50</v>
      </c>
      <c r="F1195">
        <v>49.846996306999998</v>
      </c>
      <c r="G1195">
        <v>1345.1319579999999</v>
      </c>
      <c r="H1195">
        <v>1340.3997803</v>
      </c>
      <c r="I1195">
        <v>1323.0302733999999</v>
      </c>
      <c r="J1195">
        <v>1318.8532714999999</v>
      </c>
      <c r="K1195">
        <v>550</v>
      </c>
      <c r="L1195">
        <v>0</v>
      </c>
      <c r="M1195">
        <v>0</v>
      </c>
      <c r="N1195">
        <v>550</v>
      </c>
    </row>
    <row r="1196" spans="1:14" x14ac:dyDescent="0.25">
      <c r="A1196">
        <v>1461.8167209999999</v>
      </c>
      <c r="B1196" s="1">
        <f>DATE(2014,5,1) + TIME(19,36,4)</f>
        <v>41760.816712962966</v>
      </c>
      <c r="C1196">
        <v>80</v>
      </c>
      <c r="D1196">
        <v>70.769424438000001</v>
      </c>
      <c r="E1196">
        <v>50</v>
      </c>
      <c r="F1196">
        <v>49.8359375</v>
      </c>
      <c r="G1196">
        <v>1345.1210937999999</v>
      </c>
      <c r="H1196">
        <v>1340.4040527</v>
      </c>
      <c r="I1196">
        <v>1323.0307617000001</v>
      </c>
      <c r="J1196">
        <v>1318.8527832</v>
      </c>
      <c r="K1196">
        <v>550</v>
      </c>
      <c r="L1196">
        <v>0</v>
      </c>
      <c r="M1196">
        <v>0</v>
      </c>
      <c r="N1196">
        <v>550</v>
      </c>
    </row>
    <row r="1197" spans="1:14" x14ac:dyDescent="0.25">
      <c r="A1197">
        <v>1461.9486790000001</v>
      </c>
      <c r="B1197" s="1">
        <f>DATE(2014,5,1) + TIME(22,46,5)</f>
        <v>41760.94866898148</v>
      </c>
      <c r="C1197">
        <v>80</v>
      </c>
      <c r="D1197">
        <v>71.235496521000002</v>
      </c>
      <c r="E1197">
        <v>50</v>
      </c>
      <c r="F1197">
        <v>49.824722289999997</v>
      </c>
      <c r="G1197">
        <v>1345.1120605000001</v>
      </c>
      <c r="H1197">
        <v>1340.4090576000001</v>
      </c>
      <c r="I1197">
        <v>1323.0311279</v>
      </c>
      <c r="J1197">
        <v>1318.8521728999999</v>
      </c>
      <c r="K1197">
        <v>550</v>
      </c>
      <c r="L1197">
        <v>0</v>
      </c>
      <c r="M1197">
        <v>0</v>
      </c>
      <c r="N1197">
        <v>550</v>
      </c>
    </row>
    <row r="1198" spans="1:14" x14ac:dyDescent="0.25">
      <c r="A1198">
        <v>1462.083948</v>
      </c>
      <c r="B1198" s="1">
        <f>DATE(2014,5,2) + TIME(2,0,53)</f>
        <v>41761.08394675926</v>
      </c>
      <c r="C1198">
        <v>80</v>
      </c>
      <c r="D1198">
        <v>71.689529418999996</v>
      </c>
      <c r="E1198">
        <v>50</v>
      </c>
      <c r="F1198">
        <v>49.813354492000002</v>
      </c>
      <c r="G1198">
        <v>1345.1047363</v>
      </c>
      <c r="H1198">
        <v>1340.4149170000001</v>
      </c>
      <c r="I1198">
        <v>1323.0314940999999</v>
      </c>
      <c r="J1198">
        <v>1318.8514404</v>
      </c>
      <c r="K1198">
        <v>550</v>
      </c>
      <c r="L1198">
        <v>0</v>
      </c>
      <c r="M1198">
        <v>0</v>
      </c>
      <c r="N1198">
        <v>550</v>
      </c>
    </row>
    <row r="1199" spans="1:14" x14ac:dyDescent="0.25">
      <c r="A1199">
        <v>1462.222716</v>
      </c>
      <c r="B1199" s="1">
        <f>DATE(2014,5,2) + TIME(5,20,42)</f>
        <v>41761.222708333335</v>
      </c>
      <c r="C1199">
        <v>80</v>
      </c>
      <c r="D1199">
        <v>72.131507873999993</v>
      </c>
      <c r="E1199">
        <v>50</v>
      </c>
      <c r="F1199">
        <v>49.801826476999999</v>
      </c>
      <c r="G1199">
        <v>1345.0991211</v>
      </c>
      <c r="H1199">
        <v>1340.4213867000001</v>
      </c>
      <c r="I1199">
        <v>1323.0318603999999</v>
      </c>
      <c r="J1199">
        <v>1318.8507079999999</v>
      </c>
      <c r="K1199">
        <v>550</v>
      </c>
      <c r="L1199">
        <v>0</v>
      </c>
      <c r="M1199">
        <v>0</v>
      </c>
      <c r="N1199">
        <v>550</v>
      </c>
    </row>
    <row r="1200" spans="1:14" x14ac:dyDescent="0.25">
      <c r="A1200">
        <v>1462.365186</v>
      </c>
      <c r="B1200" s="1">
        <f>DATE(2014,5,2) + TIME(8,45,52)</f>
        <v>41761.365185185183</v>
      </c>
      <c r="C1200">
        <v>80</v>
      </c>
      <c r="D1200">
        <v>72.561378478999998</v>
      </c>
      <c r="E1200">
        <v>50</v>
      </c>
      <c r="F1200">
        <v>49.790122986</v>
      </c>
      <c r="G1200">
        <v>1345.0950928</v>
      </c>
      <c r="H1200">
        <v>1340.4284668</v>
      </c>
      <c r="I1200">
        <v>1323.0321045000001</v>
      </c>
      <c r="J1200">
        <v>1318.8499756000001</v>
      </c>
      <c r="K1200">
        <v>550</v>
      </c>
      <c r="L1200">
        <v>0</v>
      </c>
      <c r="M1200">
        <v>0</v>
      </c>
      <c r="N1200">
        <v>550</v>
      </c>
    </row>
    <row r="1201" spans="1:14" x14ac:dyDescent="0.25">
      <c r="A1201">
        <v>1462.511571</v>
      </c>
      <c r="B1201" s="1">
        <f>DATE(2014,5,2) + TIME(12,16,39)</f>
        <v>41761.511562500003</v>
      </c>
      <c r="C1201">
        <v>80</v>
      </c>
      <c r="D1201">
        <v>72.979087829999997</v>
      </c>
      <c r="E1201">
        <v>50</v>
      </c>
      <c r="F1201">
        <v>49.778236389</v>
      </c>
      <c r="G1201">
        <v>1345.0925293</v>
      </c>
      <c r="H1201">
        <v>1340.4361572</v>
      </c>
      <c r="I1201">
        <v>1323.0324707</v>
      </c>
      <c r="J1201">
        <v>1318.8491211</v>
      </c>
      <c r="K1201">
        <v>550</v>
      </c>
      <c r="L1201">
        <v>0</v>
      </c>
      <c r="M1201">
        <v>0</v>
      </c>
      <c r="N1201">
        <v>550</v>
      </c>
    </row>
    <row r="1202" spans="1:14" x14ac:dyDescent="0.25">
      <c r="A1202">
        <v>1462.6621029999999</v>
      </c>
      <c r="B1202" s="1">
        <f>DATE(2014,5,2) + TIME(15,53,25)</f>
        <v>41761.662094907406</v>
      </c>
      <c r="C1202">
        <v>80</v>
      </c>
      <c r="D1202">
        <v>73.384574889999996</v>
      </c>
      <c r="E1202">
        <v>50</v>
      </c>
      <c r="F1202">
        <v>49.766155243</v>
      </c>
      <c r="G1202">
        <v>1345.0913086</v>
      </c>
      <c r="H1202">
        <v>1340.4443358999999</v>
      </c>
      <c r="I1202">
        <v>1323.0327147999999</v>
      </c>
      <c r="J1202">
        <v>1318.8481445</v>
      </c>
      <c r="K1202">
        <v>550</v>
      </c>
      <c r="L1202">
        <v>0</v>
      </c>
      <c r="M1202">
        <v>0</v>
      </c>
      <c r="N1202">
        <v>550</v>
      </c>
    </row>
    <row r="1203" spans="1:14" x14ac:dyDescent="0.25">
      <c r="A1203">
        <v>1462.817008</v>
      </c>
      <c r="B1203" s="1">
        <f>DATE(2014,5,2) + TIME(19,36,29)</f>
        <v>41761.817002314812</v>
      </c>
      <c r="C1203">
        <v>80</v>
      </c>
      <c r="D1203">
        <v>73.777702332000004</v>
      </c>
      <c r="E1203">
        <v>50</v>
      </c>
      <c r="F1203">
        <v>49.753864288000003</v>
      </c>
      <c r="G1203">
        <v>1345.0913086</v>
      </c>
      <c r="H1203">
        <v>1340.4530029</v>
      </c>
      <c r="I1203">
        <v>1323.0329589999999</v>
      </c>
      <c r="J1203">
        <v>1318.847168</v>
      </c>
      <c r="K1203">
        <v>550</v>
      </c>
      <c r="L1203">
        <v>0</v>
      </c>
      <c r="M1203">
        <v>0</v>
      </c>
      <c r="N1203">
        <v>550</v>
      </c>
    </row>
    <row r="1204" spans="1:14" x14ac:dyDescent="0.25">
      <c r="A1204">
        <v>1462.9765540000001</v>
      </c>
      <c r="B1204" s="1">
        <f>DATE(2014,5,2) + TIME(23,26,14)</f>
        <v>41761.976550925923</v>
      </c>
      <c r="C1204">
        <v>80</v>
      </c>
      <c r="D1204">
        <v>74.158416747999993</v>
      </c>
      <c r="E1204">
        <v>50</v>
      </c>
      <c r="F1204">
        <v>49.741355896000002</v>
      </c>
      <c r="G1204">
        <v>1345.0925293</v>
      </c>
      <c r="H1204">
        <v>1340.4621582</v>
      </c>
      <c r="I1204">
        <v>1323.0330810999999</v>
      </c>
      <c r="J1204">
        <v>1318.8461914</v>
      </c>
      <c r="K1204">
        <v>550</v>
      </c>
      <c r="L1204">
        <v>0</v>
      </c>
      <c r="M1204">
        <v>0</v>
      </c>
      <c r="N1204">
        <v>550</v>
      </c>
    </row>
    <row r="1205" spans="1:14" x14ac:dyDescent="0.25">
      <c r="A1205">
        <v>1463.1410410000001</v>
      </c>
      <c r="B1205" s="1">
        <f>DATE(2014,5,3) + TIME(3,23,5)</f>
        <v>41762.141030092593</v>
      </c>
      <c r="C1205">
        <v>80</v>
      </c>
      <c r="D1205">
        <v>74.526672363000003</v>
      </c>
      <c r="E1205">
        <v>50</v>
      </c>
      <c r="F1205">
        <v>49.728614807</v>
      </c>
      <c r="G1205">
        <v>1345.0948486</v>
      </c>
      <c r="H1205">
        <v>1340.4715576000001</v>
      </c>
      <c r="I1205">
        <v>1323.0333252</v>
      </c>
      <c r="J1205">
        <v>1318.8450928</v>
      </c>
      <c r="K1205">
        <v>550</v>
      </c>
      <c r="L1205">
        <v>0</v>
      </c>
      <c r="M1205">
        <v>0</v>
      </c>
      <c r="N1205">
        <v>550</v>
      </c>
    </row>
    <row r="1206" spans="1:14" x14ac:dyDescent="0.25">
      <c r="A1206">
        <v>1463.310778</v>
      </c>
      <c r="B1206" s="1">
        <f>DATE(2014,5,3) + TIME(7,27,31)</f>
        <v>41762.31077546296</v>
      </c>
      <c r="C1206">
        <v>80</v>
      </c>
      <c r="D1206">
        <v>74.882362365999995</v>
      </c>
      <c r="E1206">
        <v>50</v>
      </c>
      <c r="F1206">
        <v>49.715621947999999</v>
      </c>
      <c r="G1206">
        <v>1345.0981445</v>
      </c>
      <c r="H1206">
        <v>1340.4813231999999</v>
      </c>
      <c r="I1206">
        <v>1323.0334473</v>
      </c>
      <c r="J1206">
        <v>1318.8439940999999</v>
      </c>
      <c r="K1206">
        <v>550</v>
      </c>
      <c r="L1206">
        <v>0</v>
      </c>
      <c r="M1206">
        <v>0</v>
      </c>
      <c r="N1206">
        <v>550</v>
      </c>
    </row>
    <row r="1207" spans="1:14" x14ac:dyDescent="0.25">
      <c r="A1207">
        <v>1463.4860980000001</v>
      </c>
      <c r="B1207" s="1">
        <f>DATE(2014,5,3) + TIME(11,39,58)</f>
        <v>41762.486087962963</v>
      </c>
      <c r="C1207">
        <v>80</v>
      </c>
      <c r="D1207">
        <v>75.225250243999994</v>
      </c>
      <c r="E1207">
        <v>50</v>
      </c>
      <c r="F1207">
        <v>49.702362061000002</v>
      </c>
      <c r="G1207">
        <v>1345.1022949000001</v>
      </c>
      <c r="H1207">
        <v>1340.4913329999999</v>
      </c>
      <c r="I1207">
        <v>1323.0335693</v>
      </c>
      <c r="J1207">
        <v>1318.8427733999999</v>
      </c>
      <c r="K1207">
        <v>550</v>
      </c>
      <c r="L1207">
        <v>0</v>
      </c>
      <c r="M1207">
        <v>0</v>
      </c>
      <c r="N1207">
        <v>550</v>
      </c>
    </row>
    <row r="1208" spans="1:14" x14ac:dyDescent="0.25">
      <c r="A1208">
        <v>1463.6673599999999</v>
      </c>
      <c r="B1208" s="1">
        <f>DATE(2014,5,3) + TIME(16,0,59)</f>
        <v>41762.667349537034</v>
      </c>
      <c r="C1208">
        <v>80</v>
      </c>
      <c r="D1208">
        <v>75.55531311</v>
      </c>
      <c r="E1208">
        <v>50</v>
      </c>
      <c r="F1208">
        <v>49.688819885000001</v>
      </c>
      <c r="G1208">
        <v>1345.1072998</v>
      </c>
      <c r="H1208">
        <v>1340.5014647999999</v>
      </c>
      <c r="I1208">
        <v>1323.0336914</v>
      </c>
      <c r="J1208">
        <v>1318.8415527</v>
      </c>
      <c r="K1208">
        <v>550</v>
      </c>
      <c r="L1208">
        <v>0</v>
      </c>
      <c r="M1208">
        <v>0</v>
      </c>
      <c r="N1208">
        <v>550</v>
      </c>
    </row>
    <row r="1209" spans="1:14" x14ac:dyDescent="0.25">
      <c r="A1209">
        <v>1463.8549579999999</v>
      </c>
      <c r="B1209" s="1">
        <f>DATE(2014,5,3) + TIME(20,31,8)</f>
        <v>41762.854953703703</v>
      </c>
      <c r="C1209">
        <v>80</v>
      </c>
      <c r="D1209">
        <v>75.872558593999997</v>
      </c>
      <c r="E1209">
        <v>50</v>
      </c>
      <c r="F1209">
        <v>49.674976348999998</v>
      </c>
      <c r="G1209">
        <v>1345.1130370999999</v>
      </c>
      <c r="H1209">
        <v>1340.5118408000001</v>
      </c>
      <c r="I1209">
        <v>1323.0338135</v>
      </c>
      <c r="J1209">
        <v>1318.8402100000001</v>
      </c>
      <c r="K1209">
        <v>550</v>
      </c>
      <c r="L1209">
        <v>0</v>
      </c>
      <c r="M1209">
        <v>0</v>
      </c>
      <c r="N1209">
        <v>550</v>
      </c>
    </row>
    <row r="1210" spans="1:14" x14ac:dyDescent="0.25">
      <c r="A1210">
        <v>1464.049315</v>
      </c>
      <c r="B1210" s="1">
        <f>DATE(2014,5,4) + TIME(1,11,0)</f>
        <v>41763.049305555556</v>
      </c>
      <c r="C1210">
        <v>80</v>
      </c>
      <c r="D1210">
        <v>76.176910399999997</v>
      </c>
      <c r="E1210">
        <v>50</v>
      </c>
      <c r="F1210">
        <v>49.660808563000003</v>
      </c>
      <c r="G1210">
        <v>1345.1193848</v>
      </c>
      <c r="H1210">
        <v>1340.5222168</v>
      </c>
      <c r="I1210">
        <v>1323.0338135</v>
      </c>
      <c r="J1210">
        <v>1318.8388672000001</v>
      </c>
      <c r="K1210">
        <v>550</v>
      </c>
      <c r="L1210">
        <v>0</v>
      </c>
      <c r="M1210">
        <v>0</v>
      </c>
      <c r="N1210">
        <v>550</v>
      </c>
    </row>
    <row r="1211" spans="1:14" x14ac:dyDescent="0.25">
      <c r="A1211">
        <v>1464.2508949999999</v>
      </c>
      <c r="B1211" s="1">
        <f>DATE(2014,5,4) + TIME(6,1,17)</f>
        <v>41763.250891203701</v>
      </c>
      <c r="C1211">
        <v>80</v>
      </c>
      <c r="D1211">
        <v>76.468292235999996</v>
      </c>
      <c r="E1211">
        <v>50</v>
      </c>
      <c r="F1211">
        <v>49.646301270000002</v>
      </c>
      <c r="G1211">
        <v>1345.1263428</v>
      </c>
      <c r="H1211">
        <v>1340.5327147999999</v>
      </c>
      <c r="I1211">
        <v>1323.0338135</v>
      </c>
      <c r="J1211">
        <v>1318.8374022999999</v>
      </c>
      <c r="K1211">
        <v>550</v>
      </c>
      <c r="L1211">
        <v>0</v>
      </c>
      <c r="M1211">
        <v>0</v>
      </c>
      <c r="N1211">
        <v>550</v>
      </c>
    </row>
    <row r="1212" spans="1:14" x14ac:dyDescent="0.25">
      <c r="A1212">
        <v>1464.460206</v>
      </c>
      <c r="B1212" s="1">
        <f>DATE(2014,5,4) + TIME(11,2,41)</f>
        <v>41763.460196759261</v>
      </c>
      <c r="C1212">
        <v>80</v>
      </c>
      <c r="D1212">
        <v>76.746650696000003</v>
      </c>
      <c r="E1212">
        <v>50</v>
      </c>
      <c r="F1212">
        <v>49.631423949999999</v>
      </c>
      <c r="G1212">
        <v>1345.1337891000001</v>
      </c>
      <c r="H1212">
        <v>1340.5432129000001</v>
      </c>
      <c r="I1212">
        <v>1323.0338135</v>
      </c>
      <c r="J1212">
        <v>1318.8358154</v>
      </c>
      <c r="K1212">
        <v>550</v>
      </c>
      <c r="L1212">
        <v>0</v>
      </c>
      <c r="M1212">
        <v>0</v>
      </c>
      <c r="N1212">
        <v>550</v>
      </c>
    </row>
    <row r="1213" spans="1:14" x14ac:dyDescent="0.25">
      <c r="A1213">
        <v>1464.6778240000001</v>
      </c>
      <c r="B1213" s="1">
        <f>DATE(2014,5,4) + TIME(16,16,3)</f>
        <v>41763.677812499998</v>
      </c>
      <c r="C1213">
        <v>80</v>
      </c>
      <c r="D1213">
        <v>77.011970520000006</v>
      </c>
      <c r="E1213">
        <v>50</v>
      </c>
      <c r="F1213">
        <v>49.616157532000003</v>
      </c>
      <c r="G1213">
        <v>1345.1416016000001</v>
      </c>
      <c r="H1213">
        <v>1340.5535889</v>
      </c>
      <c r="I1213">
        <v>1323.0336914</v>
      </c>
      <c r="J1213">
        <v>1318.8343506000001</v>
      </c>
      <c r="K1213">
        <v>550</v>
      </c>
      <c r="L1213">
        <v>0</v>
      </c>
      <c r="M1213">
        <v>0</v>
      </c>
      <c r="N1213">
        <v>550</v>
      </c>
    </row>
    <row r="1214" spans="1:14" x14ac:dyDescent="0.25">
      <c r="A1214">
        <v>1464.9044240000001</v>
      </c>
      <c r="B1214" s="1">
        <f>DATE(2014,5,4) + TIME(21,42,22)</f>
        <v>41763.904421296298</v>
      </c>
      <c r="C1214">
        <v>80</v>
      </c>
      <c r="D1214">
        <v>77.264274596999996</v>
      </c>
      <c r="E1214">
        <v>50</v>
      </c>
      <c r="F1214">
        <v>49.600463867000002</v>
      </c>
      <c r="G1214">
        <v>1345.1496582</v>
      </c>
      <c r="H1214">
        <v>1340.5639647999999</v>
      </c>
      <c r="I1214">
        <v>1323.0336914</v>
      </c>
      <c r="J1214">
        <v>1318.8326416</v>
      </c>
      <c r="K1214">
        <v>550</v>
      </c>
      <c r="L1214">
        <v>0</v>
      </c>
      <c r="M1214">
        <v>0</v>
      </c>
      <c r="N1214">
        <v>550</v>
      </c>
    </row>
    <row r="1215" spans="1:14" x14ac:dyDescent="0.25">
      <c r="A1215">
        <v>1465.1406030000001</v>
      </c>
      <c r="B1215" s="1">
        <f>DATE(2014,5,5) + TIME(3,22,28)</f>
        <v>41764.140601851854</v>
      </c>
      <c r="C1215">
        <v>80</v>
      </c>
      <c r="D1215">
        <v>77.503471375000004</v>
      </c>
      <c r="E1215">
        <v>50</v>
      </c>
      <c r="F1215">
        <v>49.584320067999997</v>
      </c>
      <c r="G1215">
        <v>1345.1580810999999</v>
      </c>
      <c r="H1215">
        <v>1340.5740966999999</v>
      </c>
      <c r="I1215">
        <v>1323.0334473</v>
      </c>
      <c r="J1215">
        <v>1318.8309326000001</v>
      </c>
      <c r="K1215">
        <v>550</v>
      </c>
      <c r="L1215">
        <v>0</v>
      </c>
      <c r="M1215">
        <v>0</v>
      </c>
      <c r="N1215">
        <v>550</v>
      </c>
    </row>
    <row r="1216" spans="1:14" x14ac:dyDescent="0.25">
      <c r="A1216">
        <v>1465.3871039999999</v>
      </c>
      <c r="B1216" s="1">
        <f>DATE(2014,5,5) + TIME(9,17,25)</f>
        <v>41764.387094907404</v>
      </c>
      <c r="C1216">
        <v>80</v>
      </c>
      <c r="D1216">
        <v>77.729560852000006</v>
      </c>
      <c r="E1216">
        <v>50</v>
      </c>
      <c r="F1216">
        <v>49.567691803000002</v>
      </c>
      <c r="G1216">
        <v>1345.1665039</v>
      </c>
      <c r="H1216">
        <v>1340.5839844</v>
      </c>
      <c r="I1216">
        <v>1323.0333252</v>
      </c>
      <c r="J1216">
        <v>1318.8291016000001</v>
      </c>
      <c r="K1216">
        <v>550</v>
      </c>
      <c r="L1216">
        <v>0</v>
      </c>
      <c r="M1216">
        <v>0</v>
      </c>
      <c r="N1216">
        <v>550</v>
      </c>
    </row>
    <row r="1217" spans="1:14" x14ac:dyDescent="0.25">
      <c r="A1217">
        <v>1465.644753</v>
      </c>
      <c r="B1217" s="1">
        <f>DATE(2014,5,5) + TIME(15,28,26)</f>
        <v>41764.644745370373</v>
      </c>
      <c r="C1217">
        <v>80</v>
      </c>
      <c r="D1217">
        <v>77.942588806000003</v>
      </c>
      <c r="E1217">
        <v>50</v>
      </c>
      <c r="F1217">
        <v>49.550540924000003</v>
      </c>
      <c r="G1217">
        <v>1345.1751709</v>
      </c>
      <c r="H1217">
        <v>1340.59375</v>
      </c>
      <c r="I1217">
        <v>1323.0330810999999</v>
      </c>
      <c r="J1217">
        <v>1318.8272704999999</v>
      </c>
      <c r="K1217">
        <v>550</v>
      </c>
      <c r="L1217">
        <v>0</v>
      </c>
      <c r="M1217">
        <v>0</v>
      </c>
      <c r="N1217">
        <v>550</v>
      </c>
    </row>
    <row r="1218" spans="1:14" x14ac:dyDescent="0.25">
      <c r="A1218">
        <v>1465.9144630000001</v>
      </c>
      <c r="B1218" s="1">
        <f>DATE(2014,5,5) + TIME(21,56,49)</f>
        <v>41764.914456018516</v>
      </c>
      <c r="C1218">
        <v>80</v>
      </c>
      <c r="D1218">
        <v>78.142623900999993</v>
      </c>
      <c r="E1218">
        <v>50</v>
      </c>
      <c r="F1218">
        <v>49.532833099000001</v>
      </c>
      <c r="G1218">
        <v>1345.1835937999999</v>
      </c>
      <c r="H1218">
        <v>1340.6030272999999</v>
      </c>
      <c r="I1218">
        <v>1323.0328368999999</v>
      </c>
      <c r="J1218">
        <v>1318.8251952999999</v>
      </c>
      <c r="K1218">
        <v>550</v>
      </c>
      <c r="L1218">
        <v>0</v>
      </c>
      <c r="M1218">
        <v>0</v>
      </c>
      <c r="N1218">
        <v>550</v>
      </c>
    </row>
    <row r="1219" spans="1:14" x14ac:dyDescent="0.25">
      <c r="A1219">
        <v>1466.197259</v>
      </c>
      <c r="B1219" s="1">
        <f>DATE(2014,5,6) + TIME(4,44,3)</f>
        <v>41765.197256944448</v>
      </c>
      <c r="C1219">
        <v>80</v>
      </c>
      <c r="D1219">
        <v>78.329750060999999</v>
      </c>
      <c r="E1219">
        <v>50</v>
      </c>
      <c r="F1219">
        <v>49.514518738</v>
      </c>
      <c r="G1219">
        <v>1345.1920166</v>
      </c>
      <c r="H1219">
        <v>1340.6120605000001</v>
      </c>
      <c r="I1219">
        <v>1323.0324707</v>
      </c>
      <c r="J1219">
        <v>1318.8231201000001</v>
      </c>
      <c r="K1219">
        <v>550</v>
      </c>
      <c r="L1219">
        <v>0</v>
      </c>
      <c r="M1219">
        <v>0</v>
      </c>
      <c r="N1219">
        <v>550</v>
      </c>
    </row>
    <row r="1220" spans="1:14" x14ac:dyDescent="0.25">
      <c r="A1220">
        <v>1466.494285</v>
      </c>
      <c r="B1220" s="1">
        <f>DATE(2014,5,6) + TIME(11,51,46)</f>
        <v>41765.49428240741</v>
      </c>
      <c r="C1220">
        <v>80</v>
      </c>
      <c r="D1220">
        <v>78.504096985000004</v>
      </c>
      <c r="E1220">
        <v>50</v>
      </c>
      <c r="F1220">
        <v>49.495548247999999</v>
      </c>
      <c r="G1220">
        <v>1345.2003173999999</v>
      </c>
      <c r="H1220">
        <v>1340.6206055</v>
      </c>
      <c r="I1220">
        <v>1323.0321045000001</v>
      </c>
      <c r="J1220">
        <v>1318.8209228999999</v>
      </c>
      <c r="K1220">
        <v>550</v>
      </c>
      <c r="L1220">
        <v>0</v>
      </c>
      <c r="M1220">
        <v>0</v>
      </c>
      <c r="N1220">
        <v>550</v>
      </c>
    </row>
    <row r="1221" spans="1:14" x14ac:dyDescent="0.25">
      <c r="A1221">
        <v>1466.806832</v>
      </c>
      <c r="B1221" s="1">
        <f>DATE(2014,5,6) + TIME(19,21,50)</f>
        <v>41765.806828703702</v>
      </c>
      <c r="C1221">
        <v>80</v>
      </c>
      <c r="D1221">
        <v>78.665840149000005</v>
      </c>
      <c r="E1221">
        <v>50</v>
      </c>
      <c r="F1221">
        <v>49.475868224999999</v>
      </c>
      <c r="G1221">
        <v>1345.2082519999999</v>
      </c>
      <c r="H1221">
        <v>1340.6287841999999</v>
      </c>
      <c r="I1221">
        <v>1323.0316161999999</v>
      </c>
      <c r="J1221">
        <v>1318.8187256000001</v>
      </c>
      <c r="K1221">
        <v>550</v>
      </c>
      <c r="L1221">
        <v>0</v>
      </c>
      <c r="M1221">
        <v>0</v>
      </c>
      <c r="N1221">
        <v>550</v>
      </c>
    </row>
    <row r="1222" spans="1:14" x14ac:dyDescent="0.25">
      <c r="A1222">
        <v>1467.13636</v>
      </c>
      <c r="B1222" s="1">
        <f>DATE(2014,5,7) + TIME(3,16,21)</f>
        <v>41766.136354166665</v>
      </c>
      <c r="C1222">
        <v>80</v>
      </c>
      <c r="D1222">
        <v>78.815177917</v>
      </c>
      <c r="E1222">
        <v>50</v>
      </c>
      <c r="F1222">
        <v>49.455413817999997</v>
      </c>
      <c r="G1222">
        <v>1345.2156981999999</v>
      </c>
      <c r="H1222">
        <v>1340.6363524999999</v>
      </c>
      <c r="I1222">
        <v>1323.0311279</v>
      </c>
      <c r="J1222">
        <v>1318.8162841999999</v>
      </c>
      <c r="K1222">
        <v>550</v>
      </c>
      <c r="L1222">
        <v>0</v>
      </c>
      <c r="M1222">
        <v>0</v>
      </c>
      <c r="N1222">
        <v>550</v>
      </c>
    </row>
    <row r="1223" spans="1:14" x14ac:dyDescent="0.25">
      <c r="A1223">
        <v>1467.484528</v>
      </c>
      <c r="B1223" s="1">
        <f>DATE(2014,5,7) + TIME(11,37,43)</f>
        <v>41766.484525462962</v>
      </c>
      <c r="C1223">
        <v>80</v>
      </c>
      <c r="D1223">
        <v>78.952354431000003</v>
      </c>
      <c r="E1223">
        <v>50</v>
      </c>
      <c r="F1223">
        <v>49.434116363999998</v>
      </c>
      <c r="G1223">
        <v>1345.2227783000001</v>
      </c>
      <c r="H1223">
        <v>1340.6433105000001</v>
      </c>
      <c r="I1223">
        <v>1323.0303954999999</v>
      </c>
      <c r="J1223">
        <v>1318.8137207</v>
      </c>
      <c r="K1223">
        <v>550</v>
      </c>
      <c r="L1223">
        <v>0</v>
      </c>
      <c r="M1223">
        <v>0</v>
      </c>
      <c r="N1223">
        <v>550</v>
      </c>
    </row>
    <row r="1224" spans="1:14" x14ac:dyDescent="0.25">
      <c r="A1224">
        <v>1467.8534299999999</v>
      </c>
      <c r="B1224" s="1">
        <f>DATE(2014,5,7) + TIME(20,28,56)</f>
        <v>41766.853425925925</v>
      </c>
      <c r="C1224">
        <v>80</v>
      </c>
      <c r="D1224">
        <v>79.077720642000003</v>
      </c>
      <c r="E1224">
        <v>50</v>
      </c>
      <c r="F1224">
        <v>49.411884307999998</v>
      </c>
      <c r="G1224">
        <v>1345.2292480000001</v>
      </c>
      <c r="H1224">
        <v>1340.6496582</v>
      </c>
      <c r="I1224">
        <v>1323.0297852000001</v>
      </c>
      <c r="J1224">
        <v>1318.8109131000001</v>
      </c>
      <c r="K1224">
        <v>550</v>
      </c>
      <c r="L1224">
        <v>0</v>
      </c>
      <c r="M1224">
        <v>0</v>
      </c>
      <c r="N1224">
        <v>550</v>
      </c>
    </row>
    <row r="1225" spans="1:14" x14ac:dyDescent="0.25">
      <c r="A1225">
        <v>1468.2451610000001</v>
      </c>
      <c r="B1225" s="1">
        <f>DATE(2014,5,8) + TIME(5,53,1)</f>
        <v>41767.245150462964</v>
      </c>
      <c r="C1225">
        <v>80</v>
      </c>
      <c r="D1225">
        <v>79.191551208000007</v>
      </c>
      <c r="E1225">
        <v>50</v>
      </c>
      <c r="F1225">
        <v>49.388629913000003</v>
      </c>
      <c r="G1225">
        <v>1345.2351074000001</v>
      </c>
      <c r="H1225">
        <v>1340.6553954999999</v>
      </c>
      <c r="I1225">
        <v>1323.0289307</v>
      </c>
      <c r="J1225">
        <v>1318.8081055</v>
      </c>
      <c r="K1225">
        <v>550</v>
      </c>
      <c r="L1225">
        <v>0</v>
      </c>
      <c r="M1225">
        <v>0</v>
      </c>
      <c r="N1225">
        <v>550</v>
      </c>
    </row>
    <row r="1226" spans="1:14" x14ac:dyDescent="0.25">
      <c r="A1226">
        <v>1468.66219</v>
      </c>
      <c r="B1226" s="1">
        <f>DATE(2014,5,8) + TIME(15,53,33)</f>
        <v>41767.662187499998</v>
      </c>
      <c r="C1226">
        <v>80</v>
      </c>
      <c r="D1226">
        <v>79.294212341000005</v>
      </c>
      <c r="E1226">
        <v>50</v>
      </c>
      <c r="F1226">
        <v>49.364253998000002</v>
      </c>
      <c r="G1226">
        <v>1345.2402344</v>
      </c>
      <c r="H1226">
        <v>1340.6602783000001</v>
      </c>
      <c r="I1226">
        <v>1323.0280762</v>
      </c>
      <c r="J1226">
        <v>1318.8050536999999</v>
      </c>
      <c r="K1226">
        <v>550</v>
      </c>
      <c r="L1226">
        <v>0</v>
      </c>
      <c r="M1226">
        <v>0</v>
      </c>
      <c r="N1226">
        <v>550</v>
      </c>
    </row>
    <row r="1227" spans="1:14" x14ac:dyDescent="0.25">
      <c r="A1227">
        <v>1469.1074739999999</v>
      </c>
      <c r="B1227" s="1">
        <f>DATE(2014,5,9) + TIME(2,34,45)</f>
        <v>41768.107465277775</v>
      </c>
      <c r="C1227">
        <v>80</v>
      </c>
      <c r="D1227">
        <v>79.386123656999999</v>
      </c>
      <c r="E1227">
        <v>50</v>
      </c>
      <c r="F1227">
        <v>49.338634491000001</v>
      </c>
      <c r="G1227">
        <v>1345.2443848</v>
      </c>
      <c r="H1227">
        <v>1340.6644286999999</v>
      </c>
      <c r="I1227">
        <v>1323.0269774999999</v>
      </c>
      <c r="J1227">
        <v>1318.8017577999999</v>
      </c>
      <c r="K1227">
        <v>550</v>
      </c>
      <c r="L1227">
        <v>0</v>
      </c>
      <c r="M1227">
        <v>0</v>
      </c>
      <c r="N1227">
        <v>550</v>
      </c>
    </row>
    <row r="1228" spans="1:14" x14ac:dyDescent="0.25">
      <c r="A1228">
        <v>1469.5844870000001</v>
      </c>
      <c r="B1228" s="1">
        <f>DATE(2014,5,9) + TIME(14,1,39)</f>
        <v>41768.584479166668</v>
      </c>
      <c r="C1228">
        <v>80</v>
      </c>
      <c r="D1228">
        <v>79.467765807999996</v>
      </c>
      <c r="E1228">
        <v>50</v>
      </c>
      <c r="F1228">
        <v>49.311630248999997</v>
      </c>
      <c r="G1228">
        <v>1345.2475586</v>
      </c>
      <c r="H1228">
        <v>1340.6677245999999</v>
      </c>
      <c r="I1228">
        <v>1323.0257568</v>
      </c>
      <c r="J1228">
        <v>1318.7982178</v>
      </c>
      <c r="K1228">
        <v>550</v>
      </c>
      <c r="L1228">
        <v>0</v>
      </c>
      <c r="M1228">
        <v>0</v>
      </c>
      <c r="N1228">
        <v>550</v>
      </c>
    </row>
    <row r="1229" spans="1:14" x14ac:dyDescent="0.25">
      <c r="A1229">
        <v>1470.0973039999999</v>
      </c>
      <c r="B1229" s="1">
        <f>DATE(2014,5,10) + TIME(2,20,7)</f>
        <v>41769.097303240742</v>
      </c>
      <c r="C1229">
        <v>80</v>
      </c>
      <c r="D1229">
        <v>79.539634704999997</v>
      </c>
      <c r="E1229">
        <v>50</v>
      </c>
      <c r="F1229">
        <v>49.283084869</v>
      </c>
      <c r="G1229">
        <v>1345.2497559000001</v>
      </c>
      <c r="H1229">
        <v>1340.6701660000001</v>
      </c>
      <c r="I1229">
        <v>1323.0244141000001</v>
      </c>
      <c r="J1229">
        <v>1318.7943115</v>
      </c>
      <c r="K1229">
        <v>550</v>
      </c>
      <c r="L1229">
        <v>0</v>
      </c>
      <c r="M1229">
        <v>0</v>
      </c>
      <c r="N1229">
        <v>550</v>
      </c>
    </row>
    <row r="1230" spans="1:14" x14ac:dyDescent="0.25">
      <c r="A1230">
        <v>1470.6364840000001</v>
      </c>
      <c r="B1230" s="1">
        <f>DATE(2014,5,10) + TIME(15,16,32)</f>
        <v>41769.636481481481</v>
      </c>
      <c r="C1230">
        <v>80</v>
      </c>
      <c r="D1230">
        <v>79.600990295000003</v>
      </c>
      <c r="E1230">
        <v>50</v>
      </c>
      <c r="F1230">
        <v>49.253486633000001</v>
      </c>
      <c r="G1230">
        <v>1345.2510986</v>
      </c>
      <c r="H1230">
        <v>1340.6717529</v>
      </c>
      <c r="I1230">
        <v>1323.0229492000001</v>
      </c>
      <c r="J1230">
        <v>1318.7902832</v>
      </c>
      <c r="K1230">
        <v>550</v>
      </c>
      <c r="L1230">
        <v>0</v>
      </c>
      <c r="M1230">
        <v>0</v>
      </c>
      <c r="N1230">
        <v>550</v>
      </c>
    </row>
    <row r="1231" spans="1:14" x14ac:dyDescent="0.25">
      <c r="A1231">
        <v>1471.1821480000001</v>
      </c>
      <c r="B1231" s="1">
        <f>DATE(2014,5,11) + TIME(4,22,17)</f>
        <v>41770.182141203702</v>
      </c>
      <c r="C1231">
        <v>80</v>
      </c>
      <c r="D1231">
        <v>79.651321410999998</v>
      </c>
      <c r="E1231">
        <v>50</v>
      </c>
      <c r="F1231">
        <v>49.223800658999998</v>
      </c>
      <c r="G1231">
        <v>1345.2517089999999</v>
      </c>
      <c r="H1231">
        <v>1340.6726074000001</v>
      </c>
      <c r="I1231">
        <v>1323.0212402</v>
      </c>
      <c r="J1231">
        <v>1318.7858887</v>
      </c>
      <c r="K1231">
        <v>550</v>
      </c>
      <c r="L1231">
        <v>0</v>
      </c>
      <c r="M1231">
        <v>0</v>
      </c>
      <c r="N1231">
        <v>550</v>
      </c>
    </row>
    <row r="1232" spans="1:14" x14ac:dyDescent="0.25">
      <c r="A1232">
        <v>1471.736541</v>
      </c>
      <c r="B1232" s="1">
        <f>DATE(2014,5,11) + TIME(17,40,37)</f>
        <v>41770.736539351848</v>
      </c>
      <c r="C1232">
        <v>80</v>
      </c>
      <c r="D1232">
        <v>79.692680358999993</v>
      </c>
      <c r="E1232">
        <v>50</v>
      </c>
      <c r="F1232">
        <v>49.193923949999999</v>
      </c>
      <c r="G1232">
        <v>1345.2508545000001</v>
      </c>
      <c r="H1232">
        <v>1340.6724853999999</v>
      </c>
      <c r="I1232">
        <v>1323.0194091999999</v>
      </c>
      <c r="J1232">
        <v>1318.7814940999999</v>
      </c>
      <c r="K1232">
        <v>550</v>
      </c>
      <c r="L1232">
        <v>0</v>
      </c>
      <c r="M1232">
        <v>0</v>
      </c>
      <c r="N1232">
        <v>550</v>
      </c>
    </row>
    <row r="1233" spans="1:14" x14ac:dyDescent="0.25">
      <c r="A1233">
        <v>1472.301056</v>
      </c>
      <c r="B1233" s="1">
        <f>DATE(2014,5,12) + TIME(7,13,31)</f>
        <v>41771.301053240742</v>
      </c>
      <c r="C1233">
        <v>80</v>
      </c>
      <c r="D1233">
        <v>79.726661682</v>
      </c>
      <c r="E1233">
        <v>50</v>
      </c>
      <c r="F1233">
        <v>49.163799286</v>
      </c>
      <c r="G1233">
        <v>1345.2487793</v>
      </c>
      <c r="H1233">
        <v>1340.6713867000001</v>
      </c>
      <c r="I1233">
        <v>1323.0175781</v>
      </c>
      <c r="J1233">
        <v>1318.7768555</v>
      </c>
      <c r="K1233">
        <v>550</v>
      </c>
      <c r="L1233">
        <v>0</v>
      </c>
      <c r="M1233">
        <v>0</v>
      </c>
      <c r="N1233">
        <v>550</v>
      </c>
    </row>
    <row r="1234" spans="1:14" x14ac:dyDescent="0.25">
      <c r="A1234">
        <v>1472.87725</v>
      </c>
      <c r="B1234" s="1">
        <f>DATE(2014,5,12) + TIME(21,3,14)</f>
        <v>41771.877245370371</v>
      </c>
      <c r="C1234">
        <v>80</v>
      </c>
      <c r="D1234">
        <v>79.754585266000007</v>
      </c>
      <c r="E1234">
        <v>50</v>
      </c>
      <c r="F1234">
        <v>49.133358002000001</v>
      </c>
      <c r="G1234">
        <v>1345.2456055</v>
      </c>
      <c r="H1234">
        <v>1340.6694336</v>
      </c>
      <c r="I1234">
        <v>1323.0155029</v>
      </c>
      <c r="J1234">
        <v>1318.7722168</v>
      </c>
      <c r="K1234">
        <v>550</v>
      </c>
      <c r="L1234">
        <v>0</v>
      </c>
      <c r="M1234">
        <v>0</v>
      </c>
      <c r="N1234">
        <v>550</v>
      </c>
    </row>
    <row r="1235" spans="1:14" x14ac:dyDescent="0.25">
      <c r="A1235">
        <v>1473.46702</v>
      </c>
      <c r="B1235" s="1">
        <f>DATE(2014,5,13) + TIME(11,12,30)</f>
        <v>41772.467013888891</v>
      </c>
      <c r="C1235">
        <v>80</v>
      </c>
      <c r="D1235">
        <v>79.777511597</v>
      </c>
      <c r="E1235">
        <v>50</v>
      </c>
      <c r="F1235">
        <v>49.102527618000003</v>
      </c>
      <c r="G1235">
        <v>1345.2413329999999</v>
      </c>
      <c r="H1235">
        <v>1340.6667480000001</v>
      </c>
      <c r="I1235">
        <v>1323.0134277</v>
      </c>
      <c r="J1235">
        <v>1318.7673339999999</v>
      </c>
      <c r="K1235">
        <v>550</v>
      </c>
      <c r="L1235">
        <v>0</v>
      </c>
      <c r="M1235">
        <v>0</v>
      </c>
      <c r="N1235">
        <v>550</v>
      </c>
    </row>
    <row r="1236" spans="1:14" x14ac:dyDescent="0.25">
      <c r="A1236">
        <v>1474.072124</v>
      </c>
      <c r="B1236" s="1">
        <f>DATE(2014,5,14) + TIME(1,43,51)</f>
        <v>41773.072118055556</v>
      </c>
      <c r="C1236">
        <v>80</v>
      </c>
      <c r="D1236">
        <v>79.796333313000005</v>
      </c>
      <c r="E1236">
        <v>50</v>
      </c>
      <c r="F1236">
        <v>49.071228026999997</v>
      </c>
      <c r="G1236">
        <v>1345.2360839999999</v>
      </c>
      <c r="H1236">
        <v>1340.6633300999999</v>
      </c>
      <c r="I1236">
        <v>1323.0111084</v>
      </c>
      <c r="J1236">
        <v>1318.7623291</v>
      </c>
      <c r="K1236">
        <v>550</v>
      </c>
      <c r="L1236">
        <v>0</v>
      </c>
      <c r="M1236">
        <v>0</v>
      </c>
      <c r="N1236">
        <v>550</v>
      </c>
    </row>
    <row r="1237" spans="1:14" x14ac:dyDescent="0.25">
      <c r="A1237">
        <v>1474.6944759999999</v>
      </c>
      <c r="B1237" s="1">
        <f>DATE(2014,5,14) + TIME(16,40,2)</f>
        <v>41773.694467592592</v>
      </c>
      <c r="C1237">
        <v>80</v>
      </c>
      <c r="D1237">
        <v>79.811767578000001</v>
      </c>
      <c r="E1237">
        <v>50</v>
      </c>
      <c r="F1237">
        <v>49.039398192999997</v>
      </c>
      <c r="G1237">
        <v>1345.2298584</v>
      </c>
      <c r="H1237">
        <v>1340.6594238</v>
      </c>
      <c r="I1237">
        <v>1323.0086670000001</v>
      </c>
      <c r="J1237">
        <v>1318.7570800999999</v>
      </c>
      <c r="K1237">
        <v>550</v>
      </c>
      <c r="L1237">
        <v>0</v>
      </c>
      <c r="M1237">
        <v>0</v>
      </c>
      <c r="N1237">
        <v>550</v>
      </c>
    </row>
    <row r="1238" spans="1:14" x14ac:dyDescent="0.25">
      <c r="A1238">
        <v>1475.336166</v>
      </c>
      <c r="B1238" s="1">
        <f>DATE(2014,5,15) + TIME(8,4,4)</f>
        <v>41774.336157407408</v>
      </c>
      <c r="C1238">
        <v>80</v>
      </c>
      <c r="D1238">
        <v>79.824409485000004</v>
      </c>
      <c r="E1238">
        <v>50</v>
      </c>
      <c r="F1238">
        <v>49.006950377999999</v>
      </c>
      <c r="G1238">
        <v>1345.2229004000001</v>
      </c>
      <c r="H1238">
        <v>1340.6547852000001</v>
      </c>
      <c r="I1238">
        <v>1323.0062256000001</v>
      </c>
      <c r="J1238">
        <v>1318.7515868999999</v>
      </c>
      <c r="K1238">
        <v>550</v>
      </c>
      <c r="L1238">
        <v>0</v>
      </c>
      <c r="M1238">
        <v>0</v>
      </c>
      <c r="N1238">
        <v>550</v>
      </c>
    </row>
    <row r="1239" spans="1:14" x14ac:dyDescent="0.25">
      <c r="A1239">
        <v>1475.9917029999999</v>
      </c>
      <c r="B1239" s="1">
        <f>DATE(2014,5,15) + TIME(23,48,3)</f>
        <v>41774.991701388892</v>
      </c>
      <c r="C1239">
        <v>80</v>
      </c>
      <c r="D1239">
        <v>79.834655761999997</v>
      </c>
      <c r="E1239">
        <v>50</v>
      </c>
      <c r="F1239">
        <v>48.974136352999999</v>
      </c>
      <c r="G1239">
        <v>1345.2152100000001</v>
      </c>
      <c r="H1239">
        <v>1340.6497803</v>
      </c>
      <c r="I1239">
        <v>1323.0035399999999</v>
      </c>
      <c r="J1239">
        <v>1318.7458495999999</v>
      </c>
      <c r="K1239">
        <v>550</v>
      </c>
      <c r="L1239">
        <v>0</v>
      </c>
      <c r="M1239">
        <v>0</v>
      </c>
      <c r="N1239">
        <v>550</v>
      </c>
    </row>
    <row r="1240" spans="1:14" x14ac:dyDescent="0.25">
      <c r="A1240">
        <v>1476.6625859999999</v>
      </c>
      <c r="B1240" s="1">
        <f>DATE(2014,5,16) + TIME(15,54,7)</f>
        <v>41775.662581018521</v>
      </c>
      <c r="C1240">
        <v>80</v>
      </c>
      <c r="D1240">
        <v>79.842971801999994</v>
      </c>
      <c r="E1240">
        <v>50</v>
      </c>
      <c r="F1240">
        <v>48.940906525000003</v>
      </c>
      <c r="G1240">
        <v>1345.2066649999999</v>
      </c>
      <c r="H1240">
        <v>1340.6441649999999</v>
      </c>
      <c r="I1240">
        <v>1323.0007324000001</v>
      </c>
      <c r="J1240">
        <v>1318.7398682</v>
      </c>
      <c r="K1240">
        <v>550</v>
      </c>
      <c r="L1240">
        <v>0</v>
      </c>
      <c r="M1240">
        <v>0</v>
      </c>
      <c r="N1240">
        <v>550</v>
      </c>
    </row>
    <row r="1241" spans="1:14" x14ac:dyDescent="0.25">
      <c r="A1241">
        <v>1477.350383</v>
      </c>
      <c r="B1241" s="1">
        <f>DATE(2014,5,17) + TIME(8,24,33)</f>
        <v>41776.350381944445</v>
      </c>
      <c r="C1241">
        <v>80</v>
      </c>
      <c r="D1241">
        <v>79.849723815999994</v>
      </c>
      <c r="E1241">
        <v>50</v>
      </c>
      <c r="F1241">
        <v>48.907207489000001</v>
      </c>
      <c r="G1241">
        <v>1345.1976318</v>
      </c>
      <c r="H1241">
        <v>1340.6383057</v>
      </c>
      <c r="I1241">
        <v>1322.9976807</v>
      </c>
      <c r="J1241">
        <v>1318.7337646000001</v>
      </c>
      <c r="K1241">
        <v>550</v>
      </c>
      <c r="L1241">
        <v>0</v>
      </c>
      <c r="M1241">
        <v>0</v>
      </c>
      <c r="N1241">
        <v>550</v>
      </c>
    </row>
    <row r="1242" spans="1:14" x14ac:dyDescent="0.25">
      <c r="A1242">
        <v>1478.0567980000001</v>
      </c>
      <c r="B1242" s="1">
        <f>DATE(2014,5,18) + TIME(1,21,47)</f>
        <v>41777.056793981479</v>
      </c>
      <c r="C1242">
        <v>80</v>
      </c>
      <c r="D1242">
        <v>79.855201721</v>
      </c>
      <c r="E1242">
        <v>50</v>
      </c>
      <c r="F1242">
        <v>48.872985839999998</v>
      </c>
      <c r="G1242">
        <v>1345.1881103999999</v>
      </c>
      <c r="H1242">
        <v>1340.6320800999999</v>
      </c>
      <c r="I1242">
        <v>1322.9946289</v>
      </c>
      <c r="J1242">
        <v>1318.7274170000001</v>
      </c>
      <c r="K1242">
        <v>550</v>
      </c>
      <c r="L1242">
        <v>0</v>
      </c>
      <c r="M1242">
        <v>0</v>
      </c>
      <c r="N1242">
        <v>550</v>
      </c>
    </row>
    <row r="1243" spans="1:14" x14ac:dyDescent="0.25">
      <c r="A1243">
        <v>1478.783999</v>
      </c>
      <c r="B1243" s="1">
        <f>DATE(2014,5,18) + TIME(18,48,57)</f>
        <v>41777.783993055556</v>
      </c>
      <c r="C1243">
        <v>80</v>
      </c>
      <c r="D1243">
        <v>79.859664917000003</v>
      </c>
      <c r="E1243">
        <v>50</v>
      </c>
      <c r="F1243">
        <v>48.838172913000001</v>
      </c>
      <c r="G1243">
        <v>1345.1778564000001</v>
      </c>
      <c r="H1243">
        <v>1340.6253661999999</v>
      </c>
      <c r="I1243">
        <v>1322.9913329999999</v>
      </c>
      <c r="J1243">
        <v>1318.7207031</v>
      </c>
      <c r="K1243">
        <v>550</v>
      </c>
      <c r="L1243">
        <v>0</v>
      </c>
      <c r="M1243">
        <v>0</v>
      </c>
      <c r="N1243">
        <v>550</v>
      </c>
    </row>
    <row r="1244" spans="1:14" x14ac:dyDescent="0.25">
      <c r="A1244">
        <v>1479.5344030000001</v>
      </c>
      <c r="B1244" s="1">
        <f>DATE(2014,5,19) + TIME(12,49,32)</f>
        <v>41778.534398148149</v>
      </c>
      <c r="C1244">
        <v>80</v>
      </c>
      <c r="D1244">
        <v>79.863304138000004</v>
      </c>
      <c r="E1244">
        <v>50</v>
      </c>
      <c r="F1244">
        <v>48.802692413000003</v>
      </c>
      <c r="G1244">
        <v>1345.1672363</v>
      </c>
      <c r="H1244">
        <v>1340.6184082</v>
      </c>
      <c r="I1244">
        <v>1322.9879149999999</v>
      </c>
      <c r="J1244">
        <v>1318.7137451000001</v>
      </c>
      <c r="K1244">
        <v>550</v>
      </c>
      <c r="L1244">
        <v>0</v>
      </c>
      <c r="M1244">
        <v>0</v>
      </c>
      <c r="N1244">
        <v>550</v>
      </c>
    </row>
    <row r="1245" spans="1:14" x14ac:dyDescent="0.25">
      <c r="A1245">
        <v>1480.310403</v>
      </c>
      <c r="B1245" s="1">
        <f>DATE(2014,5,20) + TIME(7,26,58)</f>
        <v>41779.310393518521</v>
      </c>
      <c r="C1245">
        <v>80</v>
      </c>
      <c r="D1245">
        <v>79.866279602000006</v>
      </c>
      <c r="E1245">
        <v>50</v>
      </c>
      <c r="F1245">
        <v>48.766468048</v>
      </c>
      <c r="G1245">
        <v>1345.1560059000001</v>
      </c>
      <c r="H1245">
        <v>1340.6112060999999</v>
      </c>
      <c r="I1245">
        <v>1322.984375</v>
      </c>
      <c r="J1245">
        <v>1318.706543</v>
      </c>
      <c r="K1245">
        <v>550</v>
      </c>
      <c r="L1245">
        <v>0</v>
      </c>
      <c r="M1245">
        <v>0</v>
      </c>
      <c r="N1245">
        <v>550</v>
      </c>
    </row>
    <row r="1246" spans="1:14" x14ac:dyDescent="0.25">
      <c r="A1246">
        <v>1481.1147060000001</v>
      </c>
      <c r="B1246" s="1">
        <f>DATE(2014,5,21) + TIME(2,45,10)</f>
        <v>41780.114699074074</v>
      </c>
      <c r="C1246">
        <v>80</v>
      </c>
      <c r="D1246">
        <v>79.868713378999999</v>
      </c>
      <c r="E1246">
        <v>50</v>
      </c>
      <c r="F1246">
        <v>48.729427338000001</v>
      </c>
      <c r="G1246">
        <v>1345.1442870999999</v>
      </c>
      <c r="H1246">
        <v>1340.6036377</v>
      </c>
      <c r="I1246">
        <v>1322.9805908000001</v>
      </c>
      <c r="J1246">
        <v>1318.6988524999999</v>
      </c>
      <c r="K1246">
        <v>550</v>
      </c>
      <c r="L1246">
        <v>0</v>
      </c>
      <c r="M1246">
        <v>0</v>
      </c>
      <c r="N1246">
        <v>550</v>
      </c>
    </row>
    <row r="1247" spans="1:14" x14ac:dyDescent="0.25">
      <c r="A1247">
        <v>1481.950351</v>
      </c>
      <c r="B1247" s="1">
        <f>DATE(2014,5,21) + TIME(22,48,30)</f>
        <v>41780.95034722222</v>
      </c>
      <c r="C1247">
        <v>80</v>
      </c>
      <c r="D1247">
        <v>79.870712280000006</v>
      </c>
      <c r="E1247">
        <v>50</v>
      </c>
      <c r="F1247">
        <v>48.691478729000004</v>
      </c>
      <c r="G1247">
        <v>1345.1322021000001</v>
      </c>
      <c r="H1247">
        <v>1340.5958252</v>
      </c>
      <c r="I1247">
        <v>1322.9765625</v>
      </c>
      <c r="J1247">
        <v>1318.690918</v>
      </c>
      <c r="K1247">
        <v>550</v>
      </c>
      <c r="L1247">
        <v>0</v>
      </c>
      <c r="M1247">
        <v>0</v>
      </c>
      <c r="N1247">
        <v>550</v>
      </c>
    </row>
    <row r="1248" spans="1:14" x14ac:dyDescent="0.25">
      <c r="A1248">
        <v>1482.8207930000001</v>
      </c>
      <c r="B1248" s="1">
        <f>DATE(2014,5,22) + TIME(19,41,56)</f>
        <v>41781.820787037039</v>
      </c>
      <c r="C1248">
        <v>80</v>
      </c>
      <c r="D1248">
        <v>79.872352599999999</v>
      </c>
      <c r="E1248">
        <v>50</v>
      </c>
      <c r="F1248">
        <v>48.652530669999997</v>
      </c>
      <c r="G1248">
        <v>1345.1195068</v>
      </c>
      <c r="H1248">
        <v>1340.5877685999999</v>
      </c>
      <c r="I1248">
        <v>1322.9722899999999</v>
      </c>
      <c r="J1248">
        <v>1318.6824951000001</v>
      </c>
      <c r="K1248">
        <v>550</v>
      </c>
      <c r="L1248">
        <v>0</v>
      </c>
      <c r="M1248">
        <v>0</v>
      </c>
      <c r="N1248">
        <v>550</v>
      </c>
    </row>
    <row r="1249" spans="1:14" x14ac:dyDescent="0.25">
      <c r="A1249">
        <v>1483.7249899999999</v>
      </c>
      <c r="B1249" s="1">
        <f>DATE(2014,5,23) + TIME(17,23,59)</f>
        <v>41782.724988425929</v>
      </c>
      <c r="C1249">
        <v>80</v>
      </c>
      <c r="D1249">
        <v>79.873703003000003</v>
      </c>
      <c r="E1249">
        <v>50</v>
      </c>
      <c r="F1249">
        <v>48.61265564</v>
      </c>
      <c r="G1249">
        <v>1345.1063231999999</v>
      </c>
      <c r="H1249">
        <v>1340.5793457</v>
      </c>
      <c r="I1249">
        <v>1322.9677733999999</v>
      </c>
      <c r="J1249">
        <v>1318.6735839999999</v>
      </c>
      <c r="K1249">
        <v>550</v>
      </c>
      <c r="L1249">
        <v>0</v>
      </c>
      <c r="M1249">
        <v>0</v>
      </c>
      <c r="N1249">
        <v>550</v>
      </c>
    </row>
    <row r="1250" spans="1:14" x14ac:dyDescent="0.25">
      <c r="A1250">
        <v>1484.656575</v>
      </c>
      <c r="B1250" s="1">
        <f>DATE(2014,5,24) + TIME(15,45,28)</f>
        <v>41783.656574074077</v>
      </c>
      <c r="C1250">
        <v>80</v>
      </c>
      <c r="D1250">
        <v>79.874801636000001</v>
      </c>
      <c r="E1250">
        <v>50</v>
      </c>
      <c r="F1250">
        <v>48.572113037000001</v>
      </c>
      <c r="G1250">
        <v>1345.0927733999999</v>
      </c>
      <c r="H1250">
        <v>1340.5706786999999</v>
      </c>
      <c r="I1250">
        <v>1322.9630127</v>
      </c>
      <c r="J1250">
        <v>1318.6641846</v>
      </c>
      <c r="K1250">
        <v>550</v>
      </c>
      <c r="L1250">
        <v>0</v>
      </c>
      <c r="M1250">
        <v>0</v>
      </c>
      <c r="N1250">
        <v>550</v>
      </c>
    </row>
    <row r="1251" spans="1:14" x14ac:dyDescent="0.25">
      <c r="A1251">
        <v>1485.619228</v>
      </c>
      <c r="B1251" s="1">
        <f>DATE(2014,5,25) + TIME(14,51,41)</f>
        <v>41784.61922453704</v>
      </c>
      <c r="C1251">
        <v>80</v>
      </c>
      <c r="D1251">
        <v>79.875701903999996</v>
      </c>
      <c r="E1251">
        <v>50</v>
      </c>
      <c r="F1251">
        <v>48.530818939</v>
      </c>
      <c r="G1251">
        <v>1345.0788574000001</v>
      </c>
      <c r="H1251">
        <v>1340.5618896000001</v>
      </c>
      <c r="I1251">
        <v>1322.9581298999999</v>
      </c>
      <c r="J1251">
        <v>1318.6544189000001</v>
      </c>
      <c r="K1251">
        <v>550</v>
      </c>
      <c r="L1251">
        <v>0</v>
      </c>
      <c r="M1251">
        <v>0</v>
      </c>
      <c r="N1251">
        <v>550</v>
      </c>
    </row>
    <row r="1252" spans="1:14" x14ac:dyDescent="0.25">
      <c r="A1252">
        <v>1486.6158519999999</v>
      </c>
      <c r="B1252" s="1">
        <f>DATE(2014,5,26) + TIME(14,46,49)</f>
        <v>41785.615844907406</v>
      </c>
      <c r="C1252">
        <v>80</v>
      </c>
      <c r="D1252">
        <v>79.876441955999994</v>
      </c>
      <c r="E1252">
        <v>50</v>
      </c>
      <c r="F1252">
        <v>48.488727570000002</v>
      </c>
      <c r="G1252">
        <v>1345.0646973</v>
      </c>
      <c r="H1252">
        <v>1340.5528564000001</v>
      </c>
      <c r="I1252">
        <v>1322.9528809000001</v>
      </c>
      <c r="J1252">
        <v>1318.6441649999999</v>
      </c>
      <c r="K1252">
        <v>550</v>
      </c>
      <c r="L1252">
        <v>0</v>
      </c>
      <c r="M1252">
        <v>0</v>
      </c>
      <c r="N1252">
        <v>550</v>
      </c>
    </row>
    <row r="1253" spans="1:14" x14ac:dyDescent="0.25">
      <c r="A1253">
        <v>1487.6497810000001</v>
      </c>
      <c r="B1253" s="1">
        <f>DATE(2014,5,27) + TIME(15,35,41)</f>
        <v>41786.649780092594</v>
      </c>
      <c r="C1253">
        <v>80</v>
      </c>
      <c r="D1253">
        <v>79.877059936999999</v>
      </c>
      <c r="E1253">
        <v>50</v>
      </c>
      <c r="F1253">
        <v>48.445774077999999</v>
      </c>
      <c r="G1253">
        <v>1345.0501709</v>
      </c>
      <c r="H1253">
        <v>1340.5437012</v>
      </c>
      <c r="I1253">
        <v>1322.9473877</v>
      </c>
      <c r="J1253">
        <v>1318.6333007999999</v>
      </c>
      <c r="K1253">
        <v>550</v>
      </c>
      <c r="L1253">
        <v>0</v>
      </c>
      <c r="M1253">
        <v>0</v>
      </c>
      <c r="N1253">
        <v>550</v>
      </c>
    </row>
    <row r="1254" spans="1:14" x14ac:dyDescent="0.25">
      <c r="A1254">
        <v>1488.7178819999999</v>
      </c>
      <c r="B1254" s="1">
        <f>DATE(2014,5,28) + TIME(17,13,45)</f>
        <v>41787.717881944445</v>
      </c>
      <c r="C1254">
        <v>80</v>
      </c>
      <c r="D1254">
        <v>79.877555846999996</v>
      </c>
      <c r="E1254">
        <v>50</v>
      </c>
      <c r="F1254">
        <v>48.402118682999998</v>
      </c>
      <c r="G1254">
        <v>1345.0352783000001</v>
      </c>
      <c r="H1254">
        <v>1340.5344238</v>
      </c>
      <c r="I1254">
        <v>1322.9415283000001</v>
      </c>
      <c r="J1254">
        <v>1318.6220702999999</v>
      </c>
      <c r="K1254">
        <v>550</v>
      </c>
      <c r="L1254">
        <v>0</v>
      </c>
      <c r="M1254">
        <v>0</v>
      </c>
      <c r="N1254">
        <v>550</v>
      </c>
    </row>
    <row r="1255" spans="1:14" x14ac:dyDescent="0.25">
      <c r="A1255">
        <v>1489.8084269999999</v>
      </c>
      <c r="B1255" s="1">
        <f>DATE(2014,5,29) + TIME(19,24,8)</f>
        <v>41788.808425925927</v>
      </c>
      <c r="C1255">
        <v>80</v>
      </c>
      <c r="D1255">
        <v>79.877967834000003</v>
      </c>
      <c r="E1255">
        <v>50</v>
      </c>
      <c r="F1255">
        <v>48.358184813999998</v>
      </c>
      <c r="G1255">
        <v>1345.0201416</v>
      </c>
      <c r="H1255">
        <v>1340.5249022999999</v>
      </c>
      <c r="I1255">
        <v>1322.9355469</v>
      </c>
      <c r="J1255">
        <v>1318.6102295000001</v>
      </c>
      <c r="K1255">
        <v>550</v>
      </c>
      <c r="L1255">
        <v>0</v>
      </c>
      <c r="M1255">
        <v>0</v>
      </c>
      <c r="N1255">
        <v>550</v>
      </c>
    </row>
    <row r="1256" spans="1:14" x14ac:dyDescent="0.25">
      <c r="A1256">
        <v>1490.925037</v>
      </c>
      <c r="B1256" s="1">
        <f>DATE(2014,5,30) + TIME(22,12,3)</f>
        <v>41789.925034722219</v>
      </c>
      <c r="C1256">
        <v>80</v>
      </c>
      <c r="D1256">
        <v>79.878295898000005</v>
      </c>
      <c r="E1256">
        <v>50</v>
      </c>
      <c r="F1256">
        <v>48.313934326000002</v>
      </c>
      <c r="G1256">
        <v>1345.0050048999999</v>
      </c>
      <c r="H1256">
        <v>1340.5153809000001</v>
      </c>
      <c r="I1256">
        <v>1322.9293213000001</v>
      </c>
      <c r="J1256">
        <v>1318.5980225000001</v>
      </c>
      <c r="K1256">
        <v>550</v>
      </c>
      <c r="L1256">
        <v>0</v>
      </c>
      <c r="M1256">
        <v>0</v>
      </c>
      <c r="N1256">
        <v>550</v>
      </c>
    </row>
    <row r="1257" spans="1:14" x14ac:dyDescent="0.25">
      <c r="A1257">
        <v>1492</v>
      </c>
      <c r="B1257" s="1">
        <f>DATE(2014,6,1) + TIME(0,0,0)</f>
        <v>41791</v>
      </c>
      <c r="C1257">
        <v>80</v>
      </c>
      <c r="D1257">
        <v>79.878540039000001</v>
      </c>
      <c r="E1257">
        <v>50</v>
      </c>
      <c r="F1257">
        <v>48.271484375</v>
      </c>
      <c r="G1257">
        <v>1344.9898682</v>
      </c>
      <c r="H1257">
        <v>1340.5059814000001</v>
      </c>
      <c r="I1257">
        <v>1322.9228516000001</v>
      </c>
      <c r="J1257">
        <v>1318.5854492000001</v>
      </c>
      <c r="K1257">
        <v>550</v>
      </c>
      <c r="L1257">
        <v>0</v>
      </c>
      <c r="M1257">
        <v>0</v>
      </c>
      <c r="N1257">
        <v>550</v>
      </c>
    </row>
    <row r="1258" spans="1:14" x14ac:dyDescent="0.25">
      <c r="A1258">
        <v>1493.1268439999999</v>
      </c>
      <c r="B1258" s="1">
        <f>DATE(2014,6,2) + TIME(3,2,39)</f>
        <v>41792.126840277779</v>
      </c>
      <c r="C1258">
        <v>80</v>
      </c>
      <c r="D1258">
        <v>79.878746032999999</v>
      </c>
      <c r="E1258">
        <v>50</v>
      </c>
      <c r="F1258">
        <v>48.228130341000004</v>
      </c>
      <c r="G1258">
        <v>1344.9753418</v>
      </c>
      <c r="H1258">
        <v>1340.4969481999999</v>
      </c>
      <c r="I1258">
        <v>1322.9163818</v>
      </c>
      <c r="J1258">
        <v>1318.5729980000001</v>
      </c>
      <c r="K1258">
        <v>550</v>
      </c>
      <c r="L1258">
        <v>0</v>
      </c>
      <c r="M1258">
        <v>0</v>
      </c>
      <c r="N1258">
        <v>550</v>
      </c>
    </row>
    <row r="1259" spans="1:14" x14ac:dyDescent="0.25">
      <c r="A1259">
        <v>1494.2830039999999</v>
      </c>
      <c r="B1259" s="1">
        <f>DATE(2014,6,3) + TIME(6,47,31)</f>
        <v>41793.282997685186</v>
      </c>
      <c r="C1259">
        <v>80</v>
      </c>
      <c r="D1259">
        <v>79.878913878999995</v>
      </c>
      <c r="E1259">
        <v>50</v>
      </c>
      <c r="F1259">
        <v>48.184574126999998</v>
      </c>
      <c r="G1259">
        <v>1344.9605713000001</v>
      </c>
      <c r="H1259">
        <v>1340.487793</v>
      </c>
      <c r="I1259">
        <v>1322.909668</v>
      </c>
      <c r="J1259">
        <v>1318.5598144999999</v>
      </c>
      <c r="K1259">
        <v>550</v>
      </c>
      <c r="L1259">
        <v>0</v>
      </c>
      <c r="M1259">
        <v>0</v>
      </c>
      <c r="N1259">
        <v>550</v>
      </c>
    </row>
    <row r="1260" spans="1:14" x14ac:dyDescent="0.25">
      <c r="A1260">
        <v>1495.4604449999999</v>
      </c>
      <c r="B1260" s="1">
        <f>DATE(2014,6,4) + TIME(11,3,2)</f>
        <v>41794.460439814815</v>
      </c>
      <c r="C1260">
        <v>80</v>
      </c>
      <c r="D1260">
        <v>79.879043578999998</v>
      </c>
      <c r="E1260">
        <v>50</v>
      </c>
      <c r="F1260">
        <v>48.141094207999998</v>
      </c>
      <c r="G1260">
        <v>1344.9455565999999</v>
      </c>
      <c r="H1260">
        <v>1340.4785156</v>
      </c>
      <c r="I1260">
        <v>1322.9027100000001</v>
      </c>
      <c r="J1260">
        <v>1318.5462646000001</v>
      </c>
      <c r="K1260">
        <v>550</v>
      </c>
      <c r="L1260">
        <v>0</v>
      </c>
      <c r="M1260">
        <v>0</v>
      </c>
      <c r="N1260">
        <v>550</v>
      </c>
    </row>
    <row r="1261" spans="1:14" x14ac:dyDescent="0.25">
      <c r="A1261">
        <v>1496.6631669999999</v>
      </c>
      <c r="B1261" s="1">
        <f>DATE(2014,6,5) + TIME(15,54,57)</f>
        <v>41795.663159722222</v>
      </c>
      <c r="C1261">
        <v>80</v>
      </c>
      <c r="D1261">
        <v>79.879142760999997</v>
      </c>
      <c r="E1261">
        <v>50</v>
      </c>
      <c r="F1261">
        <v>48.097640990999999</v>
      </c>
      <c r="G1261">
        <v>1344.9306641000001</v>
      </c>
      <c r="H1261">
        <v>1340.4693603999999</v>
      </c>
      <c r="I1261">
        <v>1322.8955077999999</v>
      </c>
      <c r="J1261">
        <v>1318.5322266000001</v>
      </c>
      <c r="K1261">
        <v>550</v>
      </c>
      <c r="L1261">
        <v>0</v>
      </c>
      <c r="M1261">
        <v>0</v>
      </c>
      <c r="N1261">
        <v>550</v>
      </c>
    </row>
    <row r="1262" spans="1:14" x14ac:dyDescent="0.25">
      <c r="A1262">
        <v>1497.8950130000001</v>
      </c>
      <c r="B1262" s="1">
        <f>DATE(2014,6,6) + TIME(21,28,49)</f>
        <v>41796.895011574074</v>
      </c>
      <c r="C1262">
        <v>80</v>
      </c>
      <c r="D1262">
        <v>79.879219054999993</v>
      </c>
      <c r="E1262">
        <v>50</v>
      </c>
      <c r="F1262">
        <v>48.054183960000003</v>
      </c>
      <c r="G1262">
        <v>1344.9156493999999</v>
      </c>
      <c r="H1262">
        <v>1340.4600829999999</v>
      </c>
      <c r="I1262">
        <v>1322.8881836</v>
      </c>
      <c r="J1262">
        <v>1318.5178223</v>
      </c>
      <c r="K1262">
        <v>550</v>
      </c>
      <c r="L1262">
        <v>0</v>
      </c>
      <c r="M1262">
        <v>0</v>
      </c>
      <c r="N1262">
        <v>550</v>
      </c>
    </row>
    <row r="1263" spans="1:14" x14ac:dyDescent="0.25">
      <c r="A1263">
        <v>1499.160181</v>
      </c>
      <c r="B1263" s="1">
        <f>DATE(2014,6,8) + TIME(3,50,39)</f>
        <v>41798.160173611112</v>
      </c>
      <c r="C1263">
        <v>80</v>
      </c>
      <c r="D1263">
        <v>79.879280089999995</v>
      </c>
      <c r="E1263">
        <v>50</v>
      </c>
      <c r="F1263">
        <v>48.010681151999997</v>
      </c>
      <c r="G1263">
        <v>1344.9006348</v>
      </c>
      <c r="H1263">
        <v>1340.4509277</v>
      </c>
      <c r="I1263">
        <v>1322.8806152</v>
      </c>
      <c r="J1263">
        <v>1318.5028076000001</v>
      </c>
      <c r="K1263">
        <v>550</v>
      </c>
      <c r="L1263">
        <v>0</v>
      </c>
      <c r="M1263">
        <v>0</v>
      </c>
      <c r="N1263">
        <v>550</v>
      </c>
    </row>
    <row r="1264" spans="1:14" x14ac:dyDescent="0.25">
      <c r="A1264">
        <v>1500.4633269999999</v>
      </c>
      <c r="B1264" s="1">
        <f>DATE(2014,6,9) + TIME(11,7,11)</f>
        <v>41799.463321759256</v>
      </c>
      <c r="C1264">
        <v>80</v>
      </c>
      <c r="D1264">
        <v>79.879318237000007</v>
      </c>
      <c r="E1264">
        <v>50</v>
      </c>
      <c r="F1264">
        <v>47.967098235999998</v>
      </c>
      <c r="G1264">
        <v>1344.8856201000001</v>
      </c>
      <c r="H1264">
        <v>1340.4416504000001</v>
      </c>
      <c r="I1264">
        <v>1322.8726807</v>
      </c>
      <c r="J1264">
        <v>1318.4874268000001</v>
      </c>
      <c r="K1264">
        <v>550</v>
      </c>
      <c r="L1264">
        <v>0</v>
      </c>
      <c r="M1264">
        <v>0</v>
      </c>
      <c r="N1264">
        <v>550</v>
      </c>
    </row>
    <row r="1265" spans="1:14" x14ac:dyDescent="0.25">
      <c r="A1265">
        <v>1501.809577</v>
      </c>
      <c r="B1265" s="1">
        <f>DATE(2014,6,10) + TIME(19,25,47)</f>
        <v>41800.809571759259</v>
      </c>
      <c r="C1265">
        <v>80</v>
      </c>
      <c r="D1265">
        <v>79.879333496000001</v>
      </c>
      <c r="E1265">
        <v>50</v>
      </c>
      <c r="F1265">
        <v>47.923397064</v>
      </c>
      <c r="G1265">
        <v>1344.8703613</v>
      </c>
      <c r="H1265">
        <v>1340.432251</v>
      </c>
      <c r="I1265">
        <v>1322.8645019999999</v>
      </c>
      <c r="J1265">
        <v>1318.4713135</v>
      </c>
      <c r="K1265">
        <v>550</v>
      </c>
      <c r="L1265">
        <v>0</v>
      </c>
      <c r="M1265">
        <v>0</v>
      </c>
      <c r="N1265">
        <v>550</v>
      </c>
    </row>
    <row r="1266" spans="1:14" x14ac:dyDescent="0.25">
      <c r="A1266">
        <v>1503.203882</v>
      </c>
      <c r="B1266" s="1">
        <f>DATE(2014,6,12) + TIME(4,53,35)</f>
        <v>41802.203877314816</v>
      </c>
      <c r="C1266">
        <v>80</v>
      </c>
      <c r="D1266">
        <v>79.879348754999995</v>
      </c>
      <c r="E1266">
        <v>50</v>
      </c>
      <c r="F1266">
        <v>47.879566193000002</v>
      </c>
      <c r="G1266">
        <v>1344.8548584</v>
      </c>
      <c r="H1266">
        <v>1340.4228516000001</v>
      </c>
      <c r="I1266">
        <v>1322.8560791</v>
      </c>
      <c r="J1266">
        <v>1318.4545897999999</v>
      </c>
      <c r="K1266">
        <v>550</v>
      </c>
      <c r="L1266">
        <v>0</v>
      </c>
      <c r="M1266">
        <v>0</v>
      </c>
      <c r="N1266">
        <v>550</v>
      </c>
    </row>
    <row r="1267" spans="1:14" x14ac:dyDescent="0.25">
      <c r="A1267">
        <v>1504.622398</v>
      </c>
      <c r="B1267" s="1">
        <f>DATE(2014,6,13) + TIME(14,56,15)</f>
        <v>41803.622395833336</v>
      </c>
      <c r="C1267">
        <v>80</v>
      </c>
      <c r="D1267">
        <v>79.879348754999995</v>
      </c>
      <c r="E1267">
        <v>50</v>
      </c>
      <c r="F1267">
        <v>47.836250305</v>
      </c>
      <c r="G1267">
        <v>1344.8392334</v>
      </c>
      <c r="H1267">
        <v>1340.4133300999999</v>
      </c>
      <c r="I1267">
        <v>1322.8472899999999</v>
      </c>
      <c r="J1267">
        <v>1318.4373779</v>
      </c>
      <c r="K1267">
        <v>550</v>
      </c>
      <c r="L1267">
        <v>0</v>
      </c>
      <c r="M1267">
        <v>0</v>
      </c>
      <c r="N1267">
        <v>550</v>
      </c>
    </row>
    <row r="1268" spans="1:14" x14ac:dyDescent="0.25">
      <c r="A1268">
        <v>1506.0694169999999</v>
      </c>
      <c r="B1268" s="1">
        <f>DATE(2014,6,15) + TIME(1,39,57)</f>
        <v>41805.069409722222</v>
      </c>
      <c r="C1268">
        <v>80</v>
      </c>
      <c r="D1268">
        <v>79.879333496000001</v>
      </c>
      <c r="E1268">
        <v>50</v>
      </c>
      <c r="F1268">
        <v>47.793487548999998</v>
      </c>
      <c r="G1268">
        <v>1344.8236084</v>
      </c>
      <c r="H1268">
        <v>1340.4038086</v>
      </c>
      <c r="I1268">
        <v>1322.8383789</v>
      </c>
      <c r="J1268">
        <v>1318.4195557</v>
      </c>
      <c r="K1268">
        <v>550</v>
      </c>
      <c r="L1268">
        <v>0</v>
      </c>
      <c r="M1268">
        <v>0</v>
      </c>
      <c r="N1268">
        <v>550</v>
      </c>
    </row>
    <row r="1269" spans="1:14" x14ac:dyDescent="0.25">
      <c r="A1269">
        <v>1507.5518340000001</v>
      </c>
      <c r="B1269" s="1">
        <f>DATE(2014,6,16) + TIME(13,14,38)</f>
        <v>41806.551828703705</v>
      </c>
      <c r="C1269">
        <v>80</v>
      </c>
      <c r="D1269">
        <v>79.879318237000007</v>
      </c>
      <c r="E1269">
        <v>50</v>
      </c>
      <c r="F1269">
        <v>47.751270294000001</v>
      </c>
      <c r="G1269">
        <v>1344.8081055</v>
      </c>
      <c r="H1269">
        <v>1340.3942870999999</v>
      </c>
      <c r="I1269">
        <v>1322.8291016000001</v>
      </c>
      <c r="J1269">
        <v>1318.4013672000001</v>
      </c>
      <c r="K1269">
        <v>550</v>
      </c>
      <c r="L1269">
        <v>0</v>
      </c>
      <c r="M1269">
        <v>0</v>
      </c>
      <c r="N1269">
        <v>550</v>
      </c>
    </row>
    <row r="1270" spans="1:14" x14ac:dyDescent="0.25">
      <c r="A1270">
        <v>1509.0744440000001</v>
      </c>
      <c r="B1270" s="1">
        <f>DATE(2014,6,18) + TIME(1,47,11)</f>
        <v>41808.074432870373</v>
      </c>
      <c r="C1270">
        <v>80</v>
      </c>
      <c r="D1270">
        <v>79.879287719999994</v>
      </c>
      <c r="E1270">
        <v>50</v>
      </c>
      <c r="F1270">
        <v>47.709636688000003</v>
      </c>
      <c r="G1270">
        <v>1344.7924805</v>
      </c>
      <c r="H1270">
        <v>1340.3847656</v>
      </c>
      <c r="I1270">
        <v>1322.8197021000001</v>
      </c>
      <c r="J1270">
        <v>1318.3825684000001</v>
      </c>
      <c r="K1270">
        <v>550</v>
      </c>
      <c r="L1270">
        <v>0</v>
      </c>
      <c r="M1270">
        <v>0</v>
      </c>
      <c r="N1270">
        <v>550</v>
      </c>
    </row>
    <row r="1271" spans="1:14" x14ac:dyDescent="0.25">
      <c r="A1271">
        <v>1510.6426469999999</v>
      </c>
      <c r="B1271" s="1">
        <f>DATE(2014,6,19) + TIME(15,25,24)</f>
        <v>41809.642638888887</v>
      </c>
      <c r="C1271">
        <v>80</v>
      </c>
      <c r="D1271">
        <v>79.879264832000004</v>
      </c>
      <c r="E1271">
        <v>50</v>
      </c>
      <c r="F1271">
        <v>47.668632506999998</v>
      </c>
      <c r="G1271">
        <v>1344.7767334</v>
      </c>
      <c r="H1271">
        <v>1340.3752440999999</v>
      </c>
      <c r="I1271">
        <v>1322.8100586</v>
      </c>
      <c r="J1271">
        <v>1318.3632812000001</v>
      </c>
      <c r="K1271">
        <v>550</v>
      </c>
      <c r="L1271">
        <v>0</v>
      </c>
      <c r="M1271">
        <v>0</v>
      </c>
      <c r="N1271">
        <v>550</v>
      </c>
    </row>
    <row r="1272" spans="1:14" x14ac:dyDescent="0.25">
      <c r="A1272">
        <v>1512.262477</v>
      </c>
      <c r="B1272" s="1">
        <f>DATE(2014,6,21) + TIME(6,17,58)</f>
        <v>41811.262476851851</v>
      </c>
      <c r="C1272">
        <v>80</v>
      </c>
      <c r="D1272">
        <v>79.879226685000006</v>
      </c>
      <c r="E1272">
        <v>50</v>
      </c>
      <c r="F1272">
        <v>47.628326416</v>
      </c>
      <c r="G1272">
        <v>1344.7609863</v>
      </c>
      <c r="H1272">
        <v>1340.3656006000001</v>
      </c>
      <c r="I1272">
        <v>1322.8000488</v>
      </c>
      <c r="J1272">
        <v>1318.3432617000001</v>
      </c>
      <c r="K1272">
        <v>550</v>
      </c>
      <c r="L1272">
        <v>0</v>
      </c>
      <c r="M1272">
        <v>0</v>
      </c>
      <c r="N1272">
        <v>550</v>
      </c>
    </row>
    <row r="1273" spans="1:14" x14ac:dyDescent="0.25">
      <c r="A1273">
        <v>1513.940709</v>
      </c>
      <c r="B1273" s="1">
        <f>DATE(2014,6,22) + TIME(22,34,37)</f>
        <v>41812.940706018519</v>
      </c>
      <c r="C1273">
        <v>80</v>
      </c>
      <c r="D1273">
        <v>79.879188537999994</v>
      </c>
      <c r="E1273">
        <v>50</v>
      </c>
      <c r="F1273">
        <v>47.588790893999999</v>
      </c>
      <c r="G1273">
        <v>1344.7449951000001</v>
      </c>
      <c r="H1273">
        <v>1340.355957</v>
      </c>
      <c r="I1273">
        <v>1322.7896728999999</v>
      </c>
      <c r="J1273">
        <v>1318.3226318</v>
      </c>
      <c r="K1273">
        <v>550</v>
      </c>
      <c r="L1273">
        <v>0</v>
      </c>
      <c r="M1273">
        <v>0</v>
      </c>
      <c r="N1273">
        <v>550</v>
      </c>
    </row>
    <row r="1274" spans="1:14" x14ac:dyDescent="0.25">
      <c r="A1274">
        <v>1515.6438929999999</v>
      </c>
      <c r="B1274" s="1">
        <f>DATE(2014,6,24) + TIME(15,27,12)</f>
        <v>41814.643888888888</v>
      </c>
      <c r="C1274">
        <v>80</v>
      </c>
      <c r="D1274">
        <v>79.879150390999996</v>
      </c>
      <c r="E1274">
        <v>50</v>
      </c>
      <c r="F1274">
        <v>47.550765990999999</v>
      </c>
      <c r="G1274">
        <v>1344.7287598</v>
      </c>
      <c r="H1274">
        <v>1340.3460693</v>
      </c>
      <c r="I1274">
        <v>1322.7791748</v>
      </c>
      <c r="J1274">
        <v>1318.3013916</v>
      </c>
      <c r="K1274">
        <v>550</v>
      </c>
      <c r="L1274">
        <v>0</v>
      </c>
      <c r="M1274">
        <v>0</v>
      </c>
      <c r="N1274">
        <v>550</v>
      </c>
    </row>
    <row r="1275" spans="1:14" x14ac:dyDescent="0.25">
      <c r="A1275">
        <v>1517.3729980000001</v>
      </c>
      <c r="B1275" s="1">
        <f>DATE(2014,6,26) + TIME(8,57,7)</f>
        <v>41816.372997685183</v>
      </c>
      <c r="C1275">
        <v>80</v>
      </c>
      <c r="D1275">
        <v>79.879112243999998</v>
      </c>
      <c r="E1275">
        <v>50</v>
      </c>
      <c r="F1275">
        <v>47.514453887999998</v>
      </c>
      <c r="G1275">
        <v>1344.7125243999999</v>
      </c>
      <c r="H1275">
        <v>1340.3363036999999</v>
      </c>
      <c r="I1275">
        <v>1322.7684326000001</v>
      </c>
      <c r="J1275">
        <v>1318.2796631000001</v>
      </c>
      <c r="K1275">
        <v>550</v>
      </c>
      <c r="L1275">
        <v>0</v>
      </c>
      <c r="M1275">
        <v>0</v>
      </c>
      <c r="N1275">
        <v>550</v>
      </c>
    </row>
    <row r="1276" spans="1:14" x14ac:dyDescent="0.25">
      <c r="A1276">
        <v>1519.13418</v>
      </c>
      <c r="B1276" s="1">
        <f>DATE(2014,6,28) + TIME(3,13,13)</f>
        <v>41818.13417824074</v>
      </c>
      <c r="C1276">
        <v>80</v>
      </c>
      <c r="D1276">
        <v>79.879074097</v>
      </c>
      <c r="E1276">
        <v>50</v>
      </c>
      <c r="F1276">
        <v>47.479980468999997</v>
      </c>
      <c r="G1276">
        <v>1344.6965332</v>
      </c>
      <c r="H1276">
        <v>1340.3265381000001</v>
      </c>
      <c r="I1276">
        <v>1322.7575684000001</v>
      </c>
      <c r="J1276">
        <v>1318.2576904</v>
      </c>
      <c r="K1276">
        <v>550</v>
      </c>
      <c r="L1276">
        <v>0</v>
      </c>
      <c r="M1276">
        <v>0</v>
      </c>
      <c r="N1276">
        <v>550</v>
      </c>
    </row>
    <row r="1277" spans="1:14" x14ac:dyDescent="0.25">
      <c r="A1277">
        <v>1520.9338560000001</v>
      </c>
      <c r="B1277" s="1">
        <f>DATE(2014,6,29) + TIME(22,24,45)</f>
        <v>41819.933854166666</v>
      </c>
      <c r="C1277">
        <v>80</v>
      </c>
      <c r="D1277">
        <v>79.879028320000003</v>
      </c>
      <c r="E1277">
        <v>50</v>
      </c>
      <c r="F1277">
        <v>47.447490692000002</v>
      </c>
      <c r="G1277">
        <v>1344.6805420000001</v>
      </c>
      <c r="H1277">
        <v>1340.3168945</v>
      </c>
      <c r="I1277">
        <v>1322.746582</v>
      </c>
      <c r="J1277">
        <v>1318.2353516000001</v>
      </c>
      <c r="K1277">
        <v>550</v>
      </c>
      <c r="L1277">
        <v>0</v>
      </c>
      <c r="M1277">
        <v>0</v>
      </c>
      <c r="N1277">
        <v>550</v>
      </c>
    </row>
    <row r="1278" spans="1:14" x14ac:dyDescent="0.25">
      <c r="A1278">
        <v>1522</v>
      </c>
      <c r="B1278" s="1">
        <f>DATE(2014,7,1) + TIME(0,0,0)</f>
        <v>41821</v>
      </c>
      <c r="C1278">
        <v>80</v>
      </c>
      <c r="D1278">
        <v>79.878982543999996</v>
      </c>
      <c r="E1278">
        <v>50</v>
      </c>
      <c r="F1278">
        <v>47.427070618000002</v>
      </c>
      <c r="G1278">
        <v>1344.6644286999999</v>
      </c>
      <c r="H1278">
        <v>1340.3071289</v>
      </c>
      <c r="I1278">
        <v>1322.7368164</v>
      </c>
      <c r="J1278">
        <v>1318.2152100000001</v>
      </c>
      <c r="K1278">
        <v>550</v>
      </c>
      <c r="L1278">
        <v>0</v>
      </c>
      <c r="M1278">
        <v>0</v>
      </c>
      <c r="N1278">
        <v>550</v>
      </c>
    </row>
    <row r="1279" spans="1:14" x14ac:dyDescent="0.25">
      <c r="A1279">
        <v>1523.845047</v>
      </c>
      <c r="B1279" s="1">
        <f>DATE(2014,7,2) + TIME(20,16,52)</f>
        <v>41822.845046296294</v>
      </c>
      <c r="C1279">
        <v>80</v>
      </c>
      <c r="D1279">
        <v>79.878952025999993</v>
      </c>
      <c r="E1279">
        <v>50</v>
      </c>
      <c r="F1279">
        <v>47.399314879999999</v>
      </c>
      <c r="G1279">
        <v>1344.6551514</v>
      </c>
      <c r="H1279">
        <v>1340.3013916</v>
      </c>
      <c r="I1279">
        <v>1322.7283935999999</v>
      </c>
      <c r="J1279">
        <v>1318.1981201000001</v>
      </c>
      <c r="K1279">
        <v>550</v>
      </c>
      <c r="L1279">
        <v>0</v>
      </c>
      <c r="M1279">
        <v>0</v>
      </c>
      <c r="N1279">
        <v>550</v>
      </c>
    </row>
    <row r="1280" spans="1:14" x14ac:dyDescent="0.25">
      <c r="A1280">
        <v>1525.777681</v>
      </c>
      <c r="B1280" s="1">
        <f>DATE(2014,7,4) + TIME(18,39,51)</f>
        <v>41824.777673611112</v>
      </c>
      <c r="C1280">
        <v>80</v>
      </c>
      <c r="D1280">
        <v>79.878913878999995</v>
      </c>
      <c r="E1280">
        <v>50</v>
      </c>
      <c r="F1280">
        <v>47.373416900999999</v>
      </c>
      <c r="G1280">
        <v>1344.6392822</v>
      </c>
      <c r="H1280">
        <v>1340.2917480000001</v>
      </c>
      <c r="I1280">
        <v>1322.7172852000001</v>
      </c>
      <c r="J1280">
        <v>1318.1751709</v>
      </c>
      <c r="K1280">
        <v>550</v>
      </c>
      <c r="L1280">
        <v>0</v>
      </c>
      <c r="M1280">
        <v>0</v>
      </c>
      <c r="N1280">
        <v>550</v>
      </c>
    </row>
    <row r="1281" spans="1:14" x14ac:dyDescent="0.25">
      <c r="A1281">
        <v>1527.7760189999999</v>
      </c>
      <c r="B1281" s="1">
        <f>DATE(2014,7,6) + TIME(18,37,28)</f>
        <v>41826.776018518518</v>
      </c>
      <c r="C1281">
        <v>80</v>
      </c>
      <c r="D1281">
        <v>79.878883361999996</v>
      </c>
      <c r="E1281">
        <v>50</v>
      </c>
      <c r="F1281">
        <v>47.350036621000001</v>
      </c>
      <c r="G1281">
        <v>1344.6229248</v>
      </c>
      <c r="H1281">
        <v>1340.2818603999999</v>
      </c>
      <c r="I1281">
        <v>1322.7059326000001</v>
      </c>
      <c r="J1281">
        <v>1318.1513672000001</v>
      </c>
      <c r="K1281">
        <v>550</v>
      </c>
      <c r="L1281">
        <v>0</v>
      </c>
      <c r="M1281">
        <v>0</v>
      </c>
      <c r="N1281">
        <v>550</v>
      </c>
    </row>
    <row r="1282" spans="1:14" x14ac:dyDescent="0.25">
      <c r="A1282">
        <v>1529.8028159999999</v>
      </c>
      <c r="B1282" s="1">
        <f>DATE(2014,7,8) + TIME(19,16,3)</f>
        <v>41828.802812499998</v>
      </c>
      <c r="C1282">
        <v>80</v>
      </c>
      <c r="D1282">
        <v>79.878845214999998</v>
      </c>
      <c r="E1282">
        <v>50</v>
      </c>
      <c r="F1282">
        <v>47.329891205000003</v>
      </c>
      <c r="G1282">
        <v>1344.6064452999999</v>
      </c>
      <c r="H1282">
        <v>1340.2717285000001</v>
      </c>
      <c r="I1282">
        <v>1322.6943358999999</v>
      </c>
      <c r="J1282">
        <v>1318.1270752</v>
      </c>
      <c r="K1282">
        <v>550</v>
      </c>
      <c r="L1282">
        <v>0</v>
      </c>
      <c r="M1282">
        <v>0</v>
      </c>
      <c r="N1282">
        <v>550</v>
      </c>
    </row>
    <row r="1283" spans="1:14" x14ac:dyDescent="0.25">
      <c r="A1283">
        <v>1531.863503</v>
      </c>
      <c r="B1283" s="1">
        <f>DATE(2014,7,10) + TIME(20,43,26)</f>
        <v>41830.863495370373</v>
      </c>
      <c r="C1283">
        <v>80</v>
      </c>
      <c r="D1283">
        <v>79.878807068</v>
      </c>
      <c r="E1283">
        <v>50</v>
      </c>
      <c r="F1283">
        <v>47.313346863</v>
      </c>
      <c r="G1283">
        <v>1344.5899658000001</v>
      </c>
      <c r="H1283">
        <v>1340.2617187999999</v>
      </c>
      <c r="I1283">
        <v>1322.6826172000001</v>
      </c>
      <c r="J1283">
        <v>1318.1024170000001</v>
      </c>
      <c r="K1283">
        <v>550</v>
      </c>
      <c r="L1283">
        <v>0</v>
      </c>
      <c r="M1283">
        <v>0</v>
      </c>
      <c r="N1283">
        <v>550</v>
      </c>
    </row>
    <row r="1284" spans="1:14" x14ac:dyDescent="0.25">
      <c r="A1284">
        <v>1533.964972</v>
      </c>
      <c r="B1284" s="1">
        <f>DATE(2014,7,12) + TIME(23,9,33)</f>
        <v>41832.964965277781</v>
      </c>
      <c r="C1284">
        <v>80</v>
      </c>
      <c r="D1284">
        <v>79.878776549999998</v>
      </c>
      <c r="E1284">
        <v>50</v>
      </c>
      <c r="F1284">
        <v>47.300773620999998</v>
      </c>
      <c r="G1284">
        <v>1344.5736084</v>
      </c>
      <c r="H1284">
        <v>1340.2517089999999</v>
      </c>
      <c r="I1284">
        <v>1322.6708983999999</v>
      </c>
      <c r="J1284">
        <v>1318.0777588000001</v>
      </c>
      <c r="K1284">
        <v>550</v>
      </c>
      <c r="L1284">
        <v>0</v>
      </c>
      <c r="M1284">
        <v>0</v>
      </c>
      <c r="N1284">
        <v>550</v>
      </c>
    </row>
    <row r="1285" spans="1:14" x14ac:dyDescent="0.25">
      <c r="A1285">
        <v>1536.1146020000001</v>
      </c>
      <c r="B1285" s="1">
        <f>DATE(2014,7,15) + TIME(2,45,1)</f>
        <v>41835.114594907405</v>
      </c>
      <c r="C1285">
        <v>80</v>
      </c>
      <c r="D1285">
        <v>79.878746032999999</v>
      </c>
      <c r="E1285">
        <v>50</v>
      </c>
      <c r="F1285">
        <v>47.292572020999998</v>
      </c>
      <c r="G1285">
        <v>1344.5571289</v>
      </c>
      <c r="H1285">
        <v>1340.2416992000001</v>
      </c>
      <c r="I1285">
        <v>1322.6593018000001</v>
      </c>
      <c r="J1285">
        <v>1318.0528564000001</v>
      </c>
      <c r="K1285">
        <v>550</v>
      </c>
      <c r="L1285">
        <v>0</v>
      </c>
      <c r="M1285">
        <v>0</v>
      </c>
      <c r="N1285">
        <v>550</v>
      </c>
    </row>
    <row r="1286" spans="1:14" x14ac:dyDescent="0.25">
      <c r="A1286">
        <v>1538.3203759999999</v>
      </c>
      <c r="B1286" s="1">
        <f>DATE(2014,7,17) + TIME(7,41,20)</f>
        <v>41837.320370370369</v>
      </c>
      <c r="C1286">
        <v>80</v>
      </c>
      <c r="D1286">
        <v>79.878715514999996</v>
      </c>
      <c r="E1286">
        <v>50</v>
      </c>
      <c r="F1286">
        <v>47.289196013999998</v>
      </c>
      <c r="G1286">
        <v>1344.5406493999999</v>
      </c>
      <c r="H1286">
        <v>1340.2315673999999</v>
      </c>
      <c r="I1286">
        <v>1322.6475829999999</v>
      </c>
      <c r="J1286">
        <v>1318.0277100000001</v>
      </c>
      <c r="K1286">
        <v>550</v>
      </c>
      <c r="L1286">
        <v>0</v>
      </c>
      <c r="M1286">
        <v>0</v>
      </c>
      <c r="N1286">
        <v>550</v>
      </c>
    </row>
    <row r="1287" spans="1:14" x14ac:dyDescent="0.25">
      <c r="A1287">
        <v>1540.591105</v>
      </c>
      <c r="B1287" s="1">
        <f>DATE(2014,7,19) + TIME(14,11,11)</f>
        <v>41839.591099537036</v>
      </c>
      <c r="C1287">
        <v>80</v>
      </c>
      <c r="D1287">
        <v>79.878684997999997</v>
      </c>
      <c r="E1287">
        <v>50</v>
      </c>
      <c r="F1287">
        <v>47.291198729999998</v>
      </c>
      <c r="G1287">
        <v>1344.5240478999999</v>
      </c>
      <c r="H1287">
        <v>1340.2214355000001</v>
      </c>
      <c r="I1287">
        <v>1322.6359863</v>
      </c>
      <c r="J1287">
        <v>1318.0024414</v>
      </c>
      <c r="K1287">
        <v>550</v>
      </c>
      <c r="L1287">
        <v>0</v>
      </c>
      <c r="M1287">
        <v>0</v>
      </c>
      <c r="N1287">
        <v>550</v>
      </c>
    </row>
    <row r="1288" spans="1:14" x14ac:dyDescent="0.25">
      <c r="A1288">
        <v>1542.936657</v>
      </c>
      <c r="B1288" s="1">
        <f>DATE(2014,7,21) + TIME(22,28,47)</f>
        <v>41841.936655092592</v>
      </c>
      <c r="C1288">
        <v>80</v>
      </c>
      <c r="D1288">
        <v>79.878654479999994</v>
      </c>
      <c r="E1288">
        <v>50</v>
      </c>
      <c r="F1288">
        <v>47.299232482999997</v>
      </c>
      <c r="G1288">
        <v>1344.5073242000001</v>
      </c>
      <c r="H1288">
        <v>1340.2110596</v>
      </c>
      <c r="I1288">
        <v>1322.6242675999999</v>
      </c>
      <c r="J1288">
        <v>1317.9770507999999</v>
      </c>
      <c r="K1288">
        <v>550</v>
      </c>
      <c r="L1288">
        <v>0</v>
      </c>
      <c r="M1288">
        <v>0</v>
      </c>
      <c r="N1288">
        <v>550</v>
      </c>
    </row>
    <row r="1289" spans="1:14" x14ac:dyDescent="0.25">
      <c r="A1289">
        <v>1545.359387</v>
      </c>
      <c r="B1289" s="1">
        <f>DATE(2014,7,24) + TIME(8,37,31)</f>
        <v>41844.359386574077</v>
      </c>
      <c r="C1289">
        <v>80</v>
      </c>
      <c r="D1289">
        <v>79.878631592000005</v>
      </c>
      <c r="E1289">
        <v>50</v>
      </c>
      <c r="F1289">
        <v>47.314064025999997</v>
      </c>
      <c r="G1289">
        <v>1344.4903564000001</v>
      </c>
      <c r="H1289">
        <v>1340.2005615</v>
      </c>
      <c r="I1289">
        <v>1322.6126709</v>
      </c>
      <c r="J1289">
        <v>1317.9514160000001</v>
      </c>
      <c r="K1289">
        <v>550</v>
      </c>
      <c r="L1289">
        <v>0</v>
      </c>
      <c r="M1289">
        <v>0</v>
      </c>
      <c r="N1289">
        <v>550</v>
      </c>
    </row>
    <row r="1290" spans="1:14" x14ac:dyDescent="0.25">
      <c r="A1290">
        <v>1547.8079299999999</v>
      </c>
      <c r="B1290" s="1">
        <f>DATE(2014,7,26) + TIME(19,23,25)</f>
        <v>41846.807928240742</v>
      </c>
      <c r="C1290">
        <v>80</v>
      </c>
      <c r="D1290">
        <v>79.878608704000001</v>
      </c>
      <c r="E1290">
        <v>50</v>
      </c>
      <c r="F1290">
        <v>47.336257934999999</v>
      </c>
      <c r="G1290">
        <v>1344.4731445</v>
      </c>
      <c r="H1290">
        <v>1340.1899414</v>
      </c>
      <c r="I1290">
        <v>1322.6013184000001</v>
      </c>
      <c r="J1290">
        <v>1317.9259033000001</v>
      </c>
      <c r="K1290">
        <v>550</v>
      </c>
      <c r="L1290">
        <v>0</v>
      </c>
      <c r="M1290">
        <v>0</v>
      </c>
      <c r="N1290">
        <v>550</v>
      </c>
    </row>
    <row r="1291" spans="1:14" x14ac:dyDescent="0.25">
      <c r="A1291">
        <v>1550.2817520000001</v>
      </c>
      <c r="B1291" s="1">
        <f>DATE(2014,7,29) + TIME(6,45,43)</f>
        <v>41849.281747685185</v>
      </c>
      <c r="C1291">
        <v>80</v>
      </c>
      <c r="D1291">
        <v>79.878593445000007</v>
      </c>
      <c r="E1291">
        <v>50</v>
      </c>
      <c r="F1291">
        <v>47.366298676</v>
      </c>
      <c r="G1291">
        <v>1344.4560547000001</v>
      </c>
      <c r="H1291">
        <v>1340.1793213000001</v>
      </c>
      <c r="I1291">
        <v>1322.5902100000001</v>
      </c>
      <c r="J1291">
        <v>1317.9008789</v>
      </c>
      <c r="K1291">
        <v>550</v>
      </c>
      <c r="L1291">
        <v>0</v>
      </c>
      <c r="M1291">
        <v>0</v>
      </c>
      <c r="N1291">
        <v>550</v>
      </c>
    </row>
    <row r="1292" spans="1:14" x14ac:dyDescent="0.25">
      <c r="A1292">
        <v>1552.795605</v>
      </c>
      <c r="B1292" s="1">
        <f>DATE(2014,7,31) + TIME(19,5,40)</f>
        <v>41851.795601851853</v>
      </c>
      <c r="C1292">
        <v>80</v>
      </c>
      <c r="D1292">
        <v>79.878578185999999</v>
      </c>
      <c r="E1292">
        <v>50</v>
      </c>
      <c r="F1292">
        <v>47.404811858999999</v>
      </c>
      <c r="G1292">
        <v>1344.4390868999999</v>
      </c>
      <c r="H1292">
        <v>1340.1688231999999</v>
      </c>
      <c r="I1292">
        <v>1322.5794678</v>
      </c>
      <c r="J1292">
        <v>1317.8763428</v>
      </c>
      <c r="K1292">
        <v>550</v>
      </c>
      <c r="L1292">
        <v>0</v>
      </c>
      <c r="M1292">
        <v>0</v>
      </c>
      <c r="N1292">
        <v>550</v>
      </c>
    </row>
    <row r="1293" spans="1:14" x14ac:dyDescent="0.25">
      <c r="A1293">
        <v>1553</v>
      </c>
      <c r="B1293" s="1">
        <f>DATE(2014,8,1) + TIME(0,0,0)</f>
        <v>41852</v>
      </c>
      <c r="C1293">
        <v>80</v>
      </c>
      <c r="D1293">
        <v>79.878555297999995</v>
      </c>
      <c r="E1293">
        <v>50</v>
      </c>
      <c r="F1293">
        <v>47.411022185999997</v>
      </c>
      <c r="G1293">
        <v>1344.4222411999999</v>
      </c>
      <c r="H1293">
        <v>1340.1585693</v>
      </c>
      <c r="I1293">
        <v>1322.5765381000001</v>
      </c>
      <c r="J1293">
        <v>1317.8614502</v>
      </c>
      <c r="K1293">
        <v>550</v>
      </c>
      <c r="L1293">
        <v>0</v>
      </c>
      <c r="M1293">
        <v>0</v>
      </c>
      <c r="N1293">
        <v>550</v>
      </c>
    </row>
    <row r="1294" spans="1:14" x14ac:dyDescent="0.25">
      <c r="A1294">
        <v>1555.562124</v>
      </c>
      <c r="B1294" s="1">
        <f>DATE(2014,8,3) + TIME(13,29,27)</f>
        <v>41854.562118055554</v>
      </c>
      <c r="C1294">
        <v>80</v>
      </c>
      <c r="D1294">
        <v>79.878555297999995</v>
      </c>
      <c r="E1294">
        <v>50</v>
      </c>
      <c r="F1294">
        <v>47.458465576000002</v>
      </c>
      <c r="G1294">
        <v>1344.4207764</v>
      </c>
      <c r="H1294">
        <v>1340.1573486</v>
      </c>
      <c r="I1294">
        <v>1322.5678711</v>
      </c>
      <c r="J1294">
        <v>1317.8499756000001</v>
      </c>
      <c r="K1294">
        <v>550</v>
      </c>
      <c r="L1294">
        <v>0</v>
      </c>
      <c r="M1294">
        <v>0</v>
      </c>
      <c r="N1294">
        <v>550</v>
      </c>
    </row>
    <row r="1295" spans="1:14" x14ac:dyDescent="0.25">
      <c r="A1295">
        <v>1558.1872390000001</v>
      </c>
      <c r="B1295" s="1">
        <f>DATE(2014,8,6) + TIME(4,29,37)</f>
        <v>41857.1872337963</v>
      </c>
      <c r="C1295">
        <v>80</v>
      </c>
      <c r="D1295">
        <v>79.878547667999996</v>
      </c>
      <c r="E1295">
        <v>50</v>
      </c>
      <c r="F1295">
        <v>47.516510009999998</v>
      </c>
      <c r="G1295">
        <v>1344.4038086</v>
      </c>
      <c r="H1295">
        <v>1340.1467285000001</v>
      </c>
      <c r="I1295">
        <v>1322.5581055</v>
      </c>
      <c r="J1295">
        <v>1317.8269043</v>
      </c>
      <c r="K1295">
        <v>550</v>
      </c>
      <c r="L1295">
        <v>0</v>
      </c>
      <c r="M1295">
        <v>0</v>
      </c>
      <c r="N1295">
        <v>550</v>
      </c>
    </row>
    <row r="1296" spans="1:14" x14ac:dyDescent="0.25">
      <c r="A1296">
        <v>1560.8809699999999</v>
      </c>
      <c r="B1296" s="1">
        <f>DATE(2014,8,8) + TIME(21,8,35)</f>
        <v>41859.880960648145</v>
      </c>
      <c r="C1296">
        <v>80</v>
      </c>
      <c r="D1296">
        <v>79.878540039000001</v>
      </c>
      <c r="E1296">
        <v>50</v>
      </c>
      <c r="F1296">
        <v>47.586021422999998</v>
      </c>
      <c r="G1296">
        <v>1344.3867187999999</v>
      </c>
      <c r="H1296">
        <v>1340.1361084</v>
      </c>
      <c r="I1296">
        <v>1322.5487060999999</v>
      </c>
      <c r="J1296">
        <v>1317.8044434000001</v>
      </c>
      <c r="K1296">
        <v>550</v>
      </c>
      <c r="L1296">
        <v>0</v>
      </c>
      <c r="M1296">
        <v>0</v>
      </c>
      <c r="N1296">
        <v>550</v>
      </c>
    </row>
    <row r="1297" spans="1:14" x14ac:dyDescent="0.25">
      <c r="A1297">
        <v>1563.654722</v>
      </c>
      <c r="B1297" s="1">
        <f>DATE(2014,8,11) + TIME(15,42,47)</f>
        <v>41862.654710648145</v>
      </c>
      <c r="C1297">
        <v>80</v>
      </c>
      <c r="D1297">
        <v>79.878540039000001</v>
      </c>
      <c r="E1297">
        <v>50</v>
      </c>
      <c r="F1297">
        <v>47.668109893999997</v>
      </c>
      <c r="G1297">
        <v>1344.3695068</v>
      </c>
      <c r="H1297">
        <v>1340.1252440999999</v>
      </c>
      <c r="I1297">
        <v>1322.5397949000001</v>
      </c>
      <c r="J1297">
        <v>1317.7827147999999</v>
      </c>
      <c r="K1297">
        <v>550</v>
      </c>
      <c r="L1297">
        <v>0</v>
      </c>
      <c r="M1297">
        <v>0</v>
      </c>
      <c r="N1297">
        <v>550</v>
      </c>
    </row>
    <row r="1298" spans="1:14" x14ac:dyDescent="0.25">
      <c r="A1298">
        <v>1566.521197</v>
      </c>
      <c r="B1298" s="1">
        <f>DATE(2014,8,14) + TIME(12,30,31)</f>
        <v>41865.521192129629</v>
      </c>
      <c r="C1298">
        <v>80</v>
      </c>
      <c r="D1298">
        <v>79.878540039000001</v>
      </c>
      <c r="E1298">
        <v>50</v>
      </c>
      <c r="F1298">
        <v>47.764144897000001</v>
      </c>
      <c r="G1298">
        <v>1344.3521728999999</v>
      </c>
      <c r="H1298">
        <v>1340.1142577999999</v>
      </c>
      <c r="I1298">
        <v>1322.53125</v>
      </c>
      <c r="J1298">
        <v>1317.7618408000001</v>
      </c>
      <c r="K1298">
        <v>550</v>
      </c>
      <c r="L1298">
        <v>0</v>
      </c>
      <c r="M1298">
        <v>0</v>
      </c>
      <c r="N1298">
        <v>550</v>
      </c>
    </row>
    <row r="1299" spans="1:14" x14ac:dyDescent="0.25">
      <c r="A1299">
        <v>1569.4946890000001</v>
      </c>
      <c r="B1299" s="1">
        <f>DATE(2014,8,17) + TIME(11,52,21)</f>
        <v>41868.494687500002</v>
      </c>
      <c r="C1299">
        <v>80</v>
      </c>
      <c r="D1299">
        <v>79.878540039000001</v>
      </c>
      <c r="E1299">
        <v>50</v>
      </c>
      <c r="F1299">
        <v>47.875778197999999</v>
      </c>
      <c r="G1299">
        <v>1344.3344727000001</v>
      </c>
      <c r="H1299">
        <v>1340.1030272999999</v>
      </c>
      <c r="I1299">
        <v>1322.5234375</v>
      </c>
      <c r="J1299">
        <v>1317.7418213000001</v>
      </c>
      <c r="K1299">
        <v>550</v>
      </c>
      <c r="L1299">
        <v>0</v>
      </c>
      <c r="M1299">
        <v>0</v>
      </c>
      <c r="N1299">
        <v>550</v>
      </c>
    </row>
    <row r="1300" spans="1:14" x14ac:dyDescent="0.25">
      <c r="A1300">
        <v>1572.5508789999999</v>
      </c>
      <c r="B1300" s="1">
        <f>DATE(2014,8,20) + TIME(13,13,15)</f>
        <v>41871.550868055558</v>
      </c>
      <c r="C1300">
        <v>80</v>
      </c>
      <c r="D1300">
        <v>79.878547667999996</v>
      </c>
      <c r="E1300">
        <v>50</v>
      </c>
      <c r="F1300">
        <v>48.004085541000002</v>
      </c>
      <c r="G1300">
        <v>1344.3164062000001</v>
      </c>
      <c r="H1300">
        <v>1340.0915527</v>
      </c>
      <c r="I1300">
        <v>1322.5162353999999</v>
      </c>
      <c r="J1300">
        <v>1317.7229004000001</v>
      </c>
      <c r="K1300">
        <v>550</v>
      </c>
      <c r="L1300">
        <v>0</v>
      </c>
      <c r="M1300">
        <v>0</v>
      </c>
      <c r="N1300">
        <v>550</v>
      </c>
    </row>
    <row r="1301" spans="1:14" x14ac:dyDescent="0.25">
      <c r="A1301">
        <v>1575.6947110000001</v>
      </c>
      <c r="B1301" s="1">
        <f>DATE(2014,8,23) + TIME(16,40,23)</f>
        <v>41874.694710648146</v>
      </c>
      <c r="C1301">
        <v>80</v>
      </c>
      <c r="D1301">
        <v>79.878555297999995</v>
      </c>
      <c r="E1301">
        <v>50</v>
      </c>
      <c r="F1301">
        <v>48.150291443</v>
      </c>
      <c r="G1301">
        <v>1344.2980957</v>
      </c>
      <c r="H1301">
        <v>1340.0798339999999</v>
      </c>
      <c r="I1301">
        <v>1322.5097656</v>
      </c>
      <c r="J1301">
        <v>1317.7054443</v>
      </c>
      <c r="K1301">
        <v>550</v>
      </c>
      <c r="L1301">
        <v>0</v>
      </c>
      <c r="M1301">
        <v>0</v>
      </c>
      <c r="N1301">
        <v>550</v>
      </c>
    </row>
    <row r="1302" spans="1:14" x14ac:dyDescent="0.25">
      <c r="A1302">
        <v>1578.8496479999999</v>
      </c>
      <c r="B1302" s="1">
        <f>DATE(2014,8,26) + TIME(20,23,29)</f>
        <v>41877.849641203706</v>
      </c>
      <c r="C1302">
        <v>80</v>
      </c>
      <c r="D1302">
        <v>79.878570557000003</v>
      </c>
      <c r="E1302">
        <v>50</v>
      </c>
      <c r="F1302">
        <v>48.313549041999998</v>
      </c>
      <c r="G1302">
        <v>1344.2796631000001</v>
      </c>
      <c r="H1302">
        <v>1340.0681152</v>
      </c>
      <c r="I1302">
        <v>1322.5042725000001</v>
      </c>
      <c r="J1302">
        <v>1317.6898193</v>
      </c>
      <c r="K1302">
        <v>550</v>
      </c>
      <c r="L1302">
        <v>0</v>
      </c>
      <c r="M1302">
        <v>0</v>
      </c>
      <c r="N1302">
        <v>550</v>
      </c>
    </row>
    <row r="1303" spans="1:14" x14ac:dyDescent="0.25">
      <c r="A1303">
        <v>1582.040712</v>
      </c>
      <c r="B1303" s="1">
        <f>DATE(2014,8,30) + TIME(0,58,37)</f>
        <v>41881.040706018517</v>
      </c>
      <c r="C1303">
        <v>80</v>
      </c>
      <c r="D1303">
        <v>79.878578185999999</v>
      </c>
      <c r="E1303">
        <v>50</v>
      </c>
      <c r="F1303">
        <v>48.494003296000002</v>
      </c>
      <c r="G1303">
        <v>1344.2615966999999</v>
      </c>
      <c r="H1303">
        <v>1340.0563964999999</v>
      </c>
      <c r="I1303">
        <v>1322.4998779</v>
      </c>
      <c r="J1303">
        <v>1317.6763916</v>
      </c>
      <c r="K1303">
        <v>550</v>
      </c>
      <c r="L1303">
        <v>0</v>
      </c>
      <c r="M1303">
        <v>0</v>
      </c>
      <c r="N1303">
        <v>550</v>
      </c>
    </row>
    <row r="1304" spans="1:14" x14ac:dyDescent="0.25">
      <c r="A1304">
        <v>1584</v>
      </c>
      <c r="B1304" s="1">
        <f>DATE(2014,9,1) + TIME(0,0,0)</f>
        <v>41883</v>
      </c>
      <c r="C1304">
        <v>80</v>
      </c>
      <c r="D1304">
        <v>79.878555297999995</v>
      </c>
      <c r="E1304">
        <v>50</v>
      </c>
      <c r="F1304">
        <v>48.642585754000002</v>
      </c>
      <c r="G1304">
        <v>1344.2434082</v>
      </c>
      <c r="H1304">
        <v>1340.0446777</v>
      </c>
      <c r="I1304">
        <v>1322.5</v>
      </c>
      <c r="J1304">
        <v>1317.6671143000001</v>
      </c>
      <c r="K1304">
        <v>550</v>
      </c>
      <c r="L1304">
        <v>0</v>
      </c>
      <c r="M1304">
        <v>0</v>
      </c>
      <c r="N1304">
        <v>550</v>
      </c>
    </row>
    <row r="1305" spans="1:14" x14ac:dyDescent="0.25">
      <c r="A1305">
        <v>1587.240628</v>
      </c>
      <c r="B1305" s="1">
        <f>DATE(2014,9,4) + TIME(5,46,30)</f>
        <v>41886.240624999999</v>
      </c>
      <c r="C1305">
        <v>80</v>
      </c>
      <c r="D1305">
        <v>79.878593445000007</v>
      </c>
      <c r="E1305">
        <v>50</v>
      </c>
      <c r="F1305">
        <v>48.83656311</v>
      </c>
      <c r="G1305">
        <v>1344.2325439000001</v>
      </c>
      <c r="H1305">
        <v>1340.0375977000001</v>
      </c>
      <c r="I1305">
        <v>1322.4940185999999</v>
      </c>
      <c r="J1305">
        <v>1317.6591797000001</v>
      </c>
      <c r="K1305">
        <v>550</v>
      </c>
      <c r="L1305">
        <v>0</v>
      </c>
      <c r="M1305">
        <v>0</v>
      </c>
      <c r="N1305">
        <v>550</v>
      </c>
    </row>
    <row r="1306" spans="1:14" x14ac:dyDescent="0.25">
      <c r="A1306">
        <v>1590.5875619999999</v>
      </c>
      <c r="B1306" s="1">
        <f>DATE(2014,9,7) + TIME(14,6,5)</f>
        <v>41889.587557870371</v>
      </c>
      <c r="C1306">
        <v>80</v>
      </c>
      <c r="D1306">
        <v>79.878623962000006</v>
      </c>
      <c r="E1306">
        <v>50</v>
      </c>
      <c r="F1306">
        <v>49.056690216</v>
      </c>
      <c r="G1306">
        <v>1344.2147216999999</v>
      </c>
      <c r="H1306">
        <v>1340.026001</v>
      </c>
      <c r="I1306">
        <v>1322.4927978999999</v>
      </c>
      <c r="J1306">
        <v>1317.6517334</v>
      </c>
      <c r="K1306">
        <v>550</v>
      </c>
      <c r="L1306">
        <v>0</v>
      </c>
      <c r="M1306">
        <v>0</v>
      </c>
      <c r="N1306">
        <v>550</v>
      </c>
    </row>
    <row r="1307" spans="1:14" x14ac:dyDescent="0.25">
      <c r="A1307">
        <v>1594.017423</v>
      </c>
      <c r="B1307" s="1">
        <f>DATE(2014,9,11) + TIME(0,25,5)</f>
        <v>41893.017418981479</v>
      </c>
      <c r="C1307">
        <v>80</v>
      </c>
      <c r="D1307">
        <v>79.878654479999994</v>
      </c>
      <c r="E1307">
        <v>50</v>
      </c>
      <c r="F1307">
        <v>49.300502776999998</v>
      </c>
      <c r="G1307">
        <v>1344.1966553</v>
      </c>
      <c r="H1307">
        <v>1340.0141602000001</v>
      </c>
      <c r="I1307">
        <v>1322.4925536999999</v>
      </c>
      <c r="J1307">
        <v>1317.6466064000001</v>
      </c>
      <c r="K1307">
        <v>550</v>
      </c>
      <c r="L1307">
        <v>0</v>
      </c>
      <c r="M1307">
        <v>0</v>
      </c>
      <c r="N1307">
        <v>550</v>
      </c>
    </row>
    <row r="1308" spans="1:14" x14ac:dyDescent="0.25">
      <c r="A1308">
        <v>1597.5464360000001</v>
      </c>
      <c r="B1308" s="1">
        <f>DATE(2014,9,14) + TIME(13,6,52)</f>
        <v>41896.546435185184</v>
      </c>
      <c r="C1308">
        <v>80</v>
      </c>
      <c r="D1308">
        <v>79.878692627000007</v>
      </c>
      <c r="E1308">
        <v>50</v>
      </c>
      <c r="F1308">
        <v>49.567134856999999</v>
      </c>
      <c r="G1308">
        <v>1344.1783447</v>
      </c>
      <c r="H1308">
        <v>1340.0023193</v>
      </c>
      <c r="I1308">
        <v>1322.4934082</v>
      </c>
      <c r="J1308">
        <v>1317.6441649999999</v>
      </c>
      <c r="K1308">
        <v>550</v>
      </c>
      <c r="L1308">
        <v>0</v>
      </c>
      <c r="M1308">
        <v>0</v>
      </c>
      <c r="N1308">
        <v>550</v>
      </c>
    </row>
    <row r="1309" spans="1:14" x14ac:dyDescent="0.25">
      <c r="A1309">
        <v>1601.1918740000001</v>
      </c>
      <c r="B1309" s="1">
        <f>DATE(2014,9,18) + TIME(4,36,17)</f>
        <v>41900.191863425927</v>
      </c>
      <c r="C1309">
        <v>80</v>
      </c>
      <c r="D1309">
        <v>79.878723144999995</v>
      </c>
      <c r="E1309">
        <v>50</v>
      </c>
      <c r="F1309">
        <v>49.856700897000003</v>
      </c>
      <c r="G1309">
        <v>1344.1599120999999</v>
      </c>
      <c r="H1309">
        <v>1339.9902344</v>
      </c>
      <c r="I1309">
        <v>1322.4956055</v>
      </c>
      <c r="J1309">
        <v>1317.6444091999999</v>
      </c>
      <c r="K1309">
        <v>550</v>
      </c>
      <c r="L1309">
        <v>0</v>
      </c>
      <c r="M1309">
        <v>0</v>
      </c>
      <c r="N1309">
        <v>550</v>
      </c>
    </row>
    <row r="1310" spans="1:14" x14ac:dyDescent="0.25">
      <c r="A1310">
        <v>1604.9736760000001</v>
      </c>
      <c r="B1310" s="1">
        <f>DATE(2014,9,21) + TIME(23,22,5)</f>
        <v>41903.973668981482</v>
      </c>
      <c r="C1310">
        <v>80</v>
      </c>
      <c r="D1310">
        <v>79.878768921000002</v>
      </c>
      <c r="E1310">
        <v>50</v>
      </c>
      <c r="F1310">
        <v>50.169750213999997</v>
      </c>
      <c r="G1310">
        <v>1344.1412353999999</v>
      </c>
      <c r="H1310">
        <v>1339.9780272999999</v>
      </c>
      <c r="I1310">
        <v>1322.4991454999999</v>
      </c>
      <c r="J1310">
        <v>1317.6475829999999</v>
      </c>
      <c r="K1310">
        <v>550</v>
      </c>
      <c r="L1310">
        <v>0</v>
      </c>
      <c r="M1310">
        <v>0</v>
      </c>
      <c r="N1310">
        <v>550</v>
      </c>
    </row>
    <row r="1311" spans="1:14" x14ac:dyDescent="0.25">
      <c r="A1311">
        <v>1608.9141649999999</v>
      </c>
      <c r="B1311" s="1">
        <f>DATE(2014,9,25) + TIME(21,56,23)</f>
        <v>41907.914155092592</v>
      </c>
      <c r="C1311">
        <v>80</v>
      </c>
      <c r="D1311">
        <v>79.878814696999996</v>
      </c>
      <c r="E1311">
        <v>50</v>
      </c>
      <c r="F1311">
        <v>50.507244110000002</v>
      </c>
      <c r="G1311">
        <v>1344.1223144999999</v>
      </c>
      <c r="H1311">
        <v>1339.9655762</v>
      </c>
      <c r="I1311">
        <v>1322.5042725000001</v>
      </c>
      <c r="J1311">
        <v>1317.6538086</v>
      </c>
      <c r="K1311">
        <v>550</v>
      </c>
      <c r="L1311">
        <v>0</v>
      </c>
      <c r="M1311">
        <v>0</v>
      </c>
      <c r="N1311">
        <v>550</v>
      </c>
    </row>
    <row r="1312" spans="1:14" x14ac:dyDescent="0.25">
      <c r="A1312">
        <v>1612.9378529999999</v>
      </c>
      <c r="B1312" s="1">
        <f>DATE(2014,9,29) + TIME(22,30,30)</f>
        <v>41911.937847222223</v>
      </c>
      <c r="C1312">
        <v>80</v>
      </c>
      <c r="D1312">
        <v>79.878860474000007</v>
      </c>
      <c r="E1312">
        <v>50</v>
      </c>
      <c r="F1312">
        <v>50.866462708</v>
      </c>
      <c r="G1312">
        <v>1344.1029053</v>
      </c>
      <c r="H1312">
        <v>1339.9527588000001</v>
      </c>
      <c r="I1312">
        <v>1322.5112305</v>
      </c>
      <c r="J1312">
        <v>1317.6634521000001</v>
      </c>
      <c r="K1312">
        <v>550</v>
      </c>
      <c r="L1312">
        <v>0</v>
      </c>
      <c r="M1312">
        <v>0</v>
      </c>
      <c r="N1312">
        <v>550</v>
      </c>
    </row>
    <row r="1313" spans="1:14" x14ac:dyDescent="0.25">
      <c r="A1313">
        <v>1614</v>
      </c>
      <c r="B1313" s="1">
        <f>DATE(2014,10,1) + TIME(0,0,0)</f>
        <v>41913</v>
      </c>
      <c r="C1313">
        <v>80</v>
      </c>
      <c r="D1313">
        <v>79.878829956000004</v>
      </c>
      <c r="E1313">
        <v>50</v>
      </c>
      <c r="F1313">
        <v>51.033626556000002</v>
      </c>
      <c r="G1313">
        <v>1344.0836182</v>
      </c>
      <c r="H1313">
        <v>1339.9403076000001</v>
      </c>
      <c r="I1313">
        <v>1322.5299072</v>
      </c>
      <c r="J1313">
        <v>1317.6776123</v>
      </c>
      <c r="K1313">
        <v>550</v>
      </c>
      <c r="L1313">
        <v>0</v>
      </c>
      <c r="M1313">
        <v>0</v>
      </c>
      <c r="N1313">
        <v>550</v>
      </c>
    </row>
    <row r="1314" spans="1:14" x14ac:dyDescent="0.25">
      <c r="A1314">
        <v>1618.1097440000001</v>
      </c>
      <c r="B1314" s="1">
        <f>DATE(2014,10,5) + TIME(2,38,1)</f>
        <v>41917.109733796293</v>
      </c>
      <c r="C1314">
        <v>80</v>
      </c>
      <c r="D1314">
        <v>79.87890625</v>
      </c>
      <c r="E1314">
        <v>50</v>
      </c>
      <c r="F1314">
        <v>51.375812531000001</v>
      </c>
      <c r="G1314">
        <v>1344.0784911999999</v>
      </c>
      <c r="H1314">
        <v>1339.9366454999999</v>
      </c>
      <c r="I1314">
        <v>1322.5220947</v>
      </c>
      <c r="J1314">
        <v>1317.6831055</v>
      </c>
      <c r="K1314">
        <v>550</v>
      </c>
      <c r="L1314">
        <v>0</v>
      </c>
      <c r="M1314">
        <v>0</v>
      </c>
      <c r="N1314">
        <v>550</v>
      </c>
    </row>
    <row r="1315" spans="1:14" x14ac:dyDescent="0.25">
      <c r="A1315">
        <v>1622.311387</v>
      </c>
      <c r="B1315" s="1">
        <f>DATE(2014,10,9) + TIME(7,28,23)</f>
        <v>41921.311377314814</v>
      </c>
      <c r="C1315">
        <v>80</v>
      </c>
      <c r="D1315">
        <v>79.878974915000001</v>
      </c>
      <c r="E1315">
        <v>50</v>
      </c>
      <c r="F1315">
        <v>51.754505156999997</v>
      </c>
      <c r="G1315">
        <v>1344.0593262</v>
      </c>
      <c r="H1315">
        <v>1339.9239502</v>
      </c>
      <c r="I1315">
        <v>1322.5328368999999</v>
      </c>
      <c r="J1315">
        <v>1317.6989745999999</v>
      </c>
      <c r="K1315">
        <v>550</v>
      </c>
      <c r="L1315">
        <v>0</v>
      </c>
      <c r="M1315">
        <v>0</v>
      </c>
      <c r="N1315">
        <v>550</v>
      </c>
    </row>
    <row r="1316" spans="1:14" x14ac:dyDescent="0.25">
      <c r="A1316">
        <v>1626.6085029999999</v>
      </c>
      <c r="B1316" s="1">
        <f>DATE(2014,10,13) + TIME(14,36,14)</f>
        <v>41925.608495370368</v>
      </c>
      <c r="C1316">
        <v>80</v>
      </c>
      <c r="D1316">
        <v>79.879035950000002</v>
      </c>
      <c r="E1316">
        <v>50</v>
      </c>
      <c r="F1316">
        <v>52.155853270999998</v>
      </c>
      <c r="G1316">
        <v>1344.0400391000001</v>
      </c>
      <c r="H1316">
        <v>1339.9113769999999</v>
      </c>
      <c r="I1316">
        <v>1322.5451660000001</v>
      </c>
      <c r="J1316">
        <v>1317.7191161999999</v>
      </c>
      <c r="K1316">
        <v>550</v>
      </c>
      <c r="L1316">
        <v>0</v>
      </c>
      <c r="M1316">
        <v>0</v>
      </c>
      <c r="N1316">
        <v>550</v>
      </c>
    </row>
    <row r="1317" spans="1:14" x14ac:dyDescent="0.25">
      <c r="A1317">
        <v>1631.019951</v>
      </c>
      <c r="B1317" s="1">
        <f>DATE(2014,10,18) + TIME(0,28,43)</f>
        <v>41930.019942129627</v>
      </c>
      <c r="C1317">
        <v>80</v>
      </c>
      <c r="D1317">
        <v>79.879096985000004</v>
      </c>
      <c r="E1317">
        <v>50</v>
      </c>
      <c r="F1317">
        <v>52.573074341000002</v>
      </c>
      <c r="G1317">
        <v>1344.020874</v>
      </c>
      <c r="H1317">
        <v>1339.8986815999999</v>
      </c>
      <c r="I1317">
        <v>1322.559082</v>
      </c>
      <c r="J1317">
        <v>1317.7426757999999</v>
      </c>
      <c r="K1317">
        <v>550</v>
      </c>
      <c r="L1317">
        <v>0</v>
      </c>
      <c r="M1317">
        <v>0</v>
      </c>
      <c r="N1317">
        <v>550</v>
      </c>
    </row>
    <row r="1318" spans="1:14" x14ac:dyDescent="0.25">
      <c r="A1318">
        <v>1635.570917</v>
      </c>
      <c r="B1318" s="1">
        <f>DATE(2014,10,22) + TIME(13,42,7)</f>
        <v>41934.570914351854</v>
      </c>
      <c r="C1318">
        <v>80</v>
      </c>
      <c r="D1318">
        <v>79.879165649000001</v>
      </c>
      <c r="E1318">
        <v>50</v>
      </c>
      <c r="F1318">
        <v>53.002780913999999</v>
      </c>
      <c r="G1318">
        <v>1344.0015868999999</v>
      </c>
      <c r="H1318">
        <v>1339.8859863</v>
      </c>
      <c r="I1318">
        <v>1322.5745850000001</v>
      </c>
      <c r="J1318">
        <v>1317.7695312000001</v>
      </c>
      <c r="K1318">
        <v>550</v>
      </c>
      <c r="L1318">
        <v>0</v>
      </c>
      <c r="M1318">
        <v>0</v>
      </c>
      <c r="N1318">
        <v>550</v>
      </c>
    </row>
    <row r="1319" spans="1:14" x14ac:dyDescent="0.25">
      <c r="A1319">
        <v>1640.2889230000001</v>
      </c>
      <c r="B1319" s="1">
        <f>DATE(2014,10,27) + TIME(6,56,2)</f>
        <v>41939.288912037038</v>
      </c>
      <c r="C1319">
        <v>80</v>
      </c>
      <c r="D1319">
        <v>79.879241942999997</v>
      </c>
      <c r="E1319">
        <v>50</v>
      </c>
      <c r="F1319">
        <v>53.443271637000002</v>
      </c>
      <c r="G1319">
        <v>1343.9822998</v>
      </c>
      <c r="H1319">
        <v>1339.8732910000001</v>
      </c>
      <c r="I1319">
        <v>1322.5919189000001</v>
      </c>
      <c r="J1319">
        <v>1317.7995605000001</v>
      </c>
      <c r="K1319">
        <v>550</v>
      </c>
      <c r="L1319">
        <v>0</v>
      </c>
      <c r="M1319">
        <v>0</v>
      </c>
      <c r="N1319">
        <v>550</v>
      </c>
    </row>
    <row r="1320" spans="1:14" x14ac:dyDescent="0.25">
      <c r="A1320">
        <v>1645</v>
      </c>
      <c r="B1320" s="1">
        <f>DATE(2014,11,1) + TIME(0,0,0)</f>
        <v>41944</v>
      </c>
      <c r="C1320">
        <v>80</v>
      </c>
      <c r="D1320">
        <v>79.879310607999997</v>
      </c>
      <c r="E1320">
        <v>50</v>
      </c>
      <c r="F1320">
        <v>53.886180877999998</v>
      </c>
      <c r="G1320">
        <v>1343.9627685999999</v>
      </c>
      <c r="H1320">
        <v>1339.8604736</v>
      </c>
      <c r="I1320">
        <v>1322.6113281</v>
      </c>
      <c r="J1320">
        <v>1317.8328856999999</v>
      </c>
      <c r="K1320">
        <v>550</v>
      </c>
      <c r="L1320">
        <v>0</v>
      </c>
      <c r="M1320">
        <v>0</v>
      </c>
      <c r="N1320">
        <v>550</v>
      </c>
    </row>
    <row r="1321" spans="1:14" x14ac:dyDescent="0.25">
      <c r="A1321">
        <v>1645.0000010000001</v>
      </c>
      <c r="B1321" s="1">
        <f>DATE(2014,11,1) + TIME(0,0,0)</f>
        <v>41944</v>
      </c>
      <c r="C1321">
        <v>80</v>
      </c>
      <c r="D1321">
        <v>79.879280089999995</v>
      </c>
      <c r="E1321">
        <v>50</v>
      </c>
      <c r="F1321">
        <v>53.886211394999997</v>
      </c>
      <c r="G1321">
        <v>1339.6606445</v>
      </c>
      <c r="H1321">
        <v>1337.9559326000001</v>
      </c>
      <c r="I1321">
        <v>1327.8345947</v>
      </c>
      <c r="J1321">
        <v>1322.848999</v>
      </c>
      <c r="K1321">
        <v>0</v>
      </c>
      <c r="L1321">
        <v>550</v>
      </c>
      <c r="M1321">
        <v>550</v>
      </c>
      <c r="N1321">
        <v>0</v>
      </c>
    </row>
    <row r="1322" spans="1:14" x14ac:dyDescent="0.25">
      <c r="A1322">
        <v>1645.000004</v>
      </c>
      <c r="B1322" s="1">
        <f>DATE(2014,11,1) + TIME(0,0,0)</f>
        <v>41944</v>
      </c>
      <c r="C1322">
        <v>80</v>
      </c>
      <c r="D1322">
        <v>79.879211425999998</v>
      </c>
      <c r="E1322">
        <v>50</v>
      </c>
      <c r="F1322">
        <v>53.886287689</v>
      </c>
      <c r="G1322">
        <v>1339.1557617000001</v>
      </c>
      <c r="H1322">
        <v>1337.4509277</v>
      </c>
      <c r="I1322">
        <v>1328.3878173999999</v>
      </c>
      <c r="J1322">
        <v>1323.4758300999999</v>
      </c>
      <c r="K1322">
        <v>0</v>
      </c>
      <c r="L1322">
        <v>550</v>
      </c>
      <c r="M1322">
        <v>550</v>
      </c>
      <c r="N1322">
        <v>0</v>
      </c>
    </row>
    <row r="1323" spans="1:14" x14ac:dyDescent="0.25">
      <c r="A1323">
        <v>1645.0000130000001</v>
      </c>
      <c r="B1323" s="1">
        <f>DATE(2014,11,1) + TIME(0,0,1)</f>
        <v>41944.000011574077</v>
      </c>
      <c r="C1323">
        <v>80</v>
      </c>
      <c r="D1323">
        <v>79.879066467000001</v>
      </c>
      <c r="E1323">
        <v>50</v>
      </c>
      <c r="F1323">
        <v>53.886459350999999</v>
      </c>
      <c r="G1323">
        <v>1338.1358643000001</v>
      </c>
      <c r="H1323">
        <v>1336.4289550999999</v>
      </c>
      <c r="I1323">
        <v>1329.6517334</v>
      </c>
      <c r="J1323">
        <v>1324.8525391000001</v>
      </c>
      <c r="K1323">
        <v>0</v>
      </c>
      <c r="L1323">
        <v>550</v>
      </c>
      <c r="M1323">
        <v>550</v>
      </c>
      <c r="N1323">
        <v>0</v>
      </c>
    </row>
    <row r="1324" spans="1:14" x14ac:dyDescent="0.25">
      <c r="A1324">
        <v>1645.0000399999999</v>
      </c>
      <c r="B1324" s="1">
        <f>DATE(2014,11,1) + TIME(0,0,3)</f>
        <v>41944.000034722223</v>
      </c>
      <c r="C1324">
        <v>80</v>
      </c>
      <c r="D1324">
        <v>79.878852843999994</v>
      </c>
      <c r="E1324">
        <v>50</v>
      </c>
      <c r="F1324">
        <v>53.886707305999998</v>
      </c>
      <c r="G1324">
        <v>1336.6403809000001</v>
      </c>
      <c r="H1324">
        <v>1334.9224853999999</v>
      </c>
      <c r="I1324">
        <v>1331.8104248</v>
      </c>
      <c r="J1324">
        <v>1327.0655518000001</v>
      </c>
      <c r="K1324">
        <v>0</v>
      </c>
      <c r="L1324">
        <v>550</v>
      </c>
      <c r="M1324">
        <v>550</v>
      </c>
      <c r="N1324">
        <v>0</v>
      </c>
    </row>
    <row r="1325" spans="1:14" x14ac:dyDescent="0.25">
      <c r="A1325">
        <v>1645.000121</v>
      </c>
      <c r="B1325" s="1">
        <f>DATE(2014,11,1) + TIME(0,0,10)</f>
        <v>41944.000115740739</v>
      </c>
      <c r="C1325">
        <v>80</v>
      </c>
      <c r="D1325">
        <v>79.878608704000001</v>
      </c>
      <c r="E1325">
        <v>50</v>
      </c>
      <c r="F1325">
        <v>53.886951447000001</v>
      </c>
      <c r="G1325">
        <v>1334.9544678</v>
      </c>
      <c r="H1325">
        <v>1333.2084961</v>
      </c>
      <c r="I1325">
        <v>1334.53125</v>
      </c>
      <c r="J1325">
        <v>1329.7670897999999</v>
      </c>
      <c r="K1325">
        <v>0</v>
      </c>
      <c r="L1325">
        <v>550</v>
      </c>
      <c r="M1325">
        <v>550</v>
      </c>
      <c r="N1325">
        <v>0</v>
      </c>
    </row>
    <row r="1326" spans="1:14" x14ac:dyDescent="0.25">
      <c r="A1326">
        <v>1645.000364</v>
      </c>
      <c r="B1326" s="1">
        <f>DATE(2014,11,1) + TIME(0,0,31)</f>
        <v>41944.000358796293</v>
      </c>
      <c r="C1326">
        <v>80</v>
      </c>
      <c r="D1326">
        <v>79.878334045000003</v>
      </c>
      <c r="E1326">
        <v>50</v>
      </c>
      <c r="F1326">
        <v>53.887004851999997</v>
      </c>
      <c r="G1326">
        <v>1333.2048339999999</v>
      </c>
      <c r="H1326">
        <v>1331.3861084</v>
      </c>
      <c r="I1326">
        <v>1337.3950195</v>
      </c>
      <c r="J1326">
        <v>1332.5935059000001</v>
      </c>
      <c r="K1326">
        <v>0</v>
      </c>
      <c r="L1326">
        <v>550</v>
      </c>
      <c r="M1326">
        <v>550</v>
      </c>
      <c r="N1326">
        <v>0</v>
      </c>
    </row>
    <row r="1327" spans="1:14" x14ac:dyDescent="0.25">
      <c r="A1327">
        <v>1645.0010930000001</v>
      </c>
      <c r="B1327" s="1">
        <f>DATE(2014,11,1) + TIME(0,1,34)</f>
        <v>41944.001087962963</v>
      </c>
      <c r="C1327">
        <v>80</v>
      </c>
      <c r="D1327">
        <v>79.877998352000006</v>
      </c>
      <c r="E1327">
        <v>50</v>
      </c>
      <c r="F1327">
        <v>53.886413574000002</v>
      </c>
      <c r="G1327">
        <v>1331.4304199000001</v>
      </c>
      <c r="H1327">
        <v>1329.4714355000001</v>
      </c>
      <c r="I1327">
        <v>1340.1929932</v>
      </c>
      <c r="J1327">
        <v>1335.3426514</v>
      </c>
      <c r="K1327">
        <v>0</v>
      </c>
      <c r="L1327">
        <v>550</v>
      </c>
      <c r="M1327">
        <v>550</v>
      </c>
      <c r="N1327">
        <v>0</v>
      </c>
    </row>
    <row r="1328" spans="1:14" x14ac:dyDescent="0.25">
      <c r="A1328">
        <v>1645.0032799999999</v>
      </c>
      <c r="B1328" s="1">
        <f>DATE(2014,11,1) + TIME(0,4,43)</f>
        <v>41944.003275462965</v>
      </c>
      <c r="C1328">
        <v>80</v>
      </c>
      <c r="D1328">
        <v>79.877517699999999</v>
      </c>
      <c r="E1328">
        <v>50</v>
      </c>
      <c r="F1328">
        <v>53.883853911999999</v>
      </c>
      <c r="G1328">
        <v>1329.8469238</v>
      </c>
      <c r="H1328">
        <v>1327.7358397999999</v>
      </c>
      <c r="I1328">
        <v>1342.5552978999999</v>
      </c>
      <c r="J1328">
        <v>1337.6423339999999</v>
      </c>
      <c r="K1328">
        <v>0</v>
      </c>
      <c r="L1328">
        <v>550</v>
      </c>
      <c r="M1328">
        <v>550</v>
      </c>
      <c r="N1328">
        <v>0</v>
      </c>
    </row>
    <row r="1329" spans="1:14" x14ac:dyDescent="0.25">
      <c r="A1329">
        <v>1645.0098410000001</v>
      </c>
      <c r="B1329" s="1">
        <f>DATE(2014,11,1) + TIME(0,14,10)</f>
        <v>41944.009837962964</v>
      </c>
      <c r="C1329">
        <v>80</v>
      </c>
      <c r="D1329">
        <v>79.876556395999998</v>
      </c>
      <c r="E1329">
        <v>50</v>
      </c>
      <c r="F1329">
        <v>53.875411987</v>
      </c>
      <c r="G1329">
        <v>1328.7047118999999</v>
      </c>
      <c r="H1329">
        <v>1326.5144043</v>
      </c>
      <c r="I1329">
        <v>1344.098999</v>
      </c>
      <c r="J1329">
        <v>1339.1336670000001</v>
      </c>
      <c r="K1329">
        <v>0</v>
      </c>
      <c r="L1329">
        <v>550</v>
      </c>
      <c r="M1329">
        <v>550</v>
      </c>
      <c r="N1329">
        <v>0</v>
      </c>
    </row>
    <row r="1330" spans="1:14" x14ac:dyDescent="0.25">
      <c r="A1330">
        <v>1645.029524</v>
      </c>
      <c r="B1330" s="1">
        <f>DATE(2014,11,1) + TIME(0,42,30)</f>
        <v>41944.029513888891</v>
      </c>
      <c r="C1330">
        <v>80</v>
      </c>
      <c r="D1330">
        <v>79.874084472999996</v>
      </c>
      <c r="E1330">
        <v>50</v>
      </c>
      <c r="F1330">
        <v>53.849632262999997</v>
      </c>
      <c r="G1330">
        <v>1328.0446777</v>
      </c>
      <c r="H1330">
        <v>1325.8349608999999</v>
      </c>
      <c r="I1330">
        <v>1344.8383789</v>
      </c>
      <c r="J1330">
        <v>1339.8427733999999</v>
      </c>
      <c r="K1330">
        <v>0</v>
      </c>
      <c r="L1330">
        <v>550</v>
      </c>
      <c r="M1330">
        <v>550</v>
      </c>
      <c r="N1330">
        <v>0</v>
      </c>
    </row>
    <row r="1331" spans="1:14" x14ac:dyDescent="0.25">
      <c r="A1331">
        <v>1645.088573</v>
      </c>
      <c r="B1331" s="1">
        <f>DATE(2014,11,1) + TIME(2,7,32)</f>
        <v>41944.088564814818</v>
      </c>
      <c r="C1331">
        <v>80</v>
      </c>
      <c r="D1331">
        <v>79.866958617999998</v>
      </c>
      <c r="E1331">
        <v>50</v>
      </c>
      <c r="F1331">
        <v>53.773490905999999</v>
      </c>
      <c r="G1331">
        <v>1327.7451172000001</v>
      </c>
      <c r="H1331">
        <v>1325.5333252</v>
      </c>
      <c r="I1331">
        <v>1345.0532227000001</v>
      </c>
      <c r="J1331">
        <v>1340.0471190999999</v>
      </c>
      <c r="K1331">
        <v>0</v>
      </c>
      <c r="L1331">
        <v>550</v>
      </c>
      <c r="M1331">
        <v>550</v>
      </c>
      <c r="N1331">
        <v>0</v>
      </c>
    </row>
    <row r="1332" spans="1:14" x14ac:dyDescent="0.25">
      <c r="A1332">
        <v>1645.2657200000001</v>
      </c>
      <c r="B1332" s="1">
        <f>DATE(2014,11,1) + TIME(6,22,38)</f>
        <v>41944.265717592592</v>
      </c>
      <c r="C1332">
        <v>80</v>
      </c>
      <c r="D1332">
        <v>79.846321106000005</v>
      </c>
      <c r="E1332">
        <v>50</v>
      </c>
      <c r="F1332">
        <v>53.558509827000002</v>
      </c>
      <c r="G1332">
        <v>1327.6530762</v>
      </c>
      <c r="H1332">
        <v>1325.4407959</v>
      </c>
      <c r="I1332">
        <v>1345.0446777</v>
      </c>
      <c r="J1332">
        <v>1340.0386963000001</v>
      </c>
      <c r="K1332">
        <v>0</v>
      </c>
      <c r="L1332">
        <v>550</v>
      </c>
      <c r="M1332">
        <v>550</v>
      </c>
      <c r="N1332">
        <v>0</v>
      </c>
    </row>
    <row r="1333" spans="1:14" x14ac:dyDescent="0.25">
      <c r="A1333">
        <v>1645.5179720000001</v>
      </c>
      <c r="B1333" s="1">
        <f>DATE(2014,11,1) + TIME(12,25,52)</f>
        <v>41944.517962962964</v>
      </c>
      <c r="C1333">
        <v>80</v>
      </c>
      <c r="D1333">
        <v>79.817726135000001</v>
      </c>
      <c r="E1333">
        <v>50</v>
      </c>
      <c r="F1333">
        <v>53.277584075999997</v>
      </c>
      <c r="G1333">
        <v>1327.6350098</v>
      </c>
      <c r="H1333">
        <v>1325.4216309000001</v>
      </c>
      <c r="I1333">
        <v>1345.0059814000001</v>
      </c>
      <c r="J1333">
        <v>1340.003418</v>
      </c>
      <c r="K1333">
        <v>0</v>
      </c>
      <c r="L1333">
        <v>550</v>
      </c>
      <c r="M1333">
        <v>550</v>
      </c>
      <c r="N1333">
        <v>0</v>
      </c>
    </row>
    <row r="1334" spans="1:14" x14ac:dyDescent="0.25">
      <c r="A1334">
        <v>1645.7809010000001</v>
      </c>
      <c r="B1334" s="1">
        <f>DATE(2014,11,1) + TIME(18,44,29)</f>
        <v>41944.780891203707</v>
      </c>
      <c r="C1334">
        <v>80</v>
      </c>
      <c r="D1334">
        <v>79.78843689</v>
      </c>
      <c r="E1334">
        <v>50</v>
      </c>
      <c r="F1334">
        <v>53.009616852000001</v>
      </c>
      <c r="G1334">
        <v>1327.6267089999999</v>
      </c>
      <c r="H1334">
        <v>1325.4118652</v>
      </c>
      <c r="I1334">
        <v>1344.9718018000001</v>
      </c>
      <c r="J1334">
        <v>1339.9729004000001</v>
      </c>
      <c r="K1334">
        <v>0</v>
      </c>
      <c r="L1334">
        <v>550</v>
      </c>
      <c r="M1334">
        <v>550</v>
      </c>
      <c r="N1334">
        <v>0</v>
      </c>
    </row>
    <row r="1335" spans="1:14" x14ac:dyDescent="0.25">
      <c r="A1335">
        <v>1646.055932</v>
      </c>
      <c r="B1335" s="1">
        <f>DATE(2014,11,2) + TIME(1,20,32)</f>
        <v>41945.055925925924</v>
      </c>
      <c r="C1335">
        <v>80</v>
      </c>
      <c r="D1335">
        <v>79.758338928000001</v>
      </c>
      <c r="E1335">
        <v>50</v>
      </c>
      <c r="F1335">
        <v>52.753890990999999</v>
      </c>
      <c r="G1335">
        <v>1327.6195068</v>
      </c>
      <c r="H1335">
        <v>1325.4029541</v>
      </c>
      <c r="I1335">
        <v>1344.9395752</v>
      </c>
      <c r="J1335">
        <v>1339.9444579999999</v>
      </c>
      <c r="K1335">
        <v>0</v>
      </c>
      <c r="L1335">
        <v>550</v>
      </c>
      <c r="M1335">
        <v>550</v>
      </c>
      <c r="N1335">
        <v>0</v>
      </c>
    </row>
    <row r="1336" spans="1:14" x14ac:dyDescent="0.25">
      <c r="A1336">
        <v>1646.344488</v>
      </c>
      <c r="B1336" s="1">
        <f>DATE(2014,11,2) + TIME(8,16,3)</f>
        <v>41945.34447916667</v>
      </c>
      <c r="C1336">
        <v>80</v>
      </c>
      <c r="D1336">
        <v>79.727310181000007</v>
      </c>
      <c r="E1336">
        <v>50</v>
      </c>
      <c r="F1336">
        <v>52.509960175000003</v>
      </c>
      <c r="G1336">
        <v>1327.6120605000001</v>
      </c>
      <c r="H1336">
        <v>1325.3936768000001</v>
      </c>
      <c r="I1336">
        <v>1344.9086914</v>
      </c>
      <c r="J1336">
        <v>1339.9173584</v>
      </c>
      <c r="K1336">
        <v>0</v>
      </c>
      <c r="L1336">
        <v>550</v>
      </c>
      <c r="M1336">
        <v>550</v>
      </c>
      <c r="N1336">
        <v>0</v>
      </c>
    </row>
    <row r="1337" spans="1:14" x14ac:dyDescent="0.25">
      <c r="A1337">
        <v>1646.6482060000001</v>
      </c>
      <c r="B1337" s="1">
        <f>DATE(2014,11,2) + TIME(15,33,25)</f>
        <v>41945.648206018515</v>
      </c>
      <c r="C1337">
        <v>80</v>
      </c>
      <c r="D1337">
        <v>79.695243834999999</v>
      </c>
      <c r="E1337">
        <v>50</v>
      </c>
      <c r="F1337">
        <v>52.277446746999999</v>
      </c>
      <c r="G1337">
        <v>1327.6043701000001</v>
      </c>
      <c r="H1337">
        <v>1325.3840332</v>
      </c>
      <c r="I1337">
        <v>1344.8789062000001</v>
      </c>
      <c r="J1337">
        <v>1339.8912353999999</v>
      </c>
      <c r="K1337">
        <v>0</v>
      </c>
      <c r="L1337">
        <v>550</v>
      </c>
      <c r="M1337">
        <v>550</v>
      </c>
      <c r="N1337">
        <v>0</v>
      </c>
    </row>
    <row r="1338" spans="1:14" x14ac:dyDescent="0.25">
      <c r="A1338">
        <v>1646.96901</v>
      </c>
      <c r="B1338" s="1">
        <f>DATE(2014,11,2) + TIME(23,15,22)</f>
        <v>41945.969004629631</v>
      </c>
      <c r="C1338">
        <v>80</v>
      </c>
      <c r="D1338">
        <v>79.662002563000001</v>
      </c>
      <c r="E1338">
        <v>50</v>
      </c>
      <c r="F1338">
        <v>52.056026459000002</v>
      </c>
      <c r="G1338">
        <v>1327.5963135</v>
      </c>
      <c r="H1338">
        <v>1325.3737793</v>
      </c>
      <c r="I1338">
        <v>1344.8502197</v>
      </c>
      <c r="J1338">
        <v>1339.8662108999999</v>
      </c>
      <c r="K1338">
        <v>0</v>
      </c>
      <c r="L1338">
        <v>550</v>
      </c>
      <c r="M1338">
        <v>550</v>
      </c>
      <c r="N1338">
        <v>0</v>
      </c>
    </row>
    <row r="1339" spans="1:14" x14ac:dyDescent="0.25">
      <c r="A1339">
        <v>1647.309178</v>
      </c>
      <c r="B1339" s="1">
        <f>DATE(2014,11,3) + TIME(7,25,13)</f>
        <v>41946.309178240743</v>
      </c>
      <c r="C1339">
        <v>80</v>
      </c>
      <c r="D1339">
        <v>79.627426146999994</v>
      </c>
      <c r="E1339">
        <v>50</v>
      </c>
      <c r="F1339">
        <v>51.845417023000003</v>
      </c>
      <c r="G1339">
        <v>1327.5877685999999</v>
      </c>
      <c r="H1339">
        <v>1325.3629149999999</v>
      </c>
      <c r="I1339">
        <v>1344.8226318</v>
      </c>
      <c r="J1339">
        <v>1339.8421631000001</v>
      </c>
      <c r="K1339">
        <v>0</v>
      </c>
      <c r="L1339">
        <v>550</v>
      </c>
      <c r="M1339">
        <v>550</v>
      </c>
      <c r="N1339">
        <v>0</v>
      </c>
    </row>
    <row r="1340" spans="1:14" x14ac:dyDescent="0.25">
      <c r="A1340">
        <v>1647.671439</v>
      </c>
      <c r="B1340" s="1">
        <f>DATE(2014,11,3) + TIME(16,6,52)</f>
        <v>41946.671435185184</v>
      </c>
      <c r="C1340">
        <v>80</v>
      </c>
      <c r="D1340">
        <v>79.591323853000006</v>
      </c>
      <c r="E1340">
        <v>50</v>
      </c>
      <c r="F1340">
        <v>51.645381927000003</v>
      </c>
      <c r="G1340">
        <v>1327.5787353999999</v>
      </c>
      <c r="H1340">
        <v>1325.3513184000001</v>
      </c>
      <c r="I1340">
        <v>1344.7960204999999</v>
      </c>
      <c r="J1340">
        <v>1339.8190918</v>
      </c>
      <c r="K1340">
        <v>0</v>
      </c>
      <c r="L1340">
        <v>550</v>
      </c>
      <c r="M1340">
        <v>550</v>
      </c>
      <c r="N1340">
        <v>0</v>
      </c>
    </row>
    <row r="1341" spans="1:14" x14ac:dyDescent="0.25">
      <c r="A1341">
        <v>1648.059096</v>
      </c>
      <c r="B1341" s="1">
        <f>DATE(2014,11,4) + TIME(1,25,5)</f>
        <v>41947.05908564815</v>
      </c>
      <c r="C1341">
        <v>80</v>
      </c>
      <c r="D1341">
        <v>79.553482056000007</v>
      </c>
      <c r="E1341">
        <v>50</v>
      </c>
      <c r="F1341">
        <v>51.455741881999998</v>
      </c>
      <c r="G1341">
        <v>1327.5692139</v>
      </c>
      <c r="H1341">
        <v>1325.3388672000001</v>
      </c>
      <c r="I1341">
        <v>1344.7702637</v>
      </c>
      <c r="J1341">
        <v>1339.7969971</v>
      </c>
      <c r="K1341">
        <v>0</v>
      </c>
      <c r="L1341">
        <v>550</v>
      </c>
      <c r="M1341">
        <v>550</v>
      </c>
      <c r="N1341">
        <v>0</v>
      </c>
    </row>
    <row r="1342" spans="1:14" x14ac:dyDescent="0.25">
      <c r="A1342">
        <v>1648.4762000000001</v>
      </c>
      <c r="B1342" s="1">
        <f>DATE(2014,11,4) + TIME(11,25,43)</f>
        <v>41947.47619212963</v>
      </c>
      <c r="C1342">
        <v>80</v>
      </c>
      <c r="D1342">
        <v>79.513618468999994</v>
      </c>
      <c r="E1342">
        <v>50</v>
      </c>
      <c r="F1342">
        <v>51.276355743000003</v>
      </c>
      <c r="G1342">
        <v>1327.5589600000001</v>
      </c>
      <c r="H1342">
        <v>1325.3254394999999</v>
      </c>
      <c r="I1342">
        <v>1344.7454834</v>
      </c>
      <c r="J1342">
        <v>1339.7757568</v>
      </c>
      <c r="K1342">
        <v>0</v>
      </c>
      <c r="L1342">
        <v>550</v>
      </c>
      <c r="M1342">
        <v>550</v>
      </c>
      <c r="N1342">
        <v>0</v>
      </c>
    </row>
    <row r="1343" spans="1:14" x14ac:dyDescent="0.25">
      <c r="A1343">
        <v>1648.92779</v>
      </c>
      <c r="B1343" s="1">
        <f>DATE(2014,11,4) + TIME(22,16,1)</f>
        <v>41947.927789351852</v>
      </c>
      <c r="C1343">
        <v>80</v>
      </c>
      <c r="D1343">
        <v>79.471405028999996</v>
      </c>
      <c r="E1343">
        <v>50</v>
      </c>
      <c r="F1343">
        <v>51.107131957999997</v>
      </c>
      <c r="G1343">
        <v>1327.5479736</v>
      </c>
      <c r="H1343">
        <v>1325.3110352000001</v>
      </c>
      <c r="I1343">
        <v>1344.7215576000001</v>
      </c>
      <c r="J1343">
        <v>1339.7553711</v>
      </c>
      <c r="K1343">
        <v>0</v>
      </c>
      <c r="L1343">
        <v>550</v>
      </c>
      <c r="M1343">
        <v>550</v>
      </c>
      <c r="N1343">
        <v>0</v>
      </c>
    </row>
    <row r="1344" spans="1:14" x14ac:dyDescent="0.25">
      <c r="A1344">
        <v>1649.413266</v>
      </c>
      <c r="B1344" s="1">
        <f>DATE(2014,11,5) + TIME(9,55,6)</f>
        <v>41948.413263888891</v>
      </c>
      <c r="C1344">
        <v>80</v>
      </c>
      <c r="D1344">
        <v>79.427017211999996</v>
      </c>
      <c r="E1344">
        <v>50</v>
      </c>
      <c r="F1344">
        <v>50.949993134000003</v>
      </c>
      <c r="G1344">
        <v>1327.5361327999999</v>
      </c>
      <c r="H1344">
        <v>1325.2954102000001</v>
      </c>
      <c r="I1344">
        <v>1344.6988524999999</v>
      </c>
      <c r="J1344">
        <v>1339.7362060999999</v>
      </c>
      <c r="K1344">
        <v>0</v>
      </c>
      <c r="L1344">
        <v>550</v>
      </c>
      <c r="M1344">
        <v>550</v>
      </c>
      <c r="N1344">
        <v>0</v>
      </c>
    </row>
    <row r="1345" spans="1:14" x14ac:dyDescent="0.25">
      <c r="A1345">
        <v>1649.9166290000001</v>
      </c>
      <c r="B1345" s="1">
        <f>DATE(2014,11,5) + TIME(21,59,56)</f>
        <v>41948.916620370372</v>
      </c>
      <c r="C1345">
        <v>80</v>
      </c>
      <c r="D1345">
        <v>79.381835937999995</v>
      </c>
      <c r="E1345">
        <v>50</v>
      </c>
      <c r="F1345">
        <v>50.809825897000003</v>
      </c>
      <c r="G1345">
        <v>1327.5234375</v>
      </c>
      <c r="H1345">
        <v>1325.2786865</v>
      </c>
      <c r="I1345">
        <v>1344.6782227000001</v>
      </c>
      <c r="J1345">
        <v>1339.7188721</v>
      </c>
      <c r="K1345">
        <v>0</v>
      </c>
      <c r="L1345">
        <v>550</v>
      </c>
      <c r="M1345">
        <v>550</v>
      </c>
      <c r="N1345">
        <v>0</v>
      </c>
    </row>
    <row r="1346" spans="1:14" x14ac:dyDescent="0.25">
      <c r="A1346">
        <v>1650.439699</v>
      </c>
      <c r="B1346" s="1">
        <f>DATE(2014,11,6) + TIME(10,33,9)</f>
        <v>41949.439687500002</v>
      </c>
      <c r="C1346">
        <v>80</v>
      </c>
      <c r="D1346">
        <v>79.335739136000001</v>
      </c>
      <c r="E1346">
        <v>50</v>
      </c>
      <c r="F1346">
        <v>50.685089111000003</v>
      </c>
      <c r="G1346">
        <v>1327.510376</v>
      </c>
      <c r="H1346">
        <v>1325.2613524999999</v>
      </c>
      <c r="I1346">
        <v>1344.6593018000001</v>
      </c>
      <c r="J1346">
        <v>1339.7030029</v>
      </c>
      <c r="K1346">
        <v>0</v>
      </c>
      <c r="L1346">
        <v>550</v>
      </c>
      <c r="M1346">
        <v>550</v>
      </c>
      <c r="N1346">
        <v>0</v>
      </c>
    </row>
    <row r="1347" spans="1:14" x14ac:dyDescent="0.25">
      <c r="A1347">
        <v>1650.983708</v>
      </c>
      <c r="B1347" s="1">
        <f>DATE(2014,11,6) + TIME(23,36,32)</f>
        <v>41949.983703703707</v>
      </c>
      <c r="C1347">
        <v>80</v>
      </c>
      <c r="D1347">
        <v>79.288658142000003</v>
      </c>
      <c r="E1347">
        <v>50</v>
      </c>
      <c r="F1347">
        <v>50.574531555</v>
      </c>
      <c r="G1347">
        <v>1327.4968262</v>
      </c>
      <c r="H1347">
        <v>1325.2431641000001</v>
      </c>
      <c r="I1347">
        <v>1344.6418457</v>
      </c>
      <c r="J1347">
        <v>1339.6885986</v>
      </c>
      <c r="K1347">
        <v>0</v>
      </c>
      <c r="L1347">
        <v>550</v>
      </c>
      <c r="M1347">
        <v>550</v>
      </c>
      <c r="N1347">
        <v>0</v>
      </c>
    </row>
    <row r="1348" spans="1:14" x14ac:dyDescent="0.25">
      <c r="A1348">
        <v>1651.5500010000001</v>
      </c>
      <c r="B1348" s="1">
        <f>DATE(2014,11,7) + TIME(13,12,0)</f>
        <v>41950.55</v>
      </c>
      <c r="C1348">
        <v>80</v>
      </c>
      <c r="D1348">
        <v>79.240509032999995</v>
      </c>
      <c r="E1348">
        <v>50</v>
      </c>
      <c r="F1348">
        <v>50.476959229000002</v>
      </c>
      <c r="G1348">
        <v>1327.4826660000001</v>
      </c>
      <c r="H1348">
        <v>1325.2242432</v>
      </c>
      <c r="I1348">
        <v>1344.6258545000001</v>
      </c>
      <c r="J1348">
        <v>1339.6754149999999</v>
      </c>
      <c r="K1348">
        <v>0</v>
      </c>
      <c r="L1348">
        <v>550</v>
      </c>
      <c r="M1348">
        <v>550</v>
      </c>
      <c r="N1348">
        <v>0</v>
      </c>
    </row>
    <row r="1349" spans="1:14" x14ac:dyDescent="0.25">
      <c r="A1349">
        <v>1652.140065</v>
      </c>
      <c r="B1349" s="1">
        <f>DATE(2014,11,8) + TIME(3,21,41)</f>
        <v>41951.140057870369</v>
      </c>
      <c r="C1349">
        <v>80</v>
      </c>
      <c r="D1349">
        <v>79.191200256000002</v>
      </c>
      <c r="E1349">
        <v>50</v>
      </c>
      <c r="F1349">
        <v>50.391246795999997</v>
      </c>
      <c r="G1349">
        <v>1327.4678954999999</v>
      </c>
      <c r="H1349">
        <v>1325.2044678</v>
      </c>
      <c r="I1349">
        <v>1344.6110839999999</v>
      </c>
      <c r="J1349">
        <v>1339.6634521000001</v>
      </c>
      <c r="K1349">
        <v>0</v>
      </c>
      <c r="L1349">
        <v>550</v>
      </c>
      <c r="M1349">
        <v>550</v>
      </c>
      <c r="N1349">
        <v>0</v>
      </c>
    </row>
    <row r="1350" spans="1:14" x14ac:dyDescent="0.25">
      <c r="A1350">
        <v>1652.7555139999999</v>
      </c>
      <c r="B1350" s="1">
        <f>DATE(2014,11,8) + TIME(18,7,56)</f>
        <v>41951.755509259259</v>
      </c>
      <c r="C1350">
        <v>80</v>
      </c>
      <c r="D1350">
        <v>79.140655518000003</v>
      </c>
      <c r="E1350">
        <v>50</v>
      </c>
      <c r="F1350">
        <v>50.316318512000002</v>
      </c>
      <c r="G1350">
        <v>1327.4526367000001</v>
      </c>
      <c r="H1350">
        <v>1325.1837158000001</v>
      </c>
      <c r="I1350">
        <v>1344.5976562000001</v>
      </c>
      <c r="J1350">
        <v>1339.6525879000001</v>
      </c>
      <c r="K1350">
        <v>0</v>
      </c>
      <c r="L1350">
        <v>550</v>
      </c>
      <c r="M1350">
        <v>550</v>
      </c>
      <c r="N1350">
        <v>0</v>
      </c>
    </row>
    <row r="1351" spans="1:14" x14ac:dyDescent="0.25">
      <c r="A1351">
        <v>1653.398111</v>
      </c>
      <c r="B1351" s="1">
        <f>DATE(2014,11,9) + TIME(9,33,16)</f>
        <v>41952.398101851853</v>
      </c>
      <c r="C1351">
        <v>80</v>
      </c>
      <c r="D1351">
        <v>79.088760375999996</v>
      </c>
      <c r="E1351">
        <v>50</v>
      </c>
      <c r="F1351">
        <v>50.251163482999999</v>
      </c>
      <c r="G1351">
        <v>1327.4366454999999</v>
      </c>
      <c r="H1351">
        <v>1325.1621094</v>
      </c>
      <c r="I1351">
        <v>1344.5852050999999</v>
      </c>
      <c r="J1351">
        <v>1339.6425781</v>
      </c>
      <c r="K1351">
        <v>0</v>
      </c>
      <c r="L1351">
        <v>550</v>
      </c>
      <c r="M1351">
        <v>550</v>
      </c>
      <c r="N1351">
        <v>0</v>
      </c>
    </row>
    <row r="1352" spans="1:14" x14ac:dyDescent="0.25">
      <c r="A1352">
        <v>1654.0697849999999</v>
      </c>
      <c r="B1352" s="1">
        <f>DATE(2014,11,10) + TIME(1,40,29)</f>
        <v>41953.069780092592</v>
      </c>
      <c r="C1352">
        <v>80</v>
      </c>
      <c r="D1352">
        <v>79.035415649000001</v>
      </c>
      <c r="E1352">
        <v>50</v>
      </c>
      <c r="F1352">
        <v>50.194828033</v>
      </c>
      <c r="G1352">
        <v>1327.4199219</v>
      </c>
      <c r="H1352">
        <v>1325.1395264</v>
      </c>
      <c r="I1352">
        <v>1344.5737305</v>
      </c>
      <c r="J1352">
        <v>1339.6335449000001</v>
      </c>
      <c r="K1352">
        <v>0</v>
      </c>
      <c r="L1352">
        <v>550</v>
      </c>
      <c r="M1352">
        <v>550</v>
      </c>
      <c r="N1352">
        <v>0</v>
      </c>
    </row>
    <row r="1353" spans="1:14" x14ac:dyDescent="0.25">
      <c r="A1353">
        <v>1654.7726640000001</v>
      </c>
      <c r="B1353" s="1">
        <f>DATE(2014,11,10) + TIME(18,32,38)</f>
        <v>41953.772662037038</v>
      </c>
      <c r="C1353">
        <v>80</v>
      </c>
      <c r="D1353">
        <v>78.980514525999993</v>
      </c>
      <c r="E1353">
        <v>50</v>
      </c>
      <c r="F1353">
        <v>50.146408080999997</v>
      </c>
      <c r="G1353">
        <v>1327.4024658000001</v>
      </c>
      <c r="H1353">
        <v>1325.1158447</v>
      </c>
      <c r="I1353">
        <v>1344.5631103999999</v>
      </c>
      <c r="J1353">
        <v>1339.6252440999999</v>
      </c>
      <c r="K1353">
        <v>0</v>
      </c>
      <c r="L1353">
        <v>550</v>
      </c>
      <c r="M1353">
        <v>550</v>
      </c>
      <c r="N1353">
        <v>0</v>
      </c>
    </row>
    <row r="1354" spans="1:14" x14ac:dyDescent="0.25">
      <c r="A1354">
        <v>1655.5089989999999</v>
      </c>
      <c r="B1354" s="1">
        <f>DATE(2014,11,11) + TIME(12,12,57)</f>
        <v>41954.508993055555</v>
      </c>
      <c r="C1354">
        <v>80</v>
      </c>
      <c r="D1354">
        <v>78.923919678000004</v>
      </c>
      <c r="E1354">
        <v>50</v>
      </c>
      <c r="F1354">
        <v>50.105068207000002</v>
      </c>
      <c r="G1354">
        <v>1327.3841553</v>
      </c>
      <c r="H1354">
        <v>1325.0909423999999</v>
      </c>
      <c r="I1354">
        <v>1344.5534668</v>
      </c>
      <c r="J1354">
        <v>1339.6176757999999</v>
      </c>
      <c r="K1354">
        <v>0</v>
      </c>
      <c r="L1354">
        <v>550</v>
      </c>
      <c r="M1354">
        <v>550</v>
      </c>
      <c r="N1354">
        <v>0</v>
      </c>
    </row>
    <row r="1355" spans="1:14" x14ac:dyDescent="0.25">
      <c r="A1355">
        <v>1656.28116</v>
      </c>
      <c r="B1355" s="1">
        <f>DATE(2014,11,12) + TIME(6,44,52)</f>
        <v>41955.281157407408</v>
      </c>
      <c r="C1355">
        <v>80</v>
      </c>
      <c r="D1355">
        <v>78.865524292000003</v>
      </c>
      <c r="E1355">
        <v>50</v>
      </c>
      <c r="F1355">
        <v>50.070014954000001</v>
      </c>
      <c r="G1355">
        <v>1327.3649902</v>
      </c>
      <c r="H1355">
        <v>1325.0649414</v>
      </c>
      <c r="I1355">
        <v>1344.5444336</v>
      </c>
      <c r="J1355">
        <v>1339.6107178</v>
      </c>
      <c r="K1355">
        <v>0</v>
      </c>
      <c r="L1355">
        <v>550</v>
      </c>
      <c r="M1355">
        <v>550</v>
      </c>
      <c r="N1355">
        <v>0</v>
      </c>
    </row>
    <row r="1356" spans="1:14" x14ac:dyDescent="0.25">
      <c r="A1356">
        <v>1657.0922720000001</v>
      </c>
      <c r="B1356" s="1">
        <f>DATE(2014,11,13) + TIME(2,12,52)</f>
        <v>41956.092268518521</v>
      </c>
      <c r="C1356">
        <v>80</v>
      </c>
      <c r="D1356">
        <v>78.805160521999994</v>
      </c>
      <c r="E1356">
        <v>50</v>
      </c>
      <c r="F1356">
        <v>50.040500641000001</v>
      </c>
      <c r="G1356">
        <v>1327.3449707</v>
      </c>
      <c r="H1356">
        <v>1325.0375977000001</v>
      </c>
      <c r="I1356">
        <v>1344.5361327999999</v>
      </c>
      <c r="J1356">
        <v>1339.6043701000001</v>
      </c>
      <c r="K1356">
        <v>0</v>
      </c>
      <c r="L1356">
        <v>550</v>
      </c>
      <c r="M1356">
        <v>550</v>
      </c>
      <c r="N1356">
        <v>0</v>
      </c>
    </row>
    <row r="1357" spans="1:14" x14ac:dyDescent="0.25">
      <c r="A1357">
        <v>1657.9455049999999</v>
      </c>
      <c r="B1357" s="1">
        <f>DATE(2014,11,13) + TIME(22,41,31)</f>
        <v>41956.945497685185</v>
      </c>
      <c r="C1357">
        <v>80</v>
      </c>
      <c r="D1357">
        <v>78.742675781000003</v>
      </c>
      <c r="E1357">
        <v>50</v>
      </c>
      <c r="F1357">
        <v>50.015838623</v>
      </c>
      <c r="G1357">
        <v>1327.3238524999999</v>
      </c>
      <c r="H1357">
        <v>1325.0087891000001</v>
      </c>
      <c r="I1357">
        <v>1344.5284423999999</v>
      </c>
      <c r="J1357">
        <v>1339.5985106999999</v>
      </c>
      <c r="K1357">
        <v>0</v>
      </c>
      <c r="L1357">
        <v>550</v>
      </c>
      <c r="M1357">
        <v>550</v>
      </c>
      <c r="N1357">
        <v>0</v>
      </c>
    </row>
    <row r="1358" spans="1:14" x14ac:dyDescent="0.25">
      <c r="A1358">
        <v>1658.8443990000001</v>
      </c>
      <c r="B1358" s="1">
        <f>DATE(2014,11,14) + TIME(20,15,56)</f>
        <v>41957.844398148147</v>
      </c>
      <c r="C1358">
        <v>80</v>
      </c>
      <c r="D1358">
        <v>78.677886963000006</v>
      </c>
      <c r="E1358">
        <v>50</v>
      </c>
      <c r="F1358">
        <v>49.995399474999999</v>
      </c>
      <c r="G1358">
        <v>1327.3017577999999</v>
      </c>
      <c r="H1358">
        <v>1324.9783935999999</v>
      </c>
      <c r="I1358">
        <v>1344.5212402</v>
      </c>
      <c r="J1358">
        <v>1339.5930175999999</v>
      </c>
      <c r="K1358">
        <v>0</v>
      </c>
      <c r="L1358">
        <v>550</v>
      </c>
      <c r="M1358">
        <v>550</v>
      </c>
      <c r="N1358">
        <v>0</v>
      </c>
    </row>
    <row r="1359" spans="1:14" x14ac:dyDescent="0.25">
      <c r="A1359">
        <v>1659.7929099999999</v>
      </c>
      <c r="B1359" s="1">
        <f>DATE(2014,11,15) + TIME(19,1,47)</f>
        <v>41958.792905092596</v>
      </c>
      <c r="C1359">
        <v>80</v>
      </c>
      <c r="D1359">
        <v>78.610610961999996</v>
      </c>
      <c r="E1359">
        <v>50</v>
      </c>
      <c r="F1359">
        <v>49.978599547999998</v>
      </c>
      <c r="G1359">
        <v>1327.2783202999999</v>
      </c>
      <c r="H1359">
        <v>1324.9465332</v>
      </c>
      <c r="I1359">
        <v>1344.5145264</v>
      </c>
      <c r="J1359">
        <v>1339.5880127</v>
      </c>
      <c r="K1359">
        <v>0</v>
      </c>
      <c r="L1359">
        <v>550</v>
      </c>
      <c r="M1359">
        <v>550</v>
      </c>
      <c r="N1359">
        <v>0</v>
      </c>
    </row>
    <row r="1360" spans="1:14" x14ac:dyDescent="0.25">
      <c r="A1360">
        <v>1660.79547</v>
      </c>
      <c r="B1360" s="1">
        <f>DATE(2014,11,16) + TIME(19,5,28)</f>
        <v>41959.79546296296</v>
      </c>
      <c r="C1360">
        <v>80</v>
      </c>
      <c r="D1360">
        <v>78.540641785000005</v>
      </c>
      <c r="E1360">
        <v>50</v>
      </c>
      <c r="F1360">
        <v>49.964923859000002</v>
      </c>
      <c r="G1360">
        <v>1327.2536620999999</v>
      </c>
      <c r="H1360">
        <v>1324.9127197</v>
      </c>
      <c r="I1360">
        <v>1344.5083007999999</v>
      </c>
      <c r="J1360">
        <v>1339.5832519999999</v>
      </c>
      <c r="K1360">
        <v>0</v>
      </c>
      <c r="L1360">
        <v>550</v>
      </c>
      <c r="M1360">
        <v>550</v>
      </c>
      <c r="N1360">
        <v>0</v>
      </c>
    </row>
    <row r="1361" spans="1:14" x14ac:dyDescent="0.25">
      <c r="A1361">
        <v>1661.8334850000001</v>
      </c>
      <c r="B1361" s="1">
        <f>DATE(2014,11,17) + TIME(20,0,13)</f>
        <v>41960.833483796298</v>
      </c>
      <c r="C1361">
        <v>80</v>
      </c>
      <c r="D1361">
        <v>78.469062804999993</v>
      </c>
      <c r="E1361">
        <v>50</v>
      </c>
      <c r="F1361">
        <v>49.954086304</v>
      </c>
      <c r="G1361">
        <v>1327.2276611</v>
      </c>
      <c r="H1361">
        <v>1324.8770752</v>
      </c>
      <c r="I1361">
        <v>1344.5025635</v>
      </c>
      <c r="J1361">
        <v>1339.5788574000001</v>
      </c>
      <c r="K1361">
        <v>0</v>
      </c>
      <c r="L1361">
        <v>550</v>
      </c>
      <c r="M1361">
        <v>550</v>
      </c>
      <c r="N1361">
        <v>0</v>
      </c>
    </row>
    <row r="1362" spans="1:14" x14ac:dyDescent="0.25">
      <c r="A1362">
        <v>1662.9005609999999</v>
      </c>
      <c r="B1362" s="1">
        <f>DATE(2014,11,18) + TIME(21,36,48)</f>
        <v>41961.900555555556</v>
      </c>
      <c r="C1362">
        <v>80</v>
      </c>
      <c r="D1362">
        <v>78.396263122999997</v>
      </c>
      <c r="E1362">
        <v>50</v>
      </c>
      <c r="F1362">
        <v>49.945598601999997</v>
      </c>
      <c r="G1362">
        <v>1327.2006836</v>
      </c>
      <c r="H1362">
        <v>1324.8402100000001</v>
      </c>
      <c r="I1362">
        <v>1344.4973144999999</v>
      </c>
      <c r="J1362">
        <v>1339.5748291</v>
      </c>
      <c r="K1362">
        <v>0</v>
      </c>
      <c r="L1362">
        <v>550</v>
      </c>
      <c r="M1362">
        <v>550</v>
      </c>
      <c r="N1362">
        <v>0</v>
      </c>
    </row>
    <row r="1363" spans="1:14" x14ac:dyDescent="0.25">
      <c r="A1363">
        <v>1663.9991520000001</v>
      </c>
      <c r="B1363" s="1">
        <f>DATE(2014,11,19) + TIME(23,58,46)</f>
        <v>41962.999143518522</v>
      </c>
      <c r="C1363">
        <v>80</v>
      </c>
      <c r="D1363">
        <v>78.322166443</v>
      </c>
      <c r="E1363">
        <v>50</v>
      </c>
      <c r="F1363">
        <v>49.938968658</v>
      </c>
      <c r="G1363">
        <v>1327.1729736</v>
      </c>
      <c r="H1363">
        <v>1324.802124</v>
      </c>
      <c r="I1363">
        <v>1344.4924315999999</v>
      </c>
      <c r="J1363">
        <v>1339.5710449000001</v>
      </c>
      <c r="K1363">
        <v>0</v>
      </c>
      <c r="L1363">
        <v>550</v>
      </c>
      <c r="M1363">
        <v>550</v>
      </c>
      <c r="N1363">
        <v>0</v>
      </c>
    </row>
    <row r="1364" spans="1:14" x14ac:dyDescent="0.25">
      <c r="A1364">
        <v>1665.131613</v>
      </c>
      <c r="B1364" s="1">
        <f>DATE(2014,11,21) + TIME(3,9,31)</f>
        <v>41964.131608796299</v>
      </c>
      <c r="C1364">
        <v>80</v>
      </c>
      <c r="D1364">
        <v>78.246688843000001</v>
      </c>
      <c r="E1364">
        <v>50</v>
      </c>
      <c r="F1364">
        <v>49.933811188</v>
      </c>
      <c r="G1364">
        <v>1327.1442870999999</v>
      </c>
      <c r="H1364">
        <v>1324.7626952999999</v>
      </c>
      <c r="I1364">
        <v>1344.487793</v>
      </c>
      <c r="J1364">
        <v>1339.5673827999999</v>
      </c>
      <c r="K1364">
        <v>0</v>
      </c>
      <c r="L1364">
        <v>550</v>
      </c>
      <c r="M1364">
        <v>550</v>
      </c>
      <c r="N1364">
        <v>0</v>
      </c>
    </row>
    <row r="1365" spans="1:14" x14ac:dyDescent="0.25">
      <c r="A1365">
        <v>1666.30045</v>
      </c>
      <c r="B1365" s="1">
        <f>DATE(2014,11,22) + TIME(7,12,38)</f>
        <v>41965.300439814811</v>
      </c>
      <c r="C1365">
        <v>80</v>
      </c>
      <c r="D1365">
        <v>78.169754028</v>
      </c>
      <c r="E1365">
        <v>50</v>
      </c>
      <c r="F1365">
        <v>49.929813385000003</v>
      </c>
      <c r="G1365">
        <v>1327.1147461</v>
      </c>
      <c r="H1365">
        <v>1324.7220459</v>
      </c>
      <c r="I1365">
        <v>1344.4836425999999</v>
      </c>
      <c r="J1365">
        <v>1339.5640868999999</v>
      </c>
      <c r="K1365">
        <v>0</v>
      </c>
      <c r="L1365">
        <v>550</v>
      </c>
      <c r="M1365">
        <v>550</v>
      </c>
      <c r="N1365">
        <v>0</v>
      </c>
    </row>
    <row r="1366" spans="1:14" x14ac:dyDescent="0.25">
      <c r="A1366">
        <v>1667.5083509999999</v>
      </c>
      <c r="B1366" s="1">
        <f>DATE(2014,11,23) + TIME(12,12,1)</f>
        <v>41966.508344907408</v>
      </c>
      <c r="C1366">
        <v>80</v>
      </c>
      <c r="D1366">
        <v>78.091255188000005</v>
      </c>
      <c r="E1366">
        <v>50</v>
      </c>
      <c r="F1366">
        <v>49.926727294999999</v>
      </c>
      <c r="G1366">
        <v>1327.0841064000001</v>
      </c>
      <c r="H1366">
        <v>1324.6800536999999</v>
      </c>
      <c r="I1366">
        <v>1344.4797363</v>
      </c>
      <c r="J1366">
        <v>1339.5607910000001</v>
      </c>
      <c r="K1366">
        <v>0</v>
      </c>
      <c r="L1366">
        <v>550</v>
      </c>
      <c r="M1366">
        <v>550</v>
      </c>
      <c r="N1366">
        <v>0</v>
      </c>
    </row>
    <row r="1367" spans="1:14" x14ac:dyDescent="0.25">
      <c r="A1367">
        <v>1668.758212</v>
      </c>
      <c r="B1367" s="1">
        <f>DATE(2014,11,24) + TIME(18,11,49)</f>
        <v>41967.758206018516</v>
      </c>
      <c r="C1367">
        <v>80</v>
      </c>
      <c r="D1367">
        <v>78.01109314</v>
      </c>
      <c r="E1367">
        <v>50</v>
      </c>
      <c r="F1367">
        <v>49.924350738999998</v>
      </c>
      <c r="G1367">
        <v>1327.0524902</v>
      </c>
      <c r="H1367">
        <v>1324.6365966999999</v>
      </c>
      <c r="I1367">
        <v>1344.4759521000001</v>
      </c>
      <c r="J1367">
        <v>1339.5577393000001</v>
      </c>
      <c r="K1367">
        <v>0</v>
      </c>
      <c r="L1367">
        <v>550</v>
      </c>
      <c r="M1367">
        <v>550</v>
      </c>
      <c r="N1367">
        <v>0</v>
      </c>
    </row>
    <row r="1368" spans="1:14" x14ac:dyDescent="0.25">
      <c r="A1368">
        <v>1670.0531590000001</v>
      </c>
      <c r="B1368" s="1">
        <f>DATE(2014,11,26) + TIME(1,16,32)</f>
        <v>41969.053148148145</v>
      </c>
      <c r="C1368">
        <v>80</v>
      </c>
      <c r="D1368">
        <v>77.929161071999999</v>
      </c>
      <c r="E1368">
        <v>50</v>
      </c>
      <c r="F1368">
        <v>49.922531128000003</v>
      </c>
      <c r="G1368">
        <v>1327.0197754000001</v>
      </c>
      <c r="H1368">
        <v>1324.5914307</v>
      </c>
      <c r="I1368">
        <v>1344.4725341999999</v>
      </c>
      <c r="J1368">
        <v>1339.5548096</v>
      </c>
      <c r="K1368">
        <v>0</v>
      </c>
      <c r="L1368">
        <v>550</v>
      </c>
      <c r="M1368">
        <v>550</v>
      </c>
      <c r="N1368">
        <v>0</v>
      </c>
    </row>
    <row r="1369" spans="1:14" x14ac:dyDescent="0.25">
      <c r="A1369">
        <v>1671.3965720000001</v>
      </c>
      <c r="B1369" s="1">
        <f>DATE(2014,11,27) + TIME(9,31,3)</f>
        <v>41970.396562499998</v>
      </c>
      <c r="C1369">
        <v>80</v>
      </c>
      <c r="D1369">
        <v>77.845329285000005</v>
      </c>
      <c r="E1369">
        <v>50</v>
      </c>
      <c r="F1369">
        <v>49.921138763000002</v>
      </c>
      <c r="G1369">
        <v>1326.9858397999999</v>
      </c>
      <c r="H1369">
        <v>1324.5446777</v>
      </c>
      <c r="I1369">
        <v>1344.4692382999999</v>
      </c>
      <c r="J1369">
        <v>1339.5520019999999</v>
      </c>
      <c r="K1369">
        <v>0</v>
      </c>
      <c r="L1369">
        <v>550</v>
      </c>
      <c r="M1369">
        <v>550</v>
      </c>
      <c r="N1369">
        <v>0</v>
      </c>
    </row>
    <row r="1370" spans="1:14" x14ac:dyDescent="0.25">
      <c r="A1370">
        <v>1672.792148</v>
      </c>
      <c r="B1370" s="1">
        <f>DATE(2014,11,28) + TIME(19,0,41)</f>
        <v>41971.792141203703</v>
      </c>
      <c r="C1370">
        <v>80</v>
      </c>
      <c r="D1370">
        <v>77.759468079000001</v>
      </c>
      <c r="E1370">
        <v>50</v>
      </c>
      <c r="F1370">
        <v>49.920082092000001</v>
      </c>
      <c r="G1370">
        <v>1326.9506836</v>
      </c>
      <c r="H1370">
        <v>1324.4962158000001</v>
      </c>
      <c r="I1370">
        <v>1344.4660644999999</v>
      </c>
      <c r="J1370">
        <v>1339.5491943</v>
      </c>
      <c r="K1370">
        <v>0</v>
      </c>
      <c r="L1370">
        <v>550</v>
      </c>
      <c r="M1370">
        <v>550</v>
      </c>
      <c r="N1370">
        <v>0</v>
      </c>
    </row>
    <row r="1371" spans="1:14" x14ac:dyDescent="0.25">
      <c r="A1371">
        <v>1674.2435330000001</v>
      </c>
      <c r="B1371" s="1">
        <f>DATE(2014,11,30) + TIME(5,50,41)</f>
        <v>41973.243530092594</v>
      </c>
      <c r="C1371">
        <v>80</v>
      </c>
      <c r="D1371">
        <v>77.671447753999999</v>
      </c>
      <c r="E1371">
        <v>50</v>
      </c>
      <c r="F1371">
        <v>49.919284820999998</v>
      </c>
      <c r="G1371">
        <v>1326.9140625</v>
      </c>
      <c r="H1371">
        <v>1324.4456786999999</v>
      </c>
      <c r="I1371">
        <v>1344.4631348</v>
      </c>
      <c r="J1371">
        <v>1339.5465088000001</v>
      </c>
      <c r="K1371">
        <v>0</v>
      </c>
      <c r="L1371">
        <v>550</v>
      </c>
      <c r="M1371">
        <v>550</v>
      </c>
      <c r="N1371">
        <v>0</v>
      </c>
    </row>
    <row r="1372" spans="1:14" x14ac:dyDescent="0.25">
      <c r="A1372">
        <v>1675</v>
      </c>
      <c r="B1372" s="1">
        <f>DATE(2014,12,1) + TIME(0,0,0)</f>
        <v>41974</v>
      </c>
      <c r="C1372">
        <v>80</v>
      </c>
      <c r="D1372">
        <v>77.619392395000006</v>
      </c>
      <c r="E1372">
        <v>50</v>
      </c>
      <c r="F1372">
        <v>49.918941498000002</v>
      </c>
      <c r="G1372">
        <v>1326.8789062000001</v>
      </c>
      <c r="H1372">
        <v>1324.3985596</v>
      </c>
      <c r="I1372">
        <v>1344.4600829999999</v>
      </c>
      <c r="J1372">
        <v>1339.5437012</v>
      </c>
      <c r="K1372">
        <v>0</v>
      </c>
      <c r="L1372">
        <v>550</v>
      </c>
      <c r="M1372">
        <v>550</v>
      </c>
      <c r="N1372">
        <v>0</v>
      </c>
    </row>
    <row r="1373" spans="1:14" x14ac:dyDescent="0.25">
      <c r="A1373">
        <v>1676.511655</v>
      </c>
      <c r="B1373" s="1">
        <f>DATE(2014,12,2) + TIME(12,16,47)</f>
        <v>41975.511655092596</v>
      </c>
      <c r="C1373">
        <v>80</v>
      </c>
      <c r="D1373">
        <v>77.530998229999994</v>
      </c>
      <c r="E1373">
        <v>50</v>
      </c>
      <c r="F1373">
        <v>49.918441772000001</v>
      </c>
      <c r="G1373">
        <v>1326.8548584</v>
      </c>
      <c r="H1373">
        <v>1324.3635254000001</v>
      </c>
      <c r="I1373">
        <v>1344.4589844</v>
      </c>
      <c r="J1373">
        <v>1339.5424805</v>
      </c>
      <c r="K1373">
        <v>0</v>
      </c>
      <c r="L1373">
        <v>550</v>
      </c>
      <c r="M1373">
        <v>550</v>
      </c>
      <c r="N1373">
        <v>0</v>
      </c>
    </row>
    <row r="1374" spans="1:14" x14ac:dyDescent="0.25">
      <c r="A1374">
        <v>1678.1238989999999</v>
      </c>
      <c r="B1374" s="1">
        <f>DATE(2014,12,4) + TIME(2,58,24)</f>
        <v>41977.123888888891</v>
      </c>
      <c r="C1374">
        <v>80</v>
      </c>
      <c r="D1374">
        <v>77.438278198000006</v>
      </c>
      <c r="E1374">
        <v>50</v>
      </c>
      <c r="F1374">
        <v>49.918064117</v>
      </c>
      <c r="G1374">
        <v>1326.8155518000001</v>
      </c>
      <c r="H1374">
        <v>1324.3092041</v>
      </c>
      <c r="I1374">
        <v>1344.4564209</v>
      </c>
      <c r="J1374">
        <v>1339.5400391000001</v>
      </c>
      <c r="K1374">
        <v>0</v>
      </c>
      <c r="L1374">
        <v>550</v>
      </c>
      <c r="M1374">
        <v>550</v>
      </c>
      <c r="N1374">
        <v>0</v>
      </c>
    </row>
    <row r="1375" spans="1:14" x14ac:dyDescent="0.25">
      <c r="A1375">
        <v>1679.8082079999999</v>
      </c>
      <c r="B1375" s="1">
        <f>DATE(2014,12,5) + TIME(19,23,49)</f>
        <v>41978.808206018519</v>
      </c>
      <c r="C1375">
        <v>80</v>
      </c>
      <c r="D1375">
        <v>77.342422485</v>
      </c>
      <c r="E1375">
        <v>50</v>
      </c>
      <c r="F1375">
        <v>49.917789458999998</v>
      </c>
      <c r="G1375">
        <v>1326.7736815999999</v>
      </c>
      <c r="H1375">
        <v>1324.2514647999999</v>
      </c>
      <c r="I1375">
        <v>1344.4538574000001</v>
      </c>
      <c r="J1375">
        <v>1339.5374756000001</v>
      </c>
      <c r="K1375">
        <v>0</v>
      </c>
      <c r="L1375">
        <v>550</v>
      </c>
      <c r="M1375">
        <v>550</v>
      </c>
      <c r="N1375">
        <v>0</v>
      </c>
    </row>
    <row r="1376" spans="1:14" x14ac:dyDescent="0.25">
      <c r="A1376">
        <v>1681.5722000000001</v>
      </c>
      <c r="B1376" s="1">
        <f>DATE(2014,12,7) + TIME(13,43,58)</f>
        <v>41980.572199074071</v>
      </c>
      <c r="C1376">
        <v>80</v>
      </c>
      <c r="D1376">
        <v>77.243225097999996</v>
      </c>
      <c r="E1376">
        <v>50</v>
      </c>
      <c r="F1376">
        <v>49.917598724000001</v>
      </c>
      <c r="G1376">
        <v>1326.7298584</v>
      </c>
      <c r="H1376">
        <v>1324.190918</v>
      </c>
      <c r="I1376">
        <v>1344.4514160000001</v>
      </c>
      <c r="J1376">
        <v>1339.5350341999999</v>
      </c>
      <c r="K1376">
        <v>0</v>
      </c>
      <c r="L1376">
        <v>550</v>
      </c>
      <c r="M1376">
        <v>550</v>
      </c>
      <c r="N1376">
        <v>0</v>
      </c>
    </row>
    <row r="1377" spans="1:14" x14ac:dyDescent="0.25">
      <c r="A1377">
        <v>1683.3864819999999</v>
      </c>
      <c r="B1377" s="1">
        <f>DATE(2014,12,9) + TIME(9,16,32)</f>
        <v>41982.386481481481</v>
      </c>
      <c r="C1377">
        <v>80</v>
      </c>
      <c r="D1377">
        <v>77.141906738000003</v>
      </c>
      <c r="E1377">
        <v>50</v>
      </c>
      <c r="F1377">
        <v>49.917469025000003</v>
      </c>
      <c r="G1377">
        <v>1326.684082</v>
      </c>
      <c r="H1377">
        <v>1324.1275635</v>
      </c>
      <c r="I1377">
        <v>1344.4490966999999</v>
      </c>
      <c r="J1377">
        <v>1339.5325928</v>
      </c>
      <c r="K1377">
        <v>0</v>
      </c>
      <c r="L1377">
        <v>550</v>
      </c>
      <c r="M1377">
        <v>550</v>
      </c>
      <c r="N1377">
        <v>0</v>
      </c>
    </row>
    <row r="1378" spans="1:14" x14ac:dyDescent="0.25">
      <c r="A1378">
        <v>1685.2532920000001</v>
      </c>
      <c r="B1378" s="1">
        <f>DATE(2014,12,11) + TIME(6,4,44)</f>
        <v>41984.253287037034</v>
      </c>
      <c r="C1378">
        <v>80</v>
      </c>
      <c r="D1378">
        <v>77.038551330999994</v>
      </c>
      <c r="E1378">
        <v>50</v>
      </c>
      <c r="F1378">
        <v>49.917388916</v>
      </c>
      <c r="G1378">
        <v>1326.6367187999999</v>
      </c>
      <c r="H1378">
        <v>1324.0621338000001</v>
      </c>
      <c r="I1378">
        <v>1344.4470214999999</v>
      </c>
      <c r="J1378">
        <v>1339.5301514</v>
      </c>
      <c r="K1378">
        <v>0</v>
      </c>
      <c r="L1378">
        <v>550</v>
      </c>
      <c r="M1378">
        <v>550</v>
      </c>
      <c r="N1378">
        <v>0</v>
      </c>
    </row>
    <row r="1379" spans="1:14" x14ac:dyDescent="0.25">
      <c r="A1379">
        <v>1687.1770730000001</v>
      </c>
      <c r="B1379" s="1">
        <f>DATE(2014,12,13) + TIME(4,14,59)</f>
        <v>41986.177071759259</v>
      </c>
      <c r="C1379">
        <v>80</v>
      </c>
      <c r="D1379">
        <v>76.933135985999996</v>
      </c>
      <c r="E1379">
        <v>50</v>
      </c>
      <c r="F1379">
        <v>49.917346954000003</v>
      </c>
      <c r="G1379">
        <v>1326.5880127</v>
      </c>
      <c r="H1379">
        <v>1323.9945068</v>
      </c>
      <c r="I1379">
        <v>1344.4449463000001</v>
      </c>
      <c r="J1379">
        <v>1339.527832</v>
      </c>
      <c r="K1379">
        <v>0</v>
      </c>
      <c r="L1379">
        <v>550</v>
      </c>
      <c r="M1379">
        <v>550</v>
      </c>
      <c r="N1379">
        <v>0</v>
      </c>
    </row>
    <row r="1380" spans="1:14" x14ac:dyDescent="0.25">
      <c r="A1380">
        <v>1689.162525</v>
      </c>
      <c r="B1380" s="1">
        <f>DATE(2014,12,15) + TIME(3,54,2)</f>
        <v>41988.162523148145</v>
      </c>
      <c r="C1380">
        <v>80</v>
      </c>
      <c r="D1380">
        <v>76.825553893999995</v>
      </c>
      <c r="E1380">
        <v>50</v>
      </c>
      <c r="F1380">
        <v>49.917331695999998</v>
      </c>
      <c r="G1380">
        <v>1326.5377197</v>
      </c>
      <c r="H1380">
        <v>1323.9248047000001</v>
      </c>
      <c r="I1380">
        <v>1344.4431152</v>
      </c>
      <c r="J1380">
        <v>1339.5256348</v>
      </c>
      <c r="K1380">
        <v>0</v>
      </c>
      <c r="L1380">
        <v>550</v>
      </c>
      <c r="M1380">
        <v>550</v>
      </c>
      <c r="N1380">
        <v>0</v>
      </c>
    </row>
    <row r="1381" spans="1:14" x14ac:dyDescent="0.25">
      <c r="A1381">
        <v>1691.214706</v>
      </c>
      <c r="B1381" s="1">
        <f>DATE(2014,12,17) + TIME(5,9,10)</f>
        <v>41990.214699074073</v>
      </c>
      <c r="C1381">
        <v>80</v>
      </c>
      <c r="D1381">
        <v>76.715660095000004</v>
      </c>
      <c r="E1381">
        <v>50</v>
      </c>
      <c r="F1381">
        <v>49.91734314</v>
      </c>
      <c r="G1381">
        <v>1326.4858397999999</v>
      </c>
      <c r="H1381">
        <v>1323.8527832</v>
      </c>
      <c r="I1381">
        <v>1344.4412841999999</v>
      </c>
      <c r="J1381">
        <v>1339.5234375</v>
      </c>
      <c r="K1381">
        <v>0</v>
      </c>
      <c r="L1381">
        <v>550</v>
      </c>
      <c r="M1381">
        <v>550</v>
      </c>
      <c r="N1381">
        <v>0</v>
      </c>
    </row>
    <row r="1382" spans="1:14" x14ac:dyDescent="0.25">
      <c r="A1382">
        <v>1693.3390469999999</v>
      </c>
      <c r="B1382" s="1">
        <f>DATE(2014,12,19) + TIME(8,8,13)</f>
        <v>41992.339039351849</v>
      </c>
      <c r="C1382">
        <v>80</v>
      </c>
      <c r="D1382">
        <v>76.603248596</v>
      </c>
      <c r="E1382">
        <v>50</v>
      </c>
      <c r="F1382">
        <v>49.917369843000003</v>
      </c>
      <c r="G1382">
        <v>1326.432251</v>
      </c>
      <c r="H1382">
        <v>1323.7783202999999</v>
      </c>
      <c r="I1382">
        <v>1344.4395752</v>
      </c>
      <c r="J1382">
        <v>1339.5213623</v>
      </c>
      <c r="K1382">
        <v>0</v>
      </c>
      <c r="L1382">
        <v>550</v>
      </c>
      <c r="M1382">
        <v>550</v>
      </c>
      <c r="N1382">
        <v>0</v>
      </c>
    </row>
    <row r="1383" spans="1:14" x14ac:dyDescent="0.25">
      <c r="A1383">
        <v>1695.541444</v>
      </c>
      <c r="B1383" s="1">
        <f>DATE(2014,12,21) + TIME(12,59,40)</f>
        <v>41994.541435185187</v>
      </c>
      <c r="C1383">
        <v>80</v>
      </c>
      <c r="D1383">
        <v>76.488090514999996</v>
      </c>
      <c r="E1383">
        <v>50</v>
      </c>
      <c r="F1383">
        <v>49.917415619000003</v>
      </c>
      <c r="G1383">
        <v>1326.3768310999999</v>
      </c>
      <c r="H1383">
        <v>1323.7012939000001</v>
      </c>
      <c r="I1383">
        <v>1344.4379882999999</v>
      </c>
      <c r="J1383">
        <v>1339.5192870999999</v>
      </c>
      <c r="K1383">
        <v>0</v>
      </c>
      <c r="L1383">
        <v>550</v>
      </c>
      <c r="M1383">
        <v>550</v>
      </c>
      <c r="N1383">
        <v>0</v>
      </c>
    </row>
    <row r="1384" spans="1:14" x14ac:dyDescent="0.25">
      <c r="A1384">
        <v>1697.8278869999999</v>
      </c>
      <c r="B1384" s="1">
        <f>DATE(2014,12,23) + TIME(19,52,9)</f>
        <v>41996.827881944446</v>
      </c>
      <c r="C1384">
        <v>80</v>
      </c>
      <c r="D1384">
        <v>76.369903563999998</v>
      </c>
      <c r="E1384">
        <v>50</v>
      </c>
      <c r="F1384">
        <v>49.917469025000003</v>
      </c>
      <c r="G1384">
        <v>1326.3194579999999</v>
      </c>
      <c r="H1384">
        <v>1323.6214600000001</v>
      </c>
      <c r="I1384">
        <v>1344.4365233999999</v>
      </c>
      <c r="J1384">
        <v>1339.5173339999999</v>
      </c>
      <c r="K1384">
        <v>0</v>
      </c>
      <c r="L1384">
        <v>550</v>
      </c>
      <c r="M1384">
        <v>550</v>
      </c>
      <c r="N1384">
        <v>0</v>
      </c>
    </row>
    <row r="1385" spans="1:14" x14ac:dyDescent="0.25">
      <c r="A1385">
        <v>1700.205111</v>
      </c>
      <c r="B1385" s="1">
        <f>DATE(2014,12,26) + TIME(4,55,21)</f>
        <v>41999.205104166664</v>
      </c>
      <c r="C1385">
        <v>80</v>
      </c>
      <c r="D1385">
        <v>76.248359679999993</v>
      </c>
      <c r="E1385">
        <v>50</v>
      </c>
      <c r="F1385">
        <v>49.917537689</v>
      </c>
      <c r="G1385">
        <v>1326.2600098</v>
      </c>
      <c r="H1385">
        <v>1323.5386963000001</v>
      </c>
      <c r="I1385">
        <v>1344.4350586</v>
      </c>
      <c r="J1385">
        <v>1339.5153809000001</v>
      </c>
      <c r="K1385">
        <v>0</v>
      </c>
      <c r="L1385">
        <v>550</v>
      </c>
      <c r="M1385">
        <v>550</v>
      </c>
      <c r="N1385">
        <v>0</v>
      </c>
    </row>
    <row r="1386" spans="1:14" x14ac:dyDescent="0.25">
      <c r="A1386">
        <v>1702.6812990000001</v>
      </c>
      <c r="B1386" s="1">
        <f>DATE(2014,12,28) + TIME(16,21,4)</f>
        <v>42001.681296296294</v>
      </c>
      <c r="C1386">
        <v>80</v>
      </c>
      <c r="D1386">
        <v>76.123069763000004</v>
      </c>
      <c r="E1386">
        <v>50</v>
      </c>
      <c r="F1386">
        <v>49.917610168000003</v>
      </c>
      <c r="G1386">
        <v>1326.1982422000001</v>
      </c>
      <c r="H1386">
        <v>1323.4527588000001</v>
      </c>
      <c r="I1386">
        <v>1344.4337158000001</v>
      </c>
      <c r="J1386">
        <v>1339.5134277</v>
      </c>
      <c r="K1386">
        <v>0</v>
      </c>
      <c r="L1386">
        <v>550</v>
      </c>
      <c r="M1386">
        <v>550</v>
      </c>
      <c r="N1386">
        <v>0</v>
      </c>
    </row>
    <row r="1387" spans="1:14" x14ac:dyDescent="0.25">
      <c r="A1387">
        <v>1705.2649200000001</v>
      </c>
      <c r="B1387" s="1">
        <f>DATE(2014,12,31) + TIME(6,21,29)</f>
        <v>42004.264918981484</v>
      </c>
      <c r="C1387">
        <v>80</v>
      </c>
      <c r="D1387">
        <v>75.993568420000003</v>
      </c>
      <c r="E1387">
        <v>50</v>
      </c>
      <c r="F1387">
        <v>49.917694091999998</v>
      </c>
      <c r="G1387">
        <v>1326.1341553</v>
      </c>
      <c r="H1387">
        <v>1323.3634033000001</v>
      </c>
      <c r="I1387">
        <v>1344.4324951000001</v>
      </c>
      <c r="J1387">
        <v>1339.5115966999999</v>
      </c>
      <c r="K1387">
        <v>0</v>
      </c>
      <c r="L1387">
        <v>550</v>
      </c>
      <c r="M1387">
        <v>550</v>
      </c>
      <c r="N1387">
        <v>0</v>
      </c>
    </row>
    <row r="1388" spans="1:14" x14ac:dyDescent="0.25">
      <c r="A1388">
        <v>1706</v>
      </c>
      <c r="B1388" s="1">
        <f>DATE(2015,1,1) + TIME(0,0,0)</f>
        <v>42005</v>
      </c>
      <c r="C1388">
        <v>80</v>
      </c>
      <c r="D1388">
        <v>75.941467285000002</v>
      </c>
      <c r="E1388">
        <v>50</v>
      </c>
      <c r="F1388">
        <v>49.917716980000002</v>
      </c>
      <c r="G1388">
        <v>1326.0744629000001</v>
      </c>
      <c r="H1388">
        <v>1323.2843018000001</v>
      </c>
      <c r="I1388">
        <v>1344.4305420000001</v>
      </c>
      <c r="J1388">
        <v>1339.5093993999999</v>
      </c>
      <c r="K1388">
        <v>0</v>
      </c>
      <c r="L1388">
        <v>550</v>
      </c>
      <c r="M1388">
        <v>550</v>
      </c>
      <c r="N1388">
        <v>0</v>
      </c>
    </row>
    <row r="1389" spans="1:14" x14ac:dyDescent="0.25">
      <c r="A1389">
        <v>1708.6828700000001</v>
      </c>
      <c r="B1389" s="1">
        <f>DATE(2015,1,3) + TIME(16,23,20)</f>
        <v>42007.682870370372</v>
      </c>
      <c r="C1389">
        <v>80</v>
      </c>
      <c r="D1389">
        <v>75.813667296999995</v>
      </c>
      <c r="E1389">
        <v>50</v>
      </c>
      <c r="F1389">
        <v>49.917808532999999</v>
      </c>
      <c r="G1389">
        <v>1326.0449219</v>
      </c>
      <c r="H1389">
        <v>1323.2379149999999</v>
      </c>
      <c r="I1389">
        <v>1344.4310303</v>
      </c>
      <c r="J1389">
        <v>1339.5092772999999</v>
      </c>
      <c r="K1389">
        <v>0</v>
      </c>
      <c r="L1389">
        <v>550</v>
      </c>
      <c r="M1389">
        <v>550</v>
      </c>
      <c r="N1389">
        <v>0</v>
      </c>
    </row>
    <row r="1390" spans="1:14" x14ac:dyDescent="0.25">
      <c r="A1390">
        <v>1711.465301</v>
      </c>
      <c r="B1390" s="1">
        <f>DATE(2015,1,6) + TIME(11,10,1)</f>
        <v>42010.465289351851</v>
      </c>
      <c r="C1390">
        <v>80</v>
      </c>
      <c r="D1390">
        <v>75.679130553999997</v>
      </c>
      <c r="E1390">
        <v>50</v>
      </c>
      <c r="F1390">
        <v>49.917900084999999</v>
      </c>
      <c r="G1390">
        <v>1325.9774170000001</v>
      </c>
      <c r="H1390">
        <v>1323.1441649999999</v>
      </c>
      <c r="I1390">
        <v>1344.4298096</v>
      </c>
      <c r="J1390">
        <v>1339.5075684000001</v>
      </c>
      <c r="K1390">
        <v>0</v>
      </c>
      <c r="L1390">
        <v>550</v>
      </c>
      <c r="M1390">
        <v>550</v>
      </c>
      <c r="N1390">
        <v>0</v>
      </c>
    </row>
    <row r="1391" spans="1:14" x14ac:dyDescent="0.25">
      <c r="A1391">
        <v>1714.334165</v>
      </c>
      <c r="B1391" s="1">
        <f>DATE(2015,1,9) + TIME(8,1,11)</f>
        <v>42013.334155092591</v>
      </c>
      <c r="C1391">
        <v>80</v>
      </c>
      <c r="D1391">
        <v>75.538902282999999</v>
      </c>
      <c r="E1391">
        <v>50</v>
      </c>
      <c r="F1391">
        <v>49.917995453000003</v>
      </c>
      <c r="G1391">
        <v>1325.9068603999999</v>
      </c>
      <c r="H1391">
        <v>1323.0457764</v>
      </c>
      <c r="I1391">
        <v>1344.4287108999999</v>
      </c>
      <c r="J1391">
        <v>1339.5058594</v>
      </c>
      <c r="K1391">
        <v>0</v>
      </c>
      <c r="L1391">
        <v>550</v>
      </c>
      <c r="M1391">
        <v>550</v>
      </c>
      <c r="N1391">
        <v>0</v>
      </c>
    </row>
    <row r="1392" spans="1:14" x14ac:dyDescent="0.25">
      <c r="A1392">
        <v>1717.297814</v>
      </c>
      <c r="B1392" s="1">
        <f>DATE(2015,1,12) + TIME(7,8,51)</f>
        <v>42016.297812500001</v>
      </c>
      <c r="C1392">
        <v>80</v>
      </c>
      <c r="D1392">
        <v>75.393188476999995</v>
      </c>
      <c r="E1392">
        <v>50</v>
      </c>
      <c r="F1392">
        <v>49.918098450000002</v>
      </c>
      <c r="G1392">
        <v>1325.8338623</v>
      </c>
      <c r="H1392">
        <v>1322.9438477000001</v>
      </c>
      <c r="I1392">
        <v>1344.4276123</v>
      </c>
      <c r="J1392">
        <v>1339.5042725000001</v>
      </c>
      <c r="K1392">
        <v>0</v>
      </c>
      <c r="L1392">
        <v>550</v>
      </c>
      <c r="M1392">
        <v>550</v>
      </c>
      <c r="N1392">
        <v>0</v>
      </c>
    </row>
    <row r="1393" spans="1:14" x14ac:dyDescent="0.25">
      <c r="A1393">
        <v>1720.364509</v>
      </c>
      <c r="B1393" s="1">
        <f>DATE(2015,1,15) + TIME(8,44,53)</f>
        <v>42019.364502314813</v>
      </c>
      <c r="C1393">
        <v>80</v>
      </c>
      <c r="D1393">
        <v>75.241821289000001</v>
      </c>
      <c r="E1393">
        <v>50</v>
      </c>
      <c r="F1393">
        <v>49.918201447000001</v>
      </c>
      <c r="G1393">
        <v>1325.7584228999999</v>
      </c>
      <c r="H1393">
        <v>1322.8382568</v>
      </c>
      <c r="I1393">
        <v>1344.4266356999999</v>
      </c>
      <c r="J1393">
        <v>1339.5026855000001</v>
      </c>
      <c r="K1393">
        <v>0</v>
      </c>
      <c r="L1393">
        <v>550</v>
      </c>
      <c r="M1393">
        <v>550</v>
      </c>
      <c r="N1393">
        <v>0</v>
      </c>
    </row>
    <row r="1394" spans="1:14" x14ac:dyDescent="0.25">
      <c r="A1394">
        <v>1723.5434069999999</v>
      </c>
      <c r="B1394" s="1">
        <f>DATE(2015,1,18) + TIME(13,2,30)</f>
        <v>42022.543402777781</v>
      </c>
      <c r="C1394">
        <v>80</v>
      </c>
      <c r="D1394">
        <v>75.084358214999995</v>
      </c>
      <c r="E1394">
        <v>50</v>
      </c>
      <c r="F1394">
        <v>49.918304442999997</v>
      </c>
      <c r="G1394">
        <v>1325.6805420000001</v>
      </c>
      <c r="H1394">
        <v>1322.729126</v>
      </c>
      <c r="I1394">
        <v>1344.4255370999999</v>
      </c>
      <c r="J1394">
        <v>1339.5010986</v>
      </c>
      <c r="K1394">
        <v>0</v>
      </c>
      <c r="L1394">
        <v>550</v>
      </c>
      <c r="M1394">
        <v>550</v>
      </c>
      <c r="N1394">
        <v>0</v>
      </c>
    </row>
    <row r="1395" spans="1:14" x14ac:dyDescent="0.25">
      <c r="A1395">
        <v>1726.844304</v>
      </c>
      <c r="B1395" s="1">
        <f>DATE(2015,1,21) + TIME(20,15,47)</f>
        <v>42025.844293981485</v>
      </c>
      <c r="C1395">
        <v>80</v>
      </c>
      <c r="D1395">
        <v>74.920021057</v>
      </c>
      <c r="E1395">
        <v>50</v>
      </c>
      <c r="F1395">
        <v>49.918415070000002</v>
      </c>
      <c r="G1395">
        <v>1325.6002197</v>
      </c>
      <c r="H1395">
        <v>1322.6163329999999</v>
      </c>
      <c r="I1395">
        <v>1344.4245605000001</v>
      </c>
      <c r="J1395">
        <v>1339.4996338000001</v>
      </c>
      <c r="K1395">
        <v>0</v>
      </c>
      <c r="L1395">
        <v>550</v>
      </c>
      <c r="M1395">
        <v>550</v>
      </c>
      <c r="N1395">
        <v>0</v>
      </c>
    </row>
    <row r="1396" spans="1:14" x14ac:dyDescent="0.25">
      <c r="A1396">
        <v>1730.2767630000001</v>
      </c>
      <c r="B1396" s="1">
        <f>DATE(2015,1,25) + TIME(6,38,32)</f>
        <v>42029.276759259257</v>
      </c>
      <c r="C1396">
        <v>80</v>
      </c>
      <c r="D1396">
        <v>74.747917174999998</v>
      </c>
      <c r="E1396">
        <v>50</v>
      </c>
      <c r="F1396">
        <v>49.918525696000003</v>
      </c>
      <c r="G1396">
        <v>1325.5170897999999</v>
      </c>
      <c r="H1396">
        <v>1322.4996338000001</v>
      </c>
      <c r="I1396">
        <v>1344.4234618999999</v>
      </c>
      <c r="J1396">
        <v>1339.4982910000001</v>
      </c>
      <c r="K1396">
        <v>0</v>
      </c>
      <c r="L1396">
        <v>550</v>
      </c>
      <c r="M1396">
        <v>550</v>
      </c>
      <c r="N1396">
        <v>0</v>
      </c>
    </row>
    <row r="1397" spans="1:14" x14ac:dyDescent="0.25">
      <c r="A1397">
        <v>1733.8530189999999</v>
      </c>
      <c r="B1397" s="1">
        <f>DATE(2015,1,28) + TIME(20,28,20)</f>
        <v>42032.853009259263</v>
      </c>
      <c r="C1397">
        <v>80</v>
      </c>
      <c r="D1397">
        <v>74.567062378000003</v>
      </c>
      <c r="E1397">
        <v>50</v>
      </c>
      <c r="F1397">
        <v>49.918640136999997</v>
      </c>
      <c r="G1397">
        <v>1325.4312743999999</v>
      </c>
      <c r="H1397">
        <v>1322.3787841999999</v>
      </c>
      <c r="I1397">
        <v>1344.4224853999999</v>
      </c>
      <c r="J1397">
        <v>1339.4968262</v>
      </c>
      <c r="K1397">
        <v>0</v>
      </c>
      <c r="L1397">
        <v>550</v>
      </c>
      <c r="M1397">
        <v>550</v>
      </c>
      <c r="N1397">
        <v>0</v>
      </c>
    </row>
    <row r="1398" spans="1:14" x14ac:dyDescent="0.25">
      <c r="A1398">
        <v>1737</v>
      </c>
      <c r="B1398" s="1">
        <f>DATE(2015,2,1) + TIME(0,0,0)</f>
        <v>42036</v>
      </c>
      <c r="C1398">
        <v>80</v>
      </c>
      <c r="D1398">
        <v>74.392265320000007</v>
      </c>
      <c r="E1398">
        <v>50</v>
      </c>
      <c r="F1398">
        <v>49.918739318999997</v>
      </c>
      <c r="G1398">
        <v>1325.3435059000001</v>
      </c>
      <c r="H1398">
        <v>1322.2561035000001</v>
      </c>
      <c r="I1398">
        <v>1344.4212646000001</v>
      </c>
      <c r="J1398">
        <v>1339.4953613</v>
      </c>
      <c r="K1398">
        <v>0</v>
      </c>
      <c r="L1398">
        <v>550</v>
      </c>
      <c r="M1398">
        <v>550</v>
      </c>
      <c r="N1398">
        <v>0</v>
      </c>
    </row>
    <row r="1399" spans="1:14" x14ac:dyDescent="0.25">
      <c r="A1399">
        <v>1740.694667</v>
      </c>
      <c r="B1399" s="1">
        <f>DATE(2015,2,4) + TIME(16,40,19)</f>
        <v>42039.694664351853</v>
      </c>
      <c r="C1399">
        <v>80</v>
      </c>
      <c r="D1399">
        <v>74.203468322999996</v>
      </c>
      <c r="E1399">
        <v>50</v>
      </c>
      <c r="F1399">
        <v>49.918853759999998</v>
      </c>
      <c r="G1399">
        <v>1325.262207</v>
      </c>
      <c r="H1399">
        <v>1322.1397704999999</v>
      </c>
      <c r="I1399">
        <v>1344.4204102000001</v>
      </c>
      <c r="J1399">
        <v>1339.4942627</v>
      </c>
      <c r="K1399">
        <v>0</v>
      </c>
      <c r="L1399">
        <v>550</v>
      </c>
      <c r="M1399">
        <v>550</v>
      </c>
      <c r="N1399">
        <v>0</v>
      </c>
    </row>
    <row r="1400" spans="1:14" x14ac:dyDescent="0.25">
      <c r="A1400">
        <v>1744.619197</v>
      </c>
      <c r="B1400" s="1">
        <f>DATE(2015,2,8) + TIME(14,51,38)</f>
        <v>42043.619189814817</v>
      </c>
      <c r="C1400">
        <v>80</v>
      </c>
      <c r="D1400">
        <v>73.999992371000005</v>
      </c>
      <c r="E1400">
        <v>50</v>
      </c>
      <c r="F1400">
        <v>49.918972015000001</v>
      </c>
      <c r="G1400">
        <v>1325.1721190999999</v>
      </c>
      <c r="H1400">
        <v>1322.0125731999999</v>
      </c>
      <c r="I1400">
        <v>1344.4191894999999</v>
      </c>
      <c r="J1400">
        <v>1339.4930420000001</v>
      </c>
      <c r="K1400">
        <v>0</v>
      </c>
      <c r="L1400">
        <v>550</v>
      </c>
      <c r="M1400">
        <v>550</v>
      </c>
      <c r="N1400">
        <v>0</v>
      </c>
    </row>
    <row r="1401" spans="1:14" x14ac:dyDescent="0.25">
      <c r="A1401">
        <v>1748.6704360000001</v>
      </c>
      <c r="B1401" s="1">
        <f>DATE(2015,2,12) + TIME(16,5,25)</f>
        <v>42047.670428240737</v>
      </c>
      <c r="C1401">
        <v>80</v>
      </c>
      <c r="D1401">
        <v>73.782745360999996</v>
      </c>
      <c r="E1401">
        <v>50</v>
      </c>
      <c r="F1401">
        <v>49.919090271000002</v>
      </c>
      <c r="G1401">
        <v>1325.0773925999999</v>
      </c>
      <c r="H1401">
        <v>1321.8789062000001</v>
      </c>
      <c r="I1401">
        <v>1344.4178466999999</v>
      </c>
      <c r="J1401">
        <v>1339.4918213000001</v>
      </c>
      <c r="K1401">
        <v>0</v>
      </c>
      <c r="L1401">
        <v>550</v>
      </c>
      <c r="M1401">
        <v>550</v>
      </c>
      <c r="N1401">
        <v>0</v>
      </c>
    </row>
    <row r="1402" spans="1:14" x14ac:dyDescent="0.25">
      <c r="A1402">
        <v>1752.868565</v>
      </c>
      <c r="B1402" s="1">
        <f>DATE(2015,2,16) + TIME(20,50,44)</f>
        <v>42051.868564814817</v>
      </c>
      <c r="C1402">
        <v>80</v>
      </c>
      <c r="D1402">
        <v>73.551567078000005</v>
      </c>
      <c r="E1402">
        <v>50</v>
      </c>
      <c r="F1402">
        <v>49.919212340999998</v>
      </c>
      <c r="G1402">
        <v>1324.9799805</v>
      </c>
      <c r="H1402">
        <v>1321.7408447</v>
      </c>
      <c r="I1402">
        <v>1344.4165039</v>
      </c>
      <c r="J1402">
        <v>1339.4906006000001</v>
      </c>
      <c r="K1402">
        <v>0</v>
      </c>
      <c r="L1402">
        <v>550</v>
      </c>
      <c r="M1402">
        <v>550</v>
      </c>
      <c r="N1402">
        <v>0</v>
      </c>
    </row>
    <row r="1403" spans="1:14" x14ac:dyDescent="0.25">
      <c r="A1403">
        <v>1757.2328910000001</v>
      </c>
      <c r="B1403" s="1">
        <f>DATE(2015,2,21) + TIME(5,35,21)</f>
        <v>42056.232881944445</v>
      </c>
      <c r="C1403">
        <v>80</v>
      </c>
      <c r="D1403">
        <v>73.305244446000003</v>
      </c>
      <c r="E1403">
        <v>50</v>
      </c>
      <c r="F1403">
        <v>49.919334411999998</v>
      </c>
      <c r="G1403">
        <v>1324.8797606999999</v>
      </c>
      <c r="H1403">
        <v>1321.5985106999999</v>
      </c>
      <c r="I1403">
        <v>1344.4150391000001</v>
      </c>
      <c r="J1403">
        <v>1339.4892577999999</v>
      </c>
      <c r="K1403">
        <v>0</v>
      </c>
      <c r="L1403">
        <v>550</v>
      </c>
      <c r="M1403">
        <v>550</v>
      </c>
      <c r="N1403">
        <v>0</v>
      </c>
    </row>
    <row r="1404" spans="1:14" x14ac:dyDescent="0.25">
      <c r="A1404">
        <v>1761.7230179999999</v>
      </c>
      <c r="B1404" s="1">
        <f>DATE(2015,2,25) + TIME(17,21,8)</f>
        <v>42060.723009259258</v>
      </c>
      <c r="C1404">
        <v>80</v>
      </c>
      <c r="D1404">
        <v>73.043457031000003</v>
      </c>
      <c r="E1404">
        <v>50</v>
      </c>
      <c r="F1404">
        <v>49.919460297000001</v>
      </c>
      <c r="G1404">
        <v>1324.7768555</v>
      </c>
      <c r="H1404">
        <v>1321.4520264</v>
      </c>
      <c r="I1404">
        <v>1344.4133300999999</v>
      </c>
      <c r="J1404">
        <v>1339.4880370999999</v>
      </c>
      <c r="K1404">
        <v>0</v>
      </c>
      <c r="L1404">
        <v>550</v>
      </c>
      <c r="M1404">
        <v>550</v>
      </c>
      <c r="N1404">
        <v>0</v>
      </c>
    </row>
    <row r="1405" spans="1:14" x14ac:dyDescent="0.25">
      <c r="A1405">
        <v>1765</v>
      </c>
      <c r="B1405" s="1">
        <f>DATE(2015,3,1) + TIME(0,0,0)</f>
        <v>42064</v>
      </c>
      <c r="C1405">
        <v>80</v>
      </c>
      <c r="D1405">
        <v>72.806838988999999</v>
      </c>
      <c r="E1405">
        <v>50</v>
      </c>
      <c r="F1405">
        <v>49.919544219999999</v>
      </c>
      <c r="G1405">
        <v>1324.6743164</v>
      </c>
      <c r="H1405">
        <v>1321.3082274999999</v>
      </c>
      <c r="I1405">
        <v>1344.4113769999999</v>
      </c>
      <c r="J1405">
        <v>1339.4866943</v>
      </c>
      <c r="K1405">
        <v>0</v>
      </c>
      <c r="L1405">
        <v>550</v>
      </c>
      <c r="M1405">
        <v>550</v>
      </c>
      <c r="N1405">
        <v>0</v>
      </c>
    </row>
    <row r="1406" spans="1:14" x14ac:dyDescent="0.25">
      <c r="A1406">
        <v>1769.5958000000001</v>
      </c>
      <c r="B1406" s="1">
        <f>DATE(2015,3,5) + TIME(14,17,57)</f>
        <v>42068.59579861111</v>
      </c>
      <c r="C1406">
        <v>80</v>
      </c>
      <c r="D1406">
        <v>72.542991638000004</v>
      </c>
      <c r="E1406">
        <v>50</v>
      </c>
      <c r="F1406">
        <v>49.919670105000002</v>
      </c>
      <c r="G1406">
        <v>1324.590332</v>
      </c>
      <c r="H1406">
        <v>1321.1837158000001</v>
      </c>
      <c r="I1406">
        <v>1344.4102783000001</v>
      </c>
      <c r="J1406">
        <v>1339.4858397999999</v>
      </c>
      <c r="K1406">
        <v>0</v>
      </c>
      <c r="L1406">
        <v>550</v>
      </c>
      <c r="M1406">
        <v>550</v>
      </c>
      <c r="N1406">
        <v>0</v>
      </c>
    </row>
    <row r="1407" spans="1:14" x14ac:dyDescent="0.25">
      <c r="A1407">
        <v>1774.5070920000001</v>
      </c>
      <c r="B1407" s="1">
        <f>DATE(2015,3,10) + TIME(12,10,12)</f>
        <v>42073.50708333333</v>
      </c>
      <c r="C1407">
        <v>80</v>
      </c>
      <c r="D1407">
        <v>72.246734618999994</v>
      </c>
      <c r="E1407">
        <v>50</v>
      </c>
      <c r="F1407">
        <v>49.919795989999997</v>
      </c>
      <c r="G1407">
        <v>1324.4882812000001</v>
      </c>
      <c r="H1407">
        <v>1321.0380858999999</v>
      </c>
      <c r="I1407">
        <v>1344.4082031</v>
      </c>
      <c r="J1407">
        <v>1339.4846190999999</v>
      </c>
      <c r="K1407">
        <v>0</v>
      </c>
      <c r="L1407">
        <v>550</v>
      </c>
      <c r="M1407">
        <v>550</v>
      </c>
      <c r="N1407">
        <v>0</v>
      </c>
    </row>
    <row r="1408" spans="1:14" x14ac:dyDescent="0.25">
      <c r="A1408">
        <v>1779.6120020000001</v>
      </c>
      <c r="B1408" s="1">
        <f>DATE(2015,3,15) + TIME(14,41,16)</f>
        <v>42078.611990740741</v>
      </c>
      <c r="C1408">
        <v>80</v>
      </c>
      <c r="D1408">
        <v>71.921493530000006</v>
      </c>
      <c r="E1408">
        <v>50</v>
      </c>
      <c r="F1408">
        <v>49.919921875</v>
      </c>
      <c r="G1408">
        <v>1324.3801269999999</v>
      </c>
      <c r="H1408">
        <v>1320.8833007999999</v>
      </c>
      <c r="I1408">
        <v>1344.4058838000001</v>
      </c>
      <c r="J1408">
        <v>1339.4832764</v>
      </c>
      <c r="K1408">
        <v>0</v>
      </c>
      <c r="L1408">
        <v>550</v>
      </c>
      <c r="M1408">
        <v>550</v>
      </c>
      <c r="N1408">
        <v>0</v>
      </c>
    </row>
    <row r="1409" spans="1:14" x14ac:dyDescent="0.25">
      <c r="A1409">
        <v>1784.8551070000001</v>
      </c>
      <c r="B1409" s="1">
        <f>DATE(2015,3,20) + TIME(20,31,21)</f>
        <v>42083.855104166665</v>
      </c>
      <c r="C1409">
        <v>80</v>
      </c>
      <c r="D1409">
        <v>71.571304321</v>
      </c>
      <c r="E1409">
        <v>50</v>
      </c>
      <c r="F1409">
        <v>49.920051575000002</v>
      </c>
      <c r="G1409">
        <v>1324.2686768000001</v>
      </c>
      <c r="H1409">
        <v>1320.7231445</v>
      </c>
      <c r="I1409">
        <v>1344.4033202999999</v>
      </c>
      <c r="J1409">
        <v>1339.4819336</v>
      </c>
      <c r="K1409">
        <v>0</v>
      </c>
      <c r="L1409">
        <v>550</v>
      </c>
      <c r="M1409">
        <v>550</v>
      </c>
      <c r="N1409">
        <v>0</v>
      </c>
    </row>
    <row r="1410" spans="1:14" x14ac:dyDescent="0.25">
      <c r="A1410">
        <v>1790.265664</v>
      </c>
      <c r="B1410" s="1">
        <f>DATE(2015,3,26) + TIME(6,22,33)</f>
        <v>42089.265659722223</v>
      </c>
      <c r="C1410">
        <v>80</v>
      </c>
      <c r="D1410">
        <v>71.197616577000005</v>
      </c>
      <c r="E1410">
        <v>50</v>
      </c>
      <c r="F1410">
        <v>49.920177459999998</v>
      </c>
      <c r="G1410">
        <v>1324.1557617000001</v>
      </c>
      <c r="H1410">
        <v>1320.5598144999999</v>
      </c>
      <c r="I1410">
        <v>1344.4003906</v>
      </c>
      <c r="J1410">
        <v>1339.4804687999999</v>
      </c>
      <c r="K1410">
        <v>0</v>
      </c>
      <c r="L1410">
        <v>550</v>
      </c>
      <c r="M1410">
        <v>550</v>
      </c>
      <c r="N1410">
        <v>0</v>
      </c>
    </row>
    <row r="1411" spans="1:14" x14ac:dyDescent="0.25">
      <c r="A1411">
        <v>1793.132832</v>
      </c>
      <c r="B1411" s="1">
        <f>DATE(2015,3,29) + TIME(3,11,16)</f>
        <v>42092.132824074077</v>
      </c>
      <c r="C1411">
        <v>80</v>
      </c>
      <c r="D1411">
        <v>70.902488708000007</v>
      </c>
      <c r="E1411">
        <v>50</v>
      </c>
      <c r="F1411">
        <v>49.920238495</v>
      </c>
      <c r="G1411">
        <v>1324.0451660000001</v>
      </c>
      <c r="H1411">
        <v>1320.4053954999999</v>
      </c>
      <c r="I1411">
        <v>1344.3969727000001</v>
      </c>
      <c r="J1411">
        <v>1339.4786377</v>
      </c>
      <c r="K1411">
        <v>0</v>
      </c>
      <c r="L1411">
        <v>550</v>
      </c>
      <c r="M1411">
        <v>550</v>
      </c>
      <c r="N1411">
        <v>0</v>
      </c>
    </row>
    <row r="1412" spans="1:14" x14ac:dyDescent="0.25">
      <c r="A1412">
        <v>1796</v>
      </c>
      <c r="B1412" s="1">
        <f>DATE(2015,4,1) + TIME(0,0,0)</f>
        <v>42095</v>
      </c>
      <c r="C1412">
        <v>80</v>
      </c>
      <c r="D1412">
        <v>70.642417907999999</v>
      </c>
      <c r="E1412">
        <v>50</v>
      </c>
      <c r="F1412">
        <v>49.920303345000001</v>
      </c>
      <c r="G1412">
        <v>1323.9753418</v>
      </c>
      <c r="H1412">
        <v>1320.2990723</v>
      </c>
      <c r="I1412">
        <v>1344.3953856999999</v>
      </c>
      <c r="J1412">
        <v>1339.4776611</v>
      </c>
      <c r="K1412">
        <v>0</v>
      </c>
      <c r="L1412">
        <v>550</v>
      </c>
      <c r="M1412">
        <v>550</v>
      </c>
      <c r="N141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2022-06-27T07:16:01Z</dcterms:created>
  <dcterms:modified xsi:type="dcterms:W3CDTF">2022-06-27T07:16:27Z</dcterms:modified>
</cp:coreProperties>
</file>